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5.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6.xml" ContentType="application/vnd.openxmlformats-officedocument.drawing+xml"/>
  <Override PartName="/xl/charts/chart2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9.xml" ContentType="application/vnd.openxmlformats-officedocument.drawingml.chartshap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drawings/drawing20.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3.xml" ContentType="application/vnd.openxmlformats-officedocument.drawingml.chart+xml"/>
  <Override PartName="/xl/drawings/drawing24.xml" ContentType="application/vnd.openxmlformats-officedocument.drawingml.chartshapes+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showInkAnnotation="0" codeName="ThisWorkbook" defaultThemeVersion="124226"/>
  <mc:AlternateContent xmlns:mc="http://schemas.openxmlformats.org/markup-compatibility/2006">
    <mc:Choice Requires="x15">
      <x15ac:absPath xmlns:x15ac="http://schemas.microsoft.com/office/spreadsheetml/2010/11/ac" url="https://farrierswier.sharepoint.com/48417 PWC Modelling WACC/03. Working/Revenue Scenarios/IP13/Submission/"/>
    </mc:Choice>
  </mc:AlternateContent>
  <xr:revisionPtr revIDLastSave="15" documentId="11_70BFDDCF6C549E71DD7C09D4D6F111A4BF837326" xr6:coauthVersionLast="28" xr6:coauthVersionMax="28" xr10:uidLastSave="{BF0ADF98-0FA6-4EBE-AF67-A0B01B672146}"/>
  <bookViews>
    <workbookView xWindow="0" yWindow="0" windowWidth="23040" windowHeight="7944" tabRatio="847" xr2:uid="{00000000-000D-0000-FFFF-FFFF00000000}"/>
  </bookViews>
  <sheets>
    <sheet name="Cover" sheetId="27" r:id="rId1"/>
    <sheet name="TOC" sheetId="28" r:id="rId2"/>
    <sheet name="Format" sheetId="105" r:id="rId3"/>
    <sheet name="Input_Inflation" sheetId="34" r:id="rId4"/>
    <sheet name="Charts_Revenue" sheetId="106" r:id="rId5"/>
    <sheet name="Charts_Capex" sheetId="104" r:id="rId6"/>
    <sheet name="Charts_Opex" sheetId="107" r:id="rId7"/>
    <sheet name="Charts &amp; Tables-&gt;" sheetId="118" r:id="rId8"/>
    <sheet name="0" sheetId="108" r:id="rId9"/>
    <sheet name="1" sheetId="120" r:id="rId10"/>
    <sheet name="2" sheetId="121" r:id="rId11"/>
    <sheet name="3" sheetId="122" r:id="rId12"/>
    <sheet name="4" sheetId="123" r:id="rId13"/>
    <sheet name="5" sheetId="109" r:id="rId14"/>
    <sheet name="6" sheetId="124" r:id="rId15"/>
    <sheet name="7" sheetId="125" r:id="rId16"/>
    <sheet name="8" sheetId="126" r:id="rId17"/>
    <sheet name="9" sheetId="110" r:id="rId18"/>
    <sheet name="10" sheetId="111" r:id="rId19"/>
    <sheet name="11" sheetId="112" r:id="rId20"/>
    <sheet name="12" sheetId="113" r:id="rId21"/>
    <sheet name="13" sheetId="114" r:id="rId22"/>
    <sheet name="14" sheetId="115" r:id="rId23"/>
    <sheet name="15" sheetId="127" r:id="rId24"/>
    <sheet name="16" sheetId="128" r:id="rId25"/>
    <sheet name="17" sheetId="116" r:id="rId26"/>
    <sheet name="18" sheetId="117" r:id="rId27"/>
    <sheet name="19" sheetId="129" r:id="rId28"/>
    <sheet name="20" sheetId="130" r:id="rId29"/>
    <sheet name="21" sheetId="131" r:id="rId30"/>
    <sheet name="22" sheetId="132" r:id="rId31"/>
    <sheet name="23" sheetId="133" r:id="rId32"/>
    <sheet name="24" sheetId="134" r:id="rId33"/>
    <sheet name="25" sheetId="135" r:id="rId34"/>
    <sheet name="ROD_A" sheetId="142" r:id="rId35"/>
    <sheet name="RAB_A" sheetId="141" r:id="rId36"/>
    <sheet name="TAB_A" sheetId="140" r:id="rId37"/>
    <sheet name="CAPEX_O" sheetId="119" r:id="rId38"/>
    <sheet name="CONNECT_O" sheetId="145" r:id="rId39"/>
    <sheet name="CUSTOMER_O" sheetId="137" r:id="rId40"/>
    <sheet name="ACS_O" sheetId="138" r:id="rId41"/>
    <sheet name="TSS" sheetId="143" r:id="rId42"/>
    <sheet name="TSS_O" sheetId="144" r:id="rId43"/>
    <sheet name="Lookup" sheetId="4" r:id="rId44"/>
    <sheet name="Checks" sheetId="2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ftnref1" localSheetId="13">'5'!$E$47</definedName>
    <definedName name="_ftnref2" localSheetId="13">'5'!$H$49</definedName>
    <definedName name="_Ref493592504" localSheetId="40">ACS_O!$D$7</definedName>
    <definedName name="_Toc500250363" localSheetId="29">'21'!$D$42</definedName>
    <definedName name="_Toc500250364" localSheetId="29">'21'!$E$42</definedName>
    <definedName name="_Toc500250365" localSheetId="29">'21'!$D$43</definedName>
    <definedName name="_Toc500250366" localSheetId="29">'21'!$E$43</definedName>
    <definedName name="_Toc500250367" localSheetId="40">ACS_O!$D$182</definedName>
    <definedName name="_Toc500250368" localSheetId="40">ACS_O!$D$183</definedName>
    <definedName name="_Toc500250369" localSheetId="40">ACS_O!$D$184</definedName>
    <definedName name="Base_Year">Lookup!$E$11</definedName>
    <definedName name="Days_In_Wk">Lookup!$D$30</definedName>
    <definedName name="Days_In_Yr">Lookup!$D$31</definedName>
    <definedName name="Dollars">Lookup!$D$46</definedName>
    <definedName name="End_year">Lookup!$F$65</definedName>
    <definedName name="Error">Lookup!$D$36</definedName>
    <definedName name="Factor">Lookup!$D$49</definedName>
    <definedName name="Half">Lookup!$D$32</definedName>
    <definedName name="Kilometres">Lookup!$D$51</definedName>
    <definedName name="LU_Basis">Lookup!$D$56:$D$59</definedName>
    <definedName name="LU_Dollar_Basis">Lookup!$D$72:$D$87</definedName>
    <definedName name="LU_Non_Network">Lookup!$D$101:$D$104</definedName>
    <definedName name="LU_Opex_View_1">Lookup!$D$115:$D$124</definedName>
    <definedName name="LU_Overheads">Lookup!$D$108:$D$111</definedName>
    <definedName name="LU_Service_Long">Lookup!$D$93:$D$97</definedName>
    <definedName name="LU_Service_Short">Lookup!$E$93:$E$97</definedName>
    <definedName name="LU_Timing">Lookup!$D$63:$D$66</definedName>
    <definedName name="LU_Timing_Value">Lookup!$E$63:$E$66</definedName>
    <definedName name="LU_Units">Lookup!$D$45:$D$52</definedName>
    <definedName name="Mid_year">Lookup!$D$64</definedName>
    <definedName name="Million">Lookup!$D$33</definedName>
    <definedName name="Millions">Lookup!$D$47</definedName>
    <definedName name="Model_Name">Cover!$B$3</definedName>
    <definedName name="Model_Start_Date">Lookup!$E$10</definedName>
    <definedName name="Mths_In_Mth">Lookup!$D$26</definedName>
    <definedName name="Mths_In_Qtr">Lookup!$D$27</definedName>
    <definedName name="Mths_In_Yr">Lookup!$D$29</definedName>
    <definedName name="NA">Lookup!$D$35</definedName>
    <definedName name="No">Lookup!$D$41</definedName>
    <definedName name="Nominal">Lookup!$D$59</definedName>
    <definedName name="Number">Lookup!$D$50</definedName>
    <definedName name="Ok">Lookup!$D$34</definedName>
    <definedName name="Percent">Lookup!$D$45</definedName>
    <definedName name="Qtrs_In_Yr">Lookup!$D$28</definedName>
    <definedName name="Real2018">Lookup!$D$56</definedName>
    <definedName name="Real2019">Lookup!$D$57</definedName>
    <definedName name="Start_year">Lookup!$D$63</definedName>
    <definedName name="Thousands">Lookup!$D$48</definedName>
    <definedName name="Title_Msg">Checks!$H$10</definedName>
    <definedName name="Yes">Lookup!$D$40</definedName>
    <definedName name="Yes_No">Lookup!$D$40:$D$41</definedName>
  </definedNames>
  <calcPr calcId="171027"/>
  <fileRecoveryPr autoRecover="0"/>
</workbook>
</file>

<file path=xl/calcChain.xml><?xml version="1.0" encoding="utf-8"?>
<calcChain xmlns="http://schemas.openxmlformats.org/spreadsheetml/2006/main">
  <c r="J91" i="112" l="1"/>
  <c r="J90" i="112"/>
  <c r="I91" i="112"/>
  <c r="H91" i="112"/>
  <c r="G91" i="112"/>
  <c r="F91" i="112"/>
  <c r="I90" i="112"/>
  <c r="H90" i="112"/>
  <c r="G90" i="112"/>
  <c r="F90" i="112"/>
  <c r="E91" i="112"/>
  <c r="E90" i="112"/>
  <c r="E339" i="143" l="1"/>
  <c r="E340" i="143"/>
  <c r="E341" i="143"/>
  <c r="E342" i="143"/>
  <c r="E343" i="143"/>
  <c r="E344" i="143"/>
  <c r="E345" i="143"/>
  <c r="E346" i="143"/>
  <c r="E347" i="143"/>
  <c r="E348" i="143"/>
  <c r="E349" i="143"/>
  <c r="E350" i="143"/>
  <c r="E351" i="143"/>
  <c r="E352" i="143"/>
  <c r="E338" i="143"/>
  <c r="I693" i="119" l="1"/>
  <c r="G499" i="143" l="1"/>
  <c r="E499" i="143"/>
  <c r="D499" i="143"/>
  <c r="G498" i="143"/>
  <c r="E498" i="143"/>
  <c r="D498" i="143"/>
  <c r="G497" i="143"/>
  <c r="E497" i="143"/>
  <c r="D497" i="143"/>
  <c r="G496" i="143"/>
  <c r="E496" i="143"/>
  <c r="D496" i="143"/>
  <c r="G495" i="143"/>
  <c r="E495" i="143"/>
  <c r="D495" i="143"/>
  <c r="G494" i="143"/>
  <c r="E494" i="143"/>
  <c r="D494" i="143"/>
  <c r="G493" i="143"/>
  <c r="E493" i="143"/>
  <c r="D493" i="143"/>
  <c r="G492" i="143"/>
  <c r="E492" i="143"/>
  <c r="D492" i="143"/>
  <c r="G491" i="143"/>
  <c r="E491" i="143"/>
  <c r="D491" i="143"/>
  <c r="G490" i="143"/>
  <c r="E490" i="143"/>
  <c r="D490" i="143"/>
  <c r="G489" i="143"/>
  <c r="E489" i="143"/>
  <c r="D489" i="143"/>
  <c r="G488" i="143"/>
  <c r="E488" i="143"/>
  <c r="D488" i="143"/>
  <c r="G487" i="143"/>
  <c r="E487" i="143"/>
  <c r="D487" i="143"/>
  <c r="G486" i="143"/>
  <c r="E486" i="143"/>
  <c r="D486" i="143"/>
  <c r="G485" i="143"/>
  <c r="E485" i="143"/>
  <c r="D485" i="143"/>
  <c r="G352" i="143"/>
  <c r="D352" i="143"/>
  <c r="G351" i="143"/>
  <c r="D351" i="143"/>
  <c r="G350" i="143"/>
  <c r="D350" i="143"/>
  <c r="G349" i="143"/>
  <c r="D349" i="143"/>
  <c r="G348" i="143"/>
  <c r="D348" i="143"/>
  <c r="G347" i="143"/>
  <c r="D347" i="143"/>
  <c r="G346" i="143"/>
  <c r="D346" i="143"/>
  <c r="G345" i="143"/>
  <c r="D345" i="143"/>
  <c r="G344" i="143"/>
  <c r="D344" i="143"/>
  <c r="G343" i="143"/>
  <c r="D343" i="143"/>
  <c r="G342" i="143"/>
  <c r="D342" i="143"/>
  <c r="G341" i="143"/>
  <c r="D341" i="143"/>
  <c r="G340" i="143"/>
  <c r="D340" i="143"/>
  <c r="G339" i="143"/>
  <c r="D339" i="143"/>
  <c r="G338" i="143"/>
  <c r="D338" i="143"/>
  <c r="F477" i="143"/>
  <c r="D477" i="143"/>
  <c r="D476" i="143"/>
  <c r="F475" i="143"/>
  <c r="D475" i="143"/>
  <c r="F474" i="143"/>
  <c r="D474" i="143"/>
  <c r="F473" i="143"/>
  <c r="D473" i="143"/>
  <c r="F472" i="143"/>
  <c r="D472" i="143"/>
  <c r="D471" i="143"/>
  <c r="F470" i="143"/>
  <c r="D470" i="143"/>
  <c r="F469" i="143"/>
  <c r="D469" i="143"/>
  <c r="D468" i="143"/>
  <c r="F467" i="143"/>
  <c r="D467" i="143"/>
  <c r="F466" i="143"/>
  <c r="D466" i="143"/>
  <c r="D465" i="143"/>
  <c r="F464" i="143"/>
  <c r="D464" i="143"/>
  <c r="F463" i="143"/>
  <c r="D463" i="143"/>
  <c r="F462" i="143"/>
  <c r="D462" i="143"/>
  <c r="F461" i="143"/>
  <c r="D461" i="143"/>
  <c r="F460" i="143"/>
  <c r="D460" i="143"/>
  <c r="F459" i="143"/>
  <c r="D459" i="143"/>
  <c r="F458" i="143"/>
  <c r="D458" i="143"/>
  <c r="D457" i="143"/>
  <c r="F449" i="143"/>
  <c r="D449" i="143"/>
  <c r="F448" i="143"/>
  <c r="D448" i="143"/>
  <c r="F447" i="143"/>
  <c r="D447" i="143"/>
  <c r="F446" i="143"/>
  <c r="D446" i="143"/>
  <c r="F445" i="143"/>
  <c r="D445" i="143"/>
  <c r="F444" i="143"/>
  <c r="D444" i="143"/>
  <c r="F443" i="143"/>
  <c r="D443" i="143"/>
  <c r="F442" i="143"/>
  <c r="D442" i="143"/>
  <c r="F441" i="143"/>
  <c r="D441" i="143"/>
  <c r="F440" i="143"/>
  <c r="D440" i="143"/>
  <c r="F375" i="143"/>
  <c r="D375" i="143"/>
  <c r="F374" i="143"/>
  <c r="D374" i="143"/>
  <c r="F373" i="143"/>
  <c r="D373" i="143"/>
  <c r="F372" i="143"/>
  <c r="D372" i="143"/>
  <c r="F371" i="143"/>
  <c r="D371" i="143"/>
  <c r="F370" i="143"/>
  <c r="D370" i="143"/>
  <c r="F369" i="143"/>
  <c r="D369" i="143"/>
  <c r="F368" i="143"/>
  <c r="D368" i="143"/>
  <c r="F367" i="143"/>
  <c r="D367" i="143"/>
  <c r="F366" i="143"/>
  <c r="F377" i="143" s="1"/>
  <c r="D366" i="143"/>
  <c r="F331" i="143"/>
  <c r="D331" i="143"/>
  <c r="D330" i="143"/>
  <c r="F329" i="143"/>
  <c r="D329" i="143"/>
  <c r="F328" i="143"/>
  <c r="D328" i="143"/>
  <c r="F327" i="143"/>
  <c r="D327" i="143"/>
  <c r="F326" i="143"/>
  <c r="D326" i="143"/>
  <c r="D325" i="143"/>
  <c r="F324" i="143"/>
  <c r="D324" i="143"/>
  <c r="F323" i="143"/>
  <c r="D323" i="143"/>
  <c r="D322" i="143"/>
  <c r="F321" i="143"/>
  <c r="D321" i="143"/>
  <c r="F320" i="143"/>
  <c r="D320" i="143"/>
  <c r="D319" i="143"/>
  <c r="F318" i="143"/>
  <c r="D318" i="143"/>
  <c r="F317" i="143"/>
  <c r="D317" i="143"/>
  <c r="F316" i="143"/>
  <c r="D316" i="143"/>
  <c r="F315" i="143"/>
  <c r="D315" i="143"/>
  <c r="F314" i="143"/>
  <c r="D314" i="143"/>
  <c r="F313" i="143"/>
  <c r="D313" i="143"/>
  <c r="F312" i="143"/>
  <c r="D312" i="143"/>
  <c r="D311" i="143"/>
  <c r="E38" i="129"/>
  <c r="D38" i="129"/>
  <c r="E36" i="129"/>
  <c r="D36" i="129"/>
  <c r="E35" i="129"/>
  <c r="D35" i="129"/>
  <c r="E34" i="129"/>
  <c r="D34" i="129"/>
  <c r="E33" i="129"/>
  <c r="D33" i="129"/>
  <c r="E31" i="129"/>
  <c r="D31" i="129"/>
  <c r="E30" i="129"/>
  <c r="D30" i="129"/>
  <c r="E29" i="129"/>
  <c r="D29" i="129"/>
  <c r="E28" i="129"/>
  <c r="D28" i="129"/>
  <c r="E27" i="129"/>
  <c r="D27" i="129"/>
  <c r="E26" i="129"/>
  <c r="D26" i="129"/>
  <c r="E25" i="129"/>
  <c r="D25" i="129"/>
  <c r="E24" i="129"/>
  <c r="D24" i="129"/>
  <c r="E23" i="129"/>
  <c r="D23" i="129"/>
  <c r="E22" i="129"/>
  <c r="D22" i="129"/>
  <c r="E20" i="129"/>
  <c r="D20" i="129"/>
  <c r="E19" i="129"/>
  <c r="D19" i="129"/>
  <c r="E18" i="129"/>
  <c r="D18" i="129"/>
  <c r="E17" i="129"/>
  <c r="D17" i="129"/>
  <c r="E16" i="129"/>
  <c r="D16" i="129"/>
  <c r="E15" i="129"/>
  <c r="D15" i="129"/>
  <c r="E14" i="129"/>
  <c r="D14" i="129"/>
  <c r="E13" i="129"/>
  <c r="D13" i="129"/>
  <c r="E12" i="129"/>
  <c r="D12" i="129"/>
  <c r="E11" i="129"/>
  <c r="D11" i="129"/>
  <c r="E10" i="129"/>
  <c r="D10" i="129"/>
  <c r="F479" i="143" l="1"/>
  <c r="G501" i="143"/>
  <c r="G354" i="143"/>
  <c r="F333" i="143"/>
  <c r="F451" i="143"/>
  <c r="N109" i="137"/>
  <c r="M109" i="137"/>
  <c r="L109" i="137"/>
  <c r="K109" i="137"/>
  <c r="J109" i="137"/>
  <c r="P109" i="137" l="1"/>
  <c r="O110" i="137"/>
  <c r="P110" i="137"/>
  <c r="F61" i="131" l="1"/>
  <c r="F60" i="131"/>
  <c r="E33" i="131"/>
  <c r="E221" i="143" l="1"/>
  <c r="E220" i="143"/>
  <c r="E219" i="143"/>
  <c r="G206" i="143"/>
  <c r="F206" i="143"/>
  <c r="E206" i="143"/>
  <c r="G205" i="143"/>
  <c r="F205" i="143"/>
  <c r="E205" i="143"/>
  <c r="G204" i="143"/>
  <c r="F204" i="143"/>
  <c r="E204" i="143"/>
  <c r="F67" i="131"/>
  <c r="E67" i="131"/>
  <c r="J66" i="131"/>
  <c r="I66" i="131"/>
  <c r="F66" i="131"/>
  <c r="E66" i="131"/>
  <c r="F65" i="131"/>
  <c r="E65" i="131"/>
  <c r="F64" i="131"/>
  <c r="E64" i="131"/>
  <c r="F63" i="131"/>
  <c r="E63" i="131"/>
  <c r="F62" i="131"/>
  <c r="E62" i="131"/>
  <c r="E61" i="131"/>
  <c r="E60" i="131"/>
  <c r="E47" i="131"/>
  <c r="E46" i="131"/>
  <c r="E44" i="131"/>
  <c r="E43" i="131"/>
  <c r="E42" i="131"/>
  <c r="E41" i="131"/>
  <c r="E39" i="131"/>
  <c r="E38" i="131"/>
  <c r="E36" i="131"/>
  <c r="E35" i="131"/>
  <c r="E34" i="131"/>
  <c r="E31" i="131"/>
  <c r="E30" i="131"/>
  <c r="E29" i="131"/>
  <c r="E28" i="131"/>
  <c r="E27" i="131"/>
  <c r="I22" i="131"/>
  <c r="H21" i="131"/>
  <c r="G20" i="131"/>
  <c r="F20" i="131"/>
  <c r="E19" i="131"/>
  <c r="I13" i="131"/>
  <c r="H12" i="131"/>
  <c r="G11" i="131"/>
  <c r="F11" i="131"/>
  <c r="E10" i="131"/>
  <c r="R77" i="138" l="1"/>
  <c r="Q77" i="138"/>
  <c r="P77" i="138"/>
  <c r="O77" i="138"/>
  <c r="N77" i="138"/>
  <c r="L77" i="138"/>
  <c r="R76" i="138"/>
  <c r="Q76" i="138"/>
  <c r="P76" i="138"/>
  <c r="O76" i="138"/>
  <c r="N76" i="138"/>
  <c r="L76" i="138"/>
  <c r="R75" i="138"/>
  <c r="Q75" i="138"/>
  <c r="P75" i="138"/>
  <c r="O75" i="138"/>
  <c r="N75" i="138"/>
  <c r="L75" i="138"/>
  <c r="R74" i="138"/>
  <c r="Q74" i="138"/>
  <c r="P74" i="138"/>
  <c r="O74" i="138"/>
  <c r="N74" i="138"/>
  <c r="L74" i="138"/>
  <c r="R73" i="138"/>
  <c r="Q73" i="138"/>
  <c r="P73" i="138"/>
  <c r="O73" i="138"/>
  <c r="N73" i="138"/>
  <c r="L73" i="138"/>
  <c r="R72" i="138"/>
  <c r="Q72" i="138"/>
  <c r="P72" i="138"/>
  <c r="O72" i="138"/>
  <c r="N72" i="138"/>
  <c r="L72" i="138"/>
  <c r="M717" i="119"/>
  <c r="M716" i="119"/>
  <c r="M715" i="119"/>
  <c r="M714" i="119"/>
  <c r="M713" i="119"/>
  <c r="M712" i="119"/>
  <c r="M711" i="119"/>
  <c r="M710" i="119"/>
  <c r="M709" i="119"/>
  <c r="M708" i="119"/>
  <c r="M707" i="119"/>
  <c r="M706" i="119"/>
  <c r="M705" i="119"/>
  <c r="M704" i="119"/>
  <c r="M703" i="119"/>
  <c r="C717" i="119"/>
  <c r="C716" i="119"/>
  <c r="C715" i="119"/>
  <c r="C714" i="119"/>
  <c r="C713" i="119"/>
  <c r="C712" i="119"/>
  <c r="C711" i="119"/>
  <c r="C710" i="119"/>
  <c r="C709" i="119"/>
  <c r="C708" i="119"/>
  <c r="C707" i="119"/>
  <c r="C706" i="119"/>
  <c r="C705" i="119"/>
  <c r="C704" i="119"/>
  <c r="C703" i="119"/>
  <c r="P692" i="119"/>
  <c r="M692" i="119"/>
  <c r="P691" i="119"/>
  <c r="M691" i="119"/>
  <c r="P690" i="119"/>
  <c r="M690" i="119"/>
  <c r="P689" i="119"/>
  <c r="M689" i="119"/>
  <c r="P688" i="119"/>
  <c r="M688" i="119"/>
  <c r="P687" i="119"/>
  <c r="M687" i="119"/>
  <c r="P686" i="119"/>
  <c r="M686" i="119"/>
  <c r="P685" i="119"/>
  <c r="M685" i="119"/>
  <c r="P684" i="119"/>
  <c r="M684" i="119"/>
  <c r="P683" i="119"/>
  <c r="M683" i="119"/>
  <c r="P682" i="119"/>
  <c r="M682" i="119"/>
  <c r="P681" i="119"/>
  <c r="M681" i="119"/>
  <c r="P680" i="119"/>
  <c r="M680" i="119"/>
  <c r="P679" i="119"/>
  <c r="M679" i="119"/>
  <c r="P678" i="119"/>
  <c r="M678" i="119"/>
  <c r="P677" i="119"/>
  <c r="M677" i="119"/>
  <c r="P676" i="119"/>
  <c r="M676" i="119"/>
  <c r="P675" i="119"/>
  <c r="M675" i="119"/>
  <c r="P674" i="119"/>
  <c r="M674" i="119"/>
  <c r="P673" i="119"/>
  <c r="M673" i="119"/>
  <c r="P672" i="119"/>
  <c r="M672" i="119"/>
  <c r="P671" i="119"/>
  <c r="M671" i="119"/>
  <c r="P670" i="119"/>
  <c r="M670" i="119"/>
  <c r="P669" i="119"/>
  <c r="M669" i="119"/>
  <c r="P668" i="119"/>
  <c r="M668" i="119"/>
  <c r="P667" i="119"/>
  <c r="M667" i="119"/>
  <c r="P666" i="119"/>
  <c r="M666" i="119"/>
  <c r="P665" i="119"/>
  <c r="M665" i="119"/>
  <c r="P664" i="119"/>
  <c r="M664" i="119"/>
  <c r="P663" i="119"/>
  <c r="M663" i="119"/>
  <c r="P662" i="119"/>
  <c r="M662" i="119"/>
  <c r="P661" i="119"/>
  <c r="M661" i="119"/>
  <c r="P660" i="119"/>
  <c r="M660" i="119"/>
  <c r="P659" i="119"/>
  <c r="M659" i="119"/>
  <c r="P658" i="119"/>
  <c r="M658" i="119"/>
  <c r="C692" i="119"/>
  <c r="C691" i="119"/>
  <c r="C690" i="119"/>
  <c r="C689" i="119"/>
  <c r="C688" i="119"/>
  <c r="C687" i="119"/>
  <c r="C686" i="119"/>
  <c r="C685" i="119"/>
  <c r="C684" i="119"/>
  <c r="C683" i="119"/>
  <c r="C682" i="119"/>
  <c r="C681" i="119"/>
  <c r="C680" i="119"/>
  <c r="C679" i="119"/>
  <c r="C678" i="119"/>
  <c r="C677" i="119"/>
  <c r="C676" i="119"/>
  <c r="C675" i="119"/>
  <c r="C674" i="119"/>
  <c r="C673" i="119"/>
  <c r="C672" i="119"/>
  <c r="C671" i="119"/>
  <c r="C670" i="119"/>
  <c r="C669" i="119"/>
  <c r="C668" i="119"/>
  <c r="C667" i="119"/>
  <c r="C666" i="119"/>
  <c r="C665" i="119"/>
  <c r="C664" i="119"/>
  <c r="C663" i="119"/>
  <c r="C662" i="119"/>
  <c r="C661" i="119"/>
  <c r="C660" i="119"/>
  <c r="C659" i="119"/>
  <c r="C658" i="119"/>
  <c r="I26" i="111"/>
  <c r="H26" i="111"/>
  <c r="R14" i="111"/>
  <c r="Q14" i="111"/>
  <c r="R328" i="119"/>
  <c r="Q328" i="119"/>
  <c r="P328" i="119"/>
  <c r="O328" i="119"/>
  <c r="N328" i="119"/>
  <c r="I66" i="111"/>
  <c r="H66" i="111"/>
  <c r="G66" i="111"/>
  <c r="F66" i="111"/>
  <c r="E66" i="111"/>
  <c r="I61" i="111"/>
  <c r="H61" i="111"/>
  <c r="G61" i="111"/>
  <c r="F61" i="111"/>
  <c r="E61" i="111"/>
  <c r="I60" i="111"/>
  <c r="H60" i="111"/>
  <c r="G60" i="111"/>
  <c r="F60" i="111"/>
  <c r="E60" i="111"/>
  <c r="I59" i="111"/>
  <c r="H59" i="111"/>
  <c r="G59" i="111"/>
  <c r="F59" i="111"/>
  <c r="E59" i="111"/>
  <c r="I58" i="111"/>
  <c r="H58" i="111"/>
  <c r="G58" i="111"/>
  <c r="F58" i="111"/>
  <c r="E58" i="111"/>
  <c r="I57" i="111"/>
  <c r="H57" i="111"/>
  <c r="G57" i="111"/>
  <c r="F57" i="111"/>
  <c r="E57" i="111"/>
  <c r="I56" i="111"/>
  <c r="H56" i="111"/>
  <c r="G56" i="111"/>
  <c r="F56" i="111"/>
  <c r="E56" i="111"/>
  <c r="R15" i="111"/>
  <c r="Q15" i="111"/>
  <c r="R13" i="111"/>
  <c r="Q13" i="111"/>
  <c r="R12" i="111"/>
  <c r="Q12" i="111"/>
  <c r="R11" i="111"/>
  <c r="Q11" i="111"/>
  <c r="R10" i="111"/>
  <c r="Q10" i="111"/>
  <c r="AE53" i="107"/>
  <c r="AD53" i="107"/>
  <c r="AC53" i="107"/>
  <c r="AB53" i="107"/>
  <c r="AA53" i="107"/>
  <c r="Z53" i="107"/>
  <c r="Y53" i="107"/>
  <c r="I150" i="112"/>
  <c r="H150" i="112"/>
  <c r="G150" i="112"/>
  <c r="F150" i="112"/>
  <c r="E150" i="112"/>
  <c r="I149" i="112"/>
  <c r="H149" i="112"/>
  <c r="G149" i="112"/>
  <c r="F149" i="112"/>
  <c r="E149" i="112"/>
  <c r="I148" i="112"/>
  <c r="H148" i="112"/>
  <c r="G148" i="112"/>
  <c r="F148" i="112"/>
  <c r="E148" i="112"/>
  <c r="I147" i="112"/>
  <c r="H147" i="112"/>
  <c r="G147" i="112"/>
  <c r="F147" i="112"/>
  <c r="E147" i="112"/>
  <c r="I140" i="112"/>
  <c r="H140" i="112"/>
  <c r="G140" i="112"/>
  <c r="F140" i="112"/>
  <c r="E140" i="112"/>
  <c r="I139" i="112"/>
  <c r="H139" i="112"/>
  <c r="G139" i="112"/>
  <c r="F139" i="112"/>
  <c r="E139" i="112"/>
  <c r="I138" i="112"/>
  <c r="H138" i="112"/>
  <c r="G138" i="112"/>
  <c r="F138" i="112"/>
  <c r="E138" i="112"/>
  <c r="I121" i="112"/>
  <c r="H121" i="112"/>
  <c r="G121" i="112"/>
  <c r="F121" i="112"/>
  <c r="E121" i="112"/>
  <c r="I116" i="112"/>
  <c r="H116" i="112"/>
  <c r="G116" i="112"/>
  <c r="F116" i="112"/>
  <c r="E116" i="112"/>
  <c r="I111" i="112"/>
  <c r="H111" i="112"/>
  <c r="G111" i="112"/>
  <c r="F111" i="112"/>
  <c r="E111" i="112"/>
  <c r="I103" i="112"/>
  <c r="H103" i="112"/>
  <c r="G103" i="112"/>
  <c r="F103" i="112"/>
  <c r="E103" i="112"/>
  <c r="D103" i="112"/>
  <c r="I102" i="112"/>
  <c r="H102" i="112"/>
  <c r="G102" i="112"/>
  <c r="F102" i="112"/>
  <c r="E102" i="112"/>
  <c r="D102" i="112"/>
  <c r="I101" i="112"/>
  <c r="H101" i="112"/>
  <c r="G101" i="112"/>
  <c r="F101" i="112"/>
  <c r="E101" i="112"/>
  <c r="D101" i="112"/>
  <c r="I100" i="112"/>
  <c r="H100" i="112"/>
  <c r="G100" i="112"/>
  <c r="F100" i="112"/>
  <c r="E100" i="112"/>
  <c r="D100" i="112"/>
  <c r="I99" i="112"/>
  <c r="H99" i="112"/>
  <c r="G99" i="112"/>
  <c r="F99" i="112"/>
  <c r="E99" i="112"/>
  <c r="D99" i="112"/>
  <c r="Z51" i="107"/>
  <c r="Y51" i="107"/>
  <c r="D116" i="138"/>
  <c r="D115" i="138"/>
  <c r="I37" i="138"/>
  <c r="H37" i="138"/>
  <c r="G37" i="138"/>
  <c r="F37" i="138"/>
  <c r="E37" i="138"/>
  <c r="I36" i="138"/>
  <c r="H36" i="138"/>
  <c r="G36" i="138"/>
  <c r="F36" i="138"/>
  <c r="E36" i="138"/>
  <c r="I54" i="131"/>
  <c r="H54" i="131"/>
  <c r="G54" i="131"/>
  <c r="F54" i="131"/>
  <c r="E54" i="131"/>
  <c r="I53" i="131"/>
  <c r="H53" i="131"/>
  <c r="G53" i="131"/>
  <c r="F53" i="131"/>
  <c r="E53" i="131"/>
  <c r="I52" i="131"/>
  <c r="H52" i="131"/>
  <c r="G52" i="131"/>
  <c r="F52" i="131"/>
  <c r="E52" i="131"/>
  <c r="I14" i="117"/>
  <c r="H14" i="117"/>
  <c r="G14" i="117"/>
  <c r="F14" i="117"/>
  <c r="E14" i="117"/>
  <c r="I154" i="138"/>
  <c r="H154" i="138"/>
  <c r="G154" i="138"/>
  <c r="F154" i="138"/>
  <c r="E154" i="138"/>
  <c r="I153" i="138"/>
  <c r="H153" i="138"/>
  <c r="G153" i="138"/>
  <c r="F153" i="138"/>
  <c r="E153" i="138"/>
  <c r="I28" i="117"/>
  <c r="H28" i="117"/>
  <c r="G28" i="117"/>
  <c r="F28" i="117"/>
  <c r="E28" i="117"/>
  <c r="I23" i="117"/>
  <c r="H23" i="117"/>
  <c r="G23" i="117"/>
  <c r="F23" i="117"/>
  <c r="E23" i="117"/>
  <c r="I42" i="108"/>
  <c r="H42" i="108"/>
  <c r="G42" i="108"/>
  <c r="F42" i="108"/>
  <c r="E42" i="108"/>
  <c r="I161" i="138"/>
  <c r="H161" i="138"/>
  <c r="G161" i="138"/>
  <c r="F161" i="138"/>
  <c r="E161" i="138"/>
  <c r="I160" i="138"/>
  <c r="H160" i="138"/>
  <c r="G160" i="138"/>
  <c r="F160" i="138"/>
  <c r="E160" i="138"/>
  <c r="I26" i="117"/>
  <c r="H26" i="117"/>
  <c r="G26" i="117"/>
  <c r="F26" i="117"/>
  <c r="E26" i="117"/>
  <c r="I25" i="117"/>
  <c r="H25" i="117"/>
  <c r="G25" i="117"/>
  <c r="F25" i="117"/>
  <c r="E25" i="117"/>
  <c r="I24" i="117"/>
  <c r="H24" i="117"/>
  <c r="G24" i="117"/>
  <c r="F24" i="117"/>
  <c r="E24" i="117"/>
  <c r="I41" i="108"/>
  <c r="H41" i="108"/>
  <c r="G41" i="108"/>
  <c r="F41" i="108"/>
  <c r="E41" i="108"/>
  <c r="I166" i="138"/>
  <c r="H166" i="138"/>
  <c r="G166" i="138"/>
  <c r="F166" i="138"/>
  <c r="E166" i="138"/>
  <c r="I15" i="117"/>
  <c r="I18" i="117" s="1"/>
  <c r="H15" i="117"/>
  <c r="H18" i="117" s="1"/>
  <c r="G15" i="117"/>
  <c r="G18" i="117" s="1"/>
  <c r="F15" i="117"/>
  <c r="F18" i="117" s="1"/>
  <c r="E15" i="117"/>
  <c r="E18" i="117" s="1"/>
  <c r="I13" i="117"/>
  <c r="I17" i="117" s="1"/>
  <c r="H13" i="117"/>
  <c r="H17" i="117" s="1"/>
  <c r="G13" i="117"/>
  <c r="G17" i="117" s="1"/>
  <c r="F13" i="117"/>
  <c r="F17" i="117" s="1"/>
  <c r="E13" i="117"/>
  <c r="E17" i="117" s="1"/>
  <c r="I12" i="117"/>
  <c r="H12" i="117"/>
  <c r="G12" i="117"/>
  <c r="F12" i="117"/>
  <c r="E12" i="117"/>
  <c r="I11" i="117"/>
  <c r="H11" i="117"/>
  <c r="G11" i="117"/>
  <c r="F11" i="117"/>
  <c r="E11" i="117"/>
  <c r="I10" i="117"/>
  <c r="H10" i="117"/>
  <c r="G10" i="117"/>
  <c r="F10" i="117"/>
  <c r="E10" i="117"/>
  <c r="I9" i="117"/>
  <c r="H9" i="117"/>
  <c r="G9" i="117"/>
  <c r="F9" i="117"/>
  <c r="E9" i="117"/>
  <c r="AE52" i="107"/>
  <c r="AD52" i="107"/>
  <c r="AC52" i="107"/>
  <c r="AB52" i="107"/>
  <c r="AA52" i="107"/>
  <c r="I137" i="138"/>
  <c r="H137" i="138"/>
  <c r="G137" i="138"/>
  <c r="F137" i="138"/>
  <c r="E137" i="138"/>
  <c r="I131" i="138"/>
  <c r="H131" i="138"/>
  <c r="G131" i="138"/>
  <c r="F131" i="138"/>
  <c r="E131" i="138"/>
  <c r="I125" i="138"/>
  <c r="H125" i="138"/>
  <c r="G125" i="138"/>
  <c r="F125" i="138"/>
  <c r="E125" i="138"/>
  <c r="I114" i="138"/>
  <c r="H114" i="138"/>
  <c r="G114" i="138"/>
  <c r="F114" i="138"/>
  <c r="E114" i="138"/>
  <c r="D114" i="138"/>
  <c r="I113" i="138"/>
  <c r="H113" i="138"/>
  <c r="G113" i="138"/>
  <c r="F113" i="138"/>
  <c r="E113" i="138"/>
  <c r="D113" i="138"/>
  <c r="I112" i="138"/>
  <c r="H112" i="138"/>
  <c r="G112" i="138"/>
  <c r="F112" i="138"/>
  <c r="E112" i="138"/>
  <c r="D112" i="138"/>
  <c r="I94" i="138"/>
  <c r="H94" i="138"/>
  <c r="G94" i="138"/>
  <c r="F94" i="138"/>
  <c r="E94" i="138"/>
  <c r="I93" i="138"/>
  <c r="H93" i="138"/>
  <c r="G93" i="138"/>
  <c r="F93" i="138"/>
  <c r="E93" i="138"/>
  <c r="I92" i="138"/>
  <c r="H92" i="138"/>
  <c r="G92" i="138"/>
  <c r="F92" i="138"/>
  <c r="E92" i="138"/>
  <c r="I91" i="138"/>
  <c r="H91" i="138"/>
  <c r="G91" i="138"/>
  <c r="F91" i="138"/>
  <c r="E91" i="138"/>
  <c r="I84" i="138"/>
  <c r="H84" i="138"/>
  <c r="G84" i="138"/>
  <c r="F84" i="138"/>
  <c r="E84" i="138"/>
  <c r="I83" i="138"/>
  <c r="H83" i="138"/>
  <c r="G83" i="138"/>
  <c r="F83" i="138"/>
  <c r="E83" i="138"/>
  <c r="Z52" i="107"/>
  <c r="Y52" i="107"/>
  <c r="I65" i="113"/>
  <c r="H65" i="113"/>
  <c r="G65" i="113"/>
  <c r="F65" i="113"/>
  <c r="E65" i="113"/>
  <c r="I61" i="113"/>
  <c r="H61" i="113"/>
  <c r="G61" i="113"/>
  <c r="F61" i="113"/>
  <c r="E61" i="113"/>
  <c r="M12" i="113"/>
  <c r="E50" i="113" s="1"/>
  <c r="M11" i="113"/>
  <c r="I12" i="113"/>
  <c r="I11" i="113"/>
  <c r="I67" i="113"/>
  <c r="H67" i="113"/>
  <c r="G67" i="113"/>
  <c r="F67" i="113"/>
  <c r="E67" i="113"/>
  <c r="I60" i="113"/>
  <c r="H60" i="113"/>
  <c r="G60" i="113"/>
  <c r="F60" i="113"/>
  <c r="E60" i="113"/>
  <c r="E51" i="113"/>
  <c r="E49" i="113"/>
  <c r="E48" i="113"/>
  <c r="E47" i="113"/>
  <c r="E46" i="113"/>
  <c r="E43" i="113"/>
  <c r="E42" i="113"/>
  <c r="E41" i="113"/>
  <c r="E39" i="113"/>
  <c r="E38" i="113"/>
  <c r="E37" i="113"/>
  <c r="E36" i="113"/>
  <c r="E35" i="113"/>
  <c r="E34" i="113"/>
  <c r="E33" i="113"/>
  <c r="E31" i="113"/>
  <c r="E30" i="113"/>
  <c r="H12" i="113"/>
  <c r="H11" i="113" s="1"/>
  <c r="I66" i="113"/>
  <c r="H66" i="113"/>
  <c r="G66" i="113"/>
  <c r="F66" i="113"/>
  <c r="E66" i="113"/>
  <c r="I64" i="113"/>
  <c r="H64" i="113"/>
  <c r="G64" i="113"/>
  <c r="F64" i="113"/>
  <c r="E64" i="113"/>
  <c r="I63" i="113"/>
  <c r="I62" i="113" s="1"/>
  <c r="H63" i="113"/>
  <c r="H62" i="113" s="1"/>
  <c r="G63" i="113"/>
  <c r="G62" i="113" s="1"/>
  <c r="F63" i="113"/>
  <c r="F62" i="113" s="1"/>
  <c r="E63" i="113"/>
  <c r="E62" i="113" s="1"/>
  <c r="I15" i="116"/>
  <c r="H15" i="116"/>
  <c r="G15" i="116"/>
  <c r="F15" i="116"/>
  <c r="E15" i="116"/>
  <c r="E15" i="114"/>
  <c r="E14" i="114"/>
  <c r="E13" i="114"/>
  <c r="E12" i="114"/>
  <c r="E11" i="114"/>
  <c r="E10" i="114"/>
  <c r="E9" i="114"/>
  <c r="I19" i="115"/>
  <c r="H19" i="115"/>
  <c r="G19" i="115"/>
  <c r="F19" i="115"/>
  <c r="E19" i="115"/>
  <c r="I18" i="115"/>
  <c r="H18" i="115"/>
  <c r="G18" i="115"/>
  <c r="F18" i="115"/>
  <c r="E18" i="115"/>
  <c r="I17" i="115"/>
  <c r="H17" i="115"/>
  <c r="G17" i="115"/>
  <c r="F17" i="115"/>
  <c r="E17" i="115"/>
  <c r="I16" i="115"/>
  <c r="H16" i="115"/>
  <c r="G16" i="115"/>
  <c r="F16" i="115"/>
  <c r="E16" i="115"/>
  <c r="I80" i="113"/>
  <c r="H80" i="113"/>
  <c r="G80" i="113"/>
  <c r="F80" i="113"/>
  <c r="E80" i="113"/>
  <c r="I75" i="113"/>
  <c r="H75" i="113"/>
  <c r="G75" i="113"/>
  <c r="F75" i="113"/>
  <c r="E75" i="113"/>
  <c r="I21" i="113"/>
  <c r="H21" i="113"/>
  <c r="G21" i="113"/>
  <c r="F21" i="113"/>
  <c r="E21" i="113"/>
  <c r="I20" i="113"/>
  <c r="H20" i="113"/>
  <c r="G20" i="113"/>
  <c r="F20" i="113"/>
  <c r="E20" i="113"/>
  <c r="I22" i="108"/>
  <c r="H22" i="108"/>
  <c r="G22" i="108"/>
  <c r="F22" i="108"/>
  <c r="E22" i="108"/>
  <c r="H55" i="119"/>
  <c r="G55" i="119"/>
  <c r="F55" i="119"/>
  <c r="E55" i="119"/>
  <c r="D55" i="119"/>
  <c r="I56" i="114"/>
  <c r="I59" i="114" s="1"/>
  <c r="H56" i="114"/>
  <c r="H59" i="114" s="1"/>
  <c r="G56" i="114"/>
  <c r="G59" i="114" s="1"/>
  <c r="F56" i="114"/>
  <c r="F59" i="114" s="1"/>
  <c r="E56" i="114"/>
  <c r="E59" i="114" s="1"/>
  <c r="I55" i="114"/>
  <c r="H55" i="114"/>
  <c r="G55" i="114"/>
  <c r="F55" i="114"/>
  <c r="E55" i="114"/>
  <c r="I78" i="113"/>
  <c r="H78" i="113"/>
  <c r="G78" i="113"/>
  <c r="F78" i="113"/>
  <c r="E78" i="113"/>
  <c r="I77" i="113"/>
  <c r="H77" i="113"/>
  <c r="G77" i="113"/>
  <c r="F77" i="113"/>
  <c r="E77" i="113"/>
  <c r="I76" i="113"/>
  <c r="H76" i="113"/>
  <c r="G76" i="113"/>
  <c r="F76" i="113"/>
  <c r="E76" i="113"/>
  <c r="I144" i="112"/>
  <c r="H144" i="112"/>
  <c r="G144" i="112"/>
  <c r="F144" i="112"/>
  <c r="E144" i="112"/>
  <c r="I131" i="112"/>
  <c r="H131" i="112"/>
  <c r="G131" i="112"/>
  <c r="F131" i="112"/>
  <c r="E131" i="112"/>
  <c r="I126" i="112"/>
  <c r="H126" i="112"/>
  <c r="G126" i="112"/>
  <c r="F126" i="112"/>
  <c r="E126" i="112"/>
  <c r="I9" i="112"/>
  <c r="H9" i="112"/>
  <c r="G9" i="112"/>
  <c r="F9" i="112"/>
  <c r="E9" i="112"/>
  <c r="I64" i="111"/>
  <c r="H64" i="111"/>
  <c r="G64" i="111"/>
  <c r="F64" i="111"/>
  <c r="E64" i="111"/>
  <c r="I63" i="111"/>
  <c r="H63" i="111"/>
  <c r="G63" i="111"/>
  <c r="F63" i="111"/>
  <c r="E63" i="111"/>
  <c r="I21" i="108"/>
  <c r="H21" i="108"/>
  <c r="G21" i="108"/>
  <c r="F21" i="108"/>
  <c r="E21" i="108"/>
  <c r="P16" i="116"/>
  <c r="P13" i="116"/>
  <c r="I16" i="116"/>
  <c r="H16" i="116"/>
  <c r="G16" i="116"/>
  <c r="F16" i="116"/>
  <c r="E16" i="116"/>
  <c r="I14" i="116"/>
  <c r="I18" i="116" s="1"/>
  <c r="H14" i="116"/>
  <c r="H18" i="116" s="1"/>
  <c r="G14" i="116"/>
  <c r="G18" i="116" s="1"/>
  <c r="F14" i="116"/>
  <c r="F18" i="116" s="1"/>
  <c r="E14" i="116"/>
  <c r="E18" i="116" s="1"/>
  <c r="I13" i="116"/>
  <c r="H13" i="116"/>
  <c r="G13" i="116"/>
  <c r="F13" i="116"/>
  <c r="E13" i="116"/>
  <c r="I12" i="116"/>
  <c r="H12" i="116"/>
  <c r="G12" i="116"/>
  <c r="F12" i="116"/>
  <c r="E12" i="116"/>
  <c r="I11" i="116"/>
  <c r="H11" i="116"/>
  <c r="G11" i="116"/>
  <c r="F11" i="116"/>
  <c r="E11" i="116"/>
  <c r="I10" i="116"/>
  <c r="H10" i="116"/>
  <c r="G10" i="116"/>
  <c r="F10" i="116"/>
  <c r="E10" i="116"/>
  <c r="I9" i="116"/>
  <c r="H9" i="116"/>
  <c r="G9" i="116"/>
  <c r="F9" i="116"/>
  <c r="E9" i="116"/>
  <c r="I9" i="115"/>
  <c r="H9" i="115"/>
  <c r="G9" i="115"/>
  <c r="F9" i="115"/>
  <c r="E9" i="115"/>
  <c r="I22" i="114"/>
  <c r="H22" i="114"/>
  <c r="G22" i="114"/>
  <c r="F22" i="114"/>
  <c r="E22" i="114"/>
  <c r="AE51" i="107"/>
  <c r="AD51" i="107"/>
  <c r="AC51" i="107"/>
  <c r="AB51" i="107"/>
  <c r="AA51" i="107"/>
  <c r="S70" i="106"/>
  <c r="R70" i="106"/>
  <c r="Q70" i="106"/>
  <c r="P70" i="106"/>
  <c r="O70" i="106"/>
  <c r="S42" i="106"/>
  <c r="R42" i="106"/>
  <c r="Q42" i="106"/>
  <c r="P42" i="106"/>
  <c r="O42" i="106"/>
  <c r="S41" i="106"/>
  <c r="R41" i="106"/>
  <c r="Q41" i="106"/>
  <c r="P41" i="106"/>
  <c r="O41" i="106"/>
  <c r="S40" i="106"/>
  <c r="R40" i="106"/>
  <c r="Q40" i="106"/>
  <c r="P40" i="106"/>
  <c r="O40" i="106"/>
  <c r="S39" i="106"/>
  <c r="R39" i="106"/>
  <c r="Q39" i="106"/>
  <c r="P39" i="106"/>
  <c r="O39" i="106"/>
  <c r="S38" i="106"/>
  <c r="R38" i="106"/>
  <c r="Q38" i="106"/>
  <c r="P38" i="106"/>
  <c r="O38" i="106"/>
  <c r="G27" i="117" l="1"/>
  <c r="G79" i="113"/>
  <c r="H79" i="113"/>
  <c r="I79" i="113"/>
  <c r="E27" i="117"/>
  <c r="F27" i="117"/>
  <c r="F79" i="113"/>
  <c r="E79" i="113"/>
  <c r="H27" i="117"/>
  <c r="I27" i="117"/>
  <c r="E32" i="113"/>
  <c r="E40" i="113"/>
  <c r="E331" i="143" l="1"/>
  <c r="E327" i="143"/>
  <c r="E328" i="143"/>
  <c r="E329" i="143"/>
  <c r="G38" i="129" l="1"/>
  <c r="J139" i="112" l="1"/>
  <c r="F137" i="140" l="1"/>
  <c r="E137" i="140"/>
  <c r="F136" i="140"/>
  <c r="E136" i="140"/>
  <c r="F135" i="140"/>
  <c r="E135" i="140"/>
  <c r="F134" i="140"/>
  <c r="E134" i="140"/>
  <c r="F133" i="140"/>
  <c r="E133" i="140"/>
  <c r="F132" i="140"/>
  <c r="E132" i="140"/>
  <c r="F131" i="140"/>
  <c r="E131" i="140"/>
  <c r="F130" i="140"/>
  <c r="E130" i="140"/>
  <c r="F129" i="140"/>
  <c r="E129" i="140"/>
  <c r="F128" i="140"/>
  <c r="E128" i="140"/>
  <c r="F127" i="140"/>
  <c r="E127" i="140"/>
  <c r="F126" i="140"/>
  <c r="E126" i="140"/>
  <c r="F125" i="140"/>
  <c r="E125" i="140"/>
  <c r="F124" i="140"/>
  <c r="E124" i="140"/>
  <c r="F123" i="140"/>
  <c r="E123" i="140"/>
  <c r="F122" i="140"/>
  <c r="E122" i="140"/>
  <c r="F121" i="140"/>
  <c r="E121" i="140"/>
  <c r="F120" i="140"/>
  <c r="E120" i="140"/>
  <c r="F119" i="140"/>
  <c r="E119" i="140"/>
  <c r="F118" i="140"/>
  <c r="E118" i="140"/>
  <c r="F112" i="140"/>
  <c r="E112" i="140"/>
  <c r="F111" i="140"/>
  <c r="E111" i="140"/>
  <c r="F110" i="140"/>
  <c r="E110" i="140"/>
  <c r="F109" i="140"/>
  <c r="E109" i="140"/>
  <c r="F108" i="140"/>
  <c r="E108" i="140"/>
  <c r="F107" i="140"/>
  <c r="E107" i="140"/>
  <c r="F106" i="140"/>
  <c r="E106" i="140"/>
  <c r="F105" i="140"/>
  <c r="E105" i="140"/>
  <c r="F104" i="140"/>
  <c r="E104" i="140"/>
  <c r="F103" i="140"/>
  <c r="E103" i="140"/>
  <c r="F102" i="140"/>
  <c r="E102" i="140"/>
  <c r="F101" i="140"/>
  <c r="E101" i="140"/>
  <c r="F100" i="140"/>
  <c r="E100" i="140"/>
  <c r="F99" i="140"/>
  <c r="E99" i="140"/>
  <c r="F98" i="140"/>
  <c r="E98" i="140"/>
  <c r="F97" i="140"/>
  <c r="E97" i="140"/>
  <c r="F96" i="140"/>
  <c r="E96" i="140"/>
  <c r="F95" i="140"/>
  <c r="E95" i="140"/>
  <c r="F94" i="140"/>
  <c r="E94" i="140"/>
  <c r="F93" i="140"/>
  <c r="E93" i="140"/>
  <c r="E49" i="140"/>
  <c r="E48" i="140"/>
  <c r="E47" i="140"/>
  <c r="E46" i="140"/>
  <c r="E45" i="140"/>
  <c r="E44" i="140"/>
  <c r="E41" i="140"/>
  <c r="E40" i="140"/>
  <c r="E39" i="140"/>
  <c r="E38" i="140"/>
  <c r="E37" i="140"/>
  <c r="E36" i="140"/>
  <c r="E35" i="140"/>
  <c r="E34" i="140"/>
  <c r="E33" i="140"/>
  <c r="E32" i="140"/>
  <c r="E31" i="140"/>
  <c r="E30" i="140"/>
  <c r="E29" i="140"/>
  <c r="E28" i="140"/>
  <c r="F171" i="141"/>
  <c r="F170" i="141"/>
  <c r="F169" i="141"/>
  <c r="F168" i="141"/>
  <c r="F167" i="141"/>
  <c r="F166" i="141"/>
  <c r="X159" i="141"/>
  <c r="W159" i="141"/>
  <c r="V159" i="141"/>
  <c r="U159" i="141"/>
  <c r="T159" i="141"/>
  <c r="S159" i="141"/>
  <c r="R159" i="141"/>
  <c r="Q159" i="141"/>
  <c r="P159" i="141"/>
  <c r="O159" i="141"/>
  <c r="N159" i="141"/>
  <c r="M159" i="141"/>
  <c r="L159" i="141"/>
  <c r="K159" i="141"/>
  <c r="J159" i="141"/>
  <c r="I159" i="141"/>
  <c r="H159" i="141"/>
  <c r="G159" i="141"/>
  <c r="F159" i="141"/>
  <c r="E159" i="141"/>
  <c r="X158" i="141"/>
  <c r="W158" i="141"/>
  <c r="V158" i="141"/>
  <c r="U158" i="141"/>
  <c r="T158" i="141"/>
  <c r="S158" i="141"/>
  <c r="R158" i="141"/>
  <c r="Q158" i="141"/>
  <c r="P158" i="141"/>
  <c r="O158" i="141"/>
  <c r="N158" i="141"/>
  <c r="M158" i="141"/>
  <c r="L158" i="141"/>
  <c r="K158" i="141"/>
  <c r="J158" i="141"/>
  <c r="I158" i="141"/>
  <c r="H158" i="141"/>
  <c r="G158" i="141"/>
  <c r="F158" i="141"/>
  <c r="E158" i="141"/>
  <c r="AB156" i="141"/>
  <c r="AA156" i="141"/>
  <c r="Z156" i="141"/>
  <c r="X156" i="141"/>
  <c r="W156" i="141"/>
  <c r="V156" i="141"/>
  <c r="U156" i="141"/>
  <c r="T156" i="141"/>
  <c r="S156" i="141"/>
  <c r="R156" i="141"/>
  <c r="Q156" i="141"/>
  <c r="P156" i="141"/>
  <c r="O156" i="141"/>
  <c r="N156" i="141"/>
  <c r="M156" i="141"/>
  <c r="L156" i="141"/>
  <c r="K156" i="141"/>
  <c r="J156" i="141"/>
  <c r="I156" i="141"/>
  <c r="H156" i="141"/>
  <c r="G156" i="141"/>
  <c r="F156" i="141"/>
  <c r="E156" i="141"/>
  <c r="AB155" i="141"/>
  <c r="AA155" i="141"/>
  <c r="Z155" i="141"/>
  <c r="X155" i="141"/>
  <c r="W155" i="141"/>
  <c r="V155" i="141"/>
  <c r="U155" i="141"/>
  <c r="T155" i="141"/>
  <c r="S155" i="141"/>
  <c r="R155" i="141"/>
  <c r="Q155" i="141"/>
  <c r="P155" i="141"/>
  <c r="O155" i="141"/>
  <c r="N155" i="141"/>
  <c r="M155" i="141"/>
  <c r="L155" i="141"/>
  <c r="K155" i="141"/>
  <c r="J155" i="141"/>
  <c r="I155" i="141"/>
  <c r="H155" i="141"/>
  <c r="G155" i="141"/>
  <c r="F155" i="141"/>
  <c r="E155" i="141"/>
  <c r="AB154" i="141"/>
  <c r="AA154" i="141"/>
  <c r="Z154" i="141"/>
  <c r="X154" i="141"/>
  <c r="W154" i="141"/>
  <c r="V154" i="141"/>
  <c r="U154" i="141"/>
  <c r="T154" i="141"/>
  <c r="S154" i="141"/>
  <c r="R154" i="141"/>
  <c r="Q154" i="141"/>
  <c r="P154" i="141"/>
  <c r="O154" i="141"/>
  <c r="N154" i="141"/>
  <c r="M154" i="141"/>
  <c r="L154" i="141"/>
  <c r="K154" i="141"/>
  <c r="J154" i="141"/>
  <c r="I154" i="141"/>
  <c r="H154" i="141"/>
  <c r="G154" i="141"/>
  <c r="F154" i="141"/>
  <c r="E154" i="141"/>
  <c r="AB153" i="141"/>
  <c r="AA153" i="141"/>
  <c r="Z153" i="141"/>
  <c r="X153" i="141"/>
  <c r="W153" i="141"/>
  <c r="V153" i="141"/>
  <c r="U153" i="141"/>
  <c r="T153" i="141"/>
  <c r="S153" i="141"/>
  <c r="R153" i="141"/>
  <c r="Q153" i="141"/>
  <c r="P153" i="141"/>
  <c r="O153" i="141"/>
  <c r="N153" i="141"/>
  <c r="M153" i="141"/>
  <c r="L153" i="141"/>
  <c r="K153" i="141"/>
  <c r="J153" i="141"/>
  <c r="I153" i="141"/>
  <c r="H153" i="141"/>
  <c r="G153" i="141"/>
  <c r="F153" i="141"/>
  <c r="E153" i="141"/>
  <c r="AB152" i="141"/>
  <c r="AA152" i="141"/>
  <c r="Z152" i="141"/>
  <c r="X152" i="141"/>
  <c r="W152" i="141"/>
  <c r="V152" i="141"/>
  <c r="U152" i="141"/>
  <c r="T152" i="141"/>
  <c r="S152" i="141"/>
  <c r="R152" i="141"/>
  <c r="Q152" i="141"/>
  <c r="P152" i="141"/>
  <c r="O152" i="141"/>
  <c r="N152" i="141"/>
  <c r="M152" i="141"/>
  <c r="L152" i="141"/>
  <c r="K152" i="141"/>
  <c r="J152" i="141"/>
  <c r="I152" i="141"/>
  <c r="H152" i="141"/>
  <c r="G152" i="141"/>
  <c r="F152" i="141"/>
  <c r="E152" i="141"/>
  <c r="AB151" i="141"/>
  <c r="AA151" i="141"/>
  <c r="Z151" i="141"/>
  <c r="X151" i="141"/>
  <c r="W151" i="141"/>
  <c r="V151" i="141"/>
  <c r="U151" i="141"/>
  <c r="T151" i="141"/>
  <c r="S151" i="141"/>
  <c r="R151" i="141"/>
  <c r="Q151" i="141"/>
  <c r="P151" i="141"/>
  <c r="O151" i="141"/>
  <c r="N151" i="141"/>
  <c r="M151" i="141"/>
  <c r="L151" i="141"/>
  <c r="K151" i="141"/>
  <c r="J151" i="141"/>
  <c r="I151" i="141"/>
  <c r="H151" i="141"/>
  <c r="G151" i="141"/>
  <c r="F151" i="141"/>
  <c r="E151" i="141"/>
  <c r="AB150" i="141"/>
  <c r="AA150" i="141"/>
  <c r="Z150" i="141"/>
  <c r="X150" i="141"/>
  <c r="W150" i="141"/>
  <c r="V150" i="141"/>
  <c r="U150" i="141"/>
  <c r="T150" i="141"/>
  <c r="S150" i="141"/>
  <c r="R150" i="141"/>
  <c r="Q150" i="141"/>
  <c r="P150" i="141"/>
  <c r="O150" i="141"/>
  <c r="N150" i="141"/>
  <c r="M150" i="141"/>
  <c r="L150" i="141"/>
  <c r="K150" i="141"/>
  <c r="J150" i="141"/>
  <c r="I150" i="141"/>
  <c r="H150" i="141"/>
  <c r="G150" i="141"/>
  <c r="F150" i="141"/>
  <c r="E150" i="141"/>
  <c r="AB149" i="141"/>
  <c r="AA149" i="141"/>
  <c r="Z149" i="141"/>
  <c r="X149" i="141"/>
  <c r="W149" i="141"/>
  <c r="V149" i="141"/>
  <c r="U149" i="141"/>
  <c r="T149" i="141"/>
  <c r="S149" i="141"/>
  <c r="R149" i="141"/>
  <c r="Q149" i="141"/>
  <c r="P149" i="141"/>
  <c r="O149" i="141"/>
  <c r="N149" i="141"/>
  <c r="M149" i="141"/>
  <c r="L149" i="141"/>
  <c r="K149" i="141"/>
  <c r="J149" i="141"/>
  <c r="I149" i="141"/>
  <c r="H149" i="141"/>
  <c r="G149" i="141"/>
  <c r="F149" i="141"/>
  <c r="E149" i="141"/>
  <c r="AB148" i="141"/>
  <c r="AA148" i="141"/>
  <c r="Z148" i="141"/>
  <c r="X148" i="141"/>
  <c r="W148" i="141"/>
  <c r="V148" i="141"/>
  <c r="U148" i="141"/>
  <c r="T148" i="141"/>
  <c r="S148" i="141"/>
  <c r="R148" i="141"/>
  <c r="Q148" i="141"/>
  <c r="P148" i="141"/>
  <c r="O148" i="141"/>
  <c r="N148" i="141"/>
  <c r="M148" i="141"/>
  <c r="L148" i="141"/>
  <c r="K148" i="141"/>
  <c r="J148" i="141"/>
  <c r="I148" i="141"/>
  <c r="H148" i="141"/>
  <c r="G148" i="141"/>
  <c r="F148" i="141"/>
  <c r="E148" i="141"/>
  <c r="AB147" i="141"/>
  <c r="AA147" i="141"/>
  <c r="Z147" i="141"/>
  <c r="X147" i="141"/>
  <c r="W147" i="141"/>
  <c r="V147" i="141"/>
  <c r="U147" i="141"/>
  <c r="T147" i="141"/>
  <c r="S147" i="141"/>
  <c r="R147" i="141"/>
  <c r="Q147" i="141"/>
  <c r="P147" i="141"/>
  <c r="O147" i="141"/>
  <c r="N147" i="141"/>
  <c r="M147" i="141"/>
  <c r="L147" i="141"/>
  <c r="K147" i="141"/>
  <c r="J147" i="141"/>
  <c r="I147" i="141"/>
  <c r="H147" i="141"/>
  <c r="G147" i="141"/>
  <c r="F147" i="141"/>
  <c r="E147" i="141"/>
  <c r="F124" i="141"/>
  <c r="E124" i="141"/>
  <c r="F123" i="141"/>
  <c r="E123" i="141"/>
  <c r="F122" i="141"/>
  <c r="E122" i="141"/>
  <c r="F121" i="141"/>
  <c r="E121" i="141"/>
  <c r="F120" i="141"/>
  <c r="E120" i="141"/>
  <c r="F119" i="141"/>
  <c r="E119" i="141"/>
  <c r="F118" i="141"/>
  <c r="E118" i="141"/>
  <c r="F117" i="141"/>
  <c r="E117" i="141"/>
  <c r="F116" i="141"/>
  <c r="E116" i="141"/>
  <c r="F115" i="141"/>
  <c r="E115" i="141"/>
  <c r="F114" i="141"/>
  <c r="E114" i="141"/>
  <c r="F113" i="141"/>
  <c r="E113" i="141"/>
  <c r="F112" i="141"/>
  <c r="E112" i="141"/>
  <c r="F111" i="141"/>
  <c r="E111" i="141"/>
  <c r="F110" i="141"/>
  <c r="E110" i="141"/>
  <c r="F109" i="141"/>
  <c r="E109" i="141"/>
  <c r="F108" i="141"/>
  <c r="E108" i="141"/>
  <c r="F107" i="141"/>
  <c r="E107" i="141"/>
  <c r="F106" i="141"/>
  <c r="E106" i="141"/>
  <c r="F105" i="141"/>
  <c r="E105" i="141"/>
  <c r="X97" i="141"/>
  <c r="W97" i="141"/>
  <c r="V97" i="141"/>
  <c r="U97" i="141"/>
  <c r="T97" i="141"/>
  <c r="S97" i="141"/>
  <c r="R97" i="141"/>
  <c r="Q97" i="141"/>
  <c r="P97" i="141"/>
  <c r="O97" i="141"/>
  <c r="N97" i="141"/>
  <c r="M97" i="141"/>
  <c r="L97" i="141"/>
  <c r="K97" i="141"/>
  <c r="J97" i="141"/>
  <c r="I97" i="141"/>
  <c r="H97" i="141"/>
  <c r="G97" i="141"/>
  <c r="F97" i="141"/>
  <c r="E97" i="141"/>
  <c r="X96" i="141"/>
  <c r="W96" i="141"/>
  <c r="V96" i="141"/>
  <c r="U96" i="141"/>
  <c r="T96" i="141"/>
  <c r="S96" i="141"/>
  <c r="R96" i="141"/>
  <c r="Q96" i="141"/>
  <c r="P96" i="141"/>
  <c r="O96" i="141"/>
  <c r="N96" i="141"/>
  <c r="M96" i="141"/>
  <c r="L96" i="141"/>
  <c r="K96" i="141"/>
  <c r="J96" i="141"/>
  <c r="I96" i="141"/>
  <c r="H96" i="141"/>
  <c r="G96" i="141"/>
  <c r="F96" i="141"/>
  <c r="E96" i="141"/>
  <c r="X95" i="141"/>
  <c r="W95" i="141"/>
  <c r="V95" i="141"/>
  <c r="U95" i="141"/>
  <c r="T95" i="141"/>
  <c r="S95" i="141"/>
  <c r="R95" i="141"/>
  <c r="Q95" i="141"/>
  <c r="P95" i="141"/>
  <c r="O95" i="141"/>
  <c r="N95" i="141"/>
  <c r="M95" i="141"/>
  <c r="L95" i="141"/>
  <c r="K95" i="141"/>
  <c r="J95" i="141"/>
  <c r="I95" i="141"/>
  <c r="H95" i="141"/>
  <c r="G95" i="141"/>
  <c r="F95" i="141"/>
  <c r="E95" i="141"/>
  <c r="X94" i="141"/>
  <c r="W94" i="141"/>
  <c r="V94" i="141"/>
  <c r="U94" i="141"/>
  <c r="T94" i="141"/>
  <c r="S94" i="141"/>
  <c r="R94" i="141"/>
  <c r="Q94" i="141"/>
  <c r="P94" i="141"/>
  <c r="O94" i="141"/>
  <c r="N94" i="141"/>
  <c r="M94" i="141"/>
  <c r="L94" i="141"/>
  <c r="K94" i="141"/>
  <c r="J94" i="141"/>
  <c r="I94" i="141"/>
  <c r="H94" i="141"/>
  <c r="G94" i="141"/>
  <c r="F94" i="141"/>
  <c r="E94" i="141"/>
  <c r="X93" i="141"/>
  <c r="W93" i="141"/>
  <c r="V93" i="141"/>
  <c r="U93" i="141"/>
  <c r="T93" i="141"/>
  <c r="S93" i="141"/>
  <c r="R93" i="141"/>
  <c r="Q93" i="141"/>
  <c r="P93" i="141"/>
  <c r="O93" i="141"/>
  <c r="N93" i="141"/>
  <c r="M93" i="141"/>
  <c r="L93" i="141"/>
  <c r="K93" i="141"/>
  <c r="J93" i="141"/>
  <c r="I93" i="141"/>
  <c r="H93" i="141"/>
  <c r="G93" i="141"/>
  <c r="F93" i="141"/>
  <c r="E93" i="141"/>
  <c r="X92" i="141"/>
  <c r="W92" i="141"/>
  <c r="V92" i="141"/>
  <c r="U92" i="141"/>
  <c r="T92" i="141"/>
  <c r="S92" i="141"/>
  <c r="R92" i="141"/>
  <c r="Q92" i="141"/>
  <c r="P92" i="141"/>
  <c r="O92" i="141"/>
  <c r="N92" i="141"/>
  <c r="M92" i="141"/>
  <c r="L92" i="141"/>
  <c r="K92" i="141"/>
  <c r="J92" i="141"/>
  <c r="I92" i="141"/>
  <c r="H92" i="141"/>
  <c r="G92" i="141"/>
  <c r="F92" i="141"/>
  <c r="E92" i="141"/>
  <c r="X91" i="141"/>
  <c r="W91" i="141"/>
  <c r="V91" i="141"/>
  <c r="U91" i="141"/>
  <c r="T91" i="141"/>
  <c r="S91" i="141"/>
  <c r="R91" i="141"/>
  <c r="Q91" i="141"/>
  <c r="P91" i="141"/>
  <c r="O91" i="141"/>
  <c r="N91" i="141"/>
  <c r="M91" i="141"/>
  <c r="L91" i="141"/>
  <c r="K91" i="141"/>
  <c r="J91" i="141"/>
  <c r="I91" i="141"/>
  <c r="H91" i="141"/>
  <c r="G91" i="141"/>
  <c r="F91" i="141"/>
  <c r="E91" i="141"/>
  <c r="X90" i="141"/>
  <c r="W90" i="141"/>
  <c r="V90" i="141"/>
  <c r="U90" i="141"/>
  <c r="T90" i="141"/>
  <c r="S90" i="141"/>
  <c r="R90" i="141"/>
  <c r="Q90" i="141"/>
  <c r="P90" i="141"/>
  <c r="O90" i="141"/>
  <c r="N90" i="141"/>
  <c r="M90" i="141"/>
  <c r="L90" i="141"/>
  <c r="K90" i="141"/>
  <c r="J90" i="141"/>
  <c r="I90" i="141"/>
  <c r="H90" i="141"/>
  <c r="G90" i="141"/>
  <c r="F90" i="141"/>
  <c r="E90" i="141"/>
  <c r="X89" i="141"/>
  <c r="W89" i="141"/>
  <c r="V89" i="141"/>
  <c r="U89" i="141"/>
  <c r="T89" i="141"/>
  <c r="S89" i="141"/>
  <c r="R89" i="141"/>
  <c r="Q89" i="141"/>
  <c r="P89" i="141"/>
  <c r="O89" i="141"/>
  <c r="N89" i="141"/>
  <c r="M89" i="141"/>
  <c r="L89" i="141"/>
  <c r="K89" i="141"/>
  <c r="J89" i="141"/>
  <c r="I89" i="141"/>
  <c r="H89" i="141"/>
  <c r="G89" i="141"/>
  <c r="F89" i="141"/>
  <c r="E89" i="141"/>
  <c r="X88" i="141"/>
  <c r="W88" i="141"/>
  <c r="V88" i="141"/>
  <c r="U88" i="141"/>
  <c r="T88" i="141"/>
  <c r="S88" i="141"/>
  <c r="R88" i="141"/>
  <c r="Q88" i="141"/>
  <c r="P88" i="141"/>
  <c r="O88" i="141"/>
  <c r="N88" i="141"/>
  <c r="M88" i="141"/>
  <c r="L88" i="141"/>
  <c r="K88" i="141"/>
  <c r="J88" i="141"/>
  <c r="I88" i="141"/>
  <c r="H88" i="141"/>
  <c r="G88" i="141"/>
  <c r="F88" i="141"/>
  <c r="E88" i="141"/>
  <c r="X87" i="141"/>
  <c r="W87" i="141"/>
  <c r="V87" i="141"/>
  <c r="U87" i="141"/>
  <c r="T87" i="141"/>
  <c r="S87" i="141"/>
  <c r="R87" i="141"/>
  <c r="Q87" i="141"/>
  <c r="P87" i="141"/>
  <c r="O87" i="141"/>
  <c r="N87" i="141"/>
  <c r="M87" i="141"/>
  <c r="L87" i="141"/>
  <c r="K87" i="141"/>
  <c r="J87" i="141"/>
  <c r="I87" i="141"/>
  <c r="H87" i="141"/>
  <c r="G87" i="141"/>
  <c r="F87" i="141"/>
  <c r="E87" i="141"/>
  <c r="X86" i="141"/>
  <c r="W86" i="141"/>
  <c r="V86" i="141"/>
  <c r="U86" i="141"/>
  <c r="T86" i="141"/>
  <c r="S86" i="141"/>
  <c r="R86" i="141"/>
  <c r="Q86" i="141"/>
  <c r="P86" i="141"/>
  <c r="O86" i="141"/>
  <c r="N86" i="141"/>
  <c r="M86" i="141"/>
  <c r="L86" i="141"/>
  <c r="K86" i="141"/>
  <c r="J86" i="141"/>
  <c r="I86" i="141"/>
  <c r="H86" i="141"/>
  <c r="G86" i="141"/>
  <c r="F86" i="141"/>
  <c r="E86" i="141"/>
  <c r="X85" i="141"/>
  <c r="W85" i="141"/>
  <c r="V85" i="141"/>
  <c r="U85" i="141"/>
  <c r="T85" i="141"/>
  <c r="S85" i="141"/>
  <c r="R85" i="141"/>
  <c r="Q85" i="141"/>
  <c r="P85" i="141"/>
  <c r="O85" i="141"/>
  <c r="N85" i="141"/>
  <c r="M85" i="141"/>
  <c r="L85" i="141"/>
  <c r="K85" i="141"/>
  <c r="J85" i="141"/>
  <c r="I85" i="141"/>
  <c r="H85" i="141"/>
  <c r="G85" i="141"/>
  <c r="F85" i="141"/>
  <c r="E85" i="141"/>
  <c r="X84" i="141"/>
  <c r="W84" i="141"/>
  <c r="V84" i="141"/>
  <c r="U84" i="141"/>
  <c r="T84" i="141"/>
  <c r="S84" i="141"/>
  <c r="R84" i="141"/>
  <c r="Q84" i="141"/>
  <c r="P84" i="141"/>
  <c r="O84" i="141"/>
  <c r="N84" i="141"/>
  <c r="M84" i="141"/>
  <c r="L84" i="141"/>
  <c r="K84" i="141"/>
  <c r="J84" i="141"/>
  <c r="I84" i="141"/>
  <c r="H84" i="141"/>
  <c r="G84" i="141"/>
  <c r="F84" i="141"/>
  <c r="E84" i="141"/>
  <c r="X83" i="141"/>
  <c r="W83" i="141"/>
  <c r="V83" i="141"/>
  <c r="U83" i="141"/>
  <c r="T83" i="141"/>
  <c r="S83" i="141"/>
  <c r="R83" i="141"/>
  <c r="Q83" i="141"/>
  <c r="P83" i="141"/>
  <c r="O83" i="141"/>
  <c r="N83" i="141"/>
  <c r="M83" i="141"/>
  <c r="L83" i="141"/>
  <c r="K83" i="141"/>
  <c r="J83" i="141"/>
  <c r="I83" i="141"/>
  <c r="H83" i="141"/>
  <c r="G83" i="141"/>
  <c r="F83" i="141"/>
  <c r="E83" i="141"/>
  <c r="X82" i="141"/>
  <c r="W82" i="141"/>
  <c r="V82" i="141"/>
  <c r="U82" i="141"/>
  <c r="T82" i="141"/>
  <c r="S82" i="141"/>
  <c r="R82" i="141"/>
  <c r="Q82" i="141"/>
  <c r="P82" i="141"/>
  <c r="O82" i="141"/>
  <c r="N82" i="141"/>
  <c r="M82" i="141"/>
  <c r="L82" i="141"/>
  <c r="K82" i="141"/>
  <c r="J82" i="141"/>
  <c r="I82" i="141"/>
  <c r="H82" i="141"/>
  <c r="G82" i="141"/>
  <c r="F82" i="141"/>
  <c r="E82" i="141"/>
  <c r="X81" i="141"/>
  <c r="W81" i="141"/>
  <c r="V81" i="141"/>
  <c r="U81" i="141"/>
  <c r="T81" i="141"/>
  <c r="S81" i="141"/>
  <c r="R81" i="141"/>
  <c r="Q81" i="141"/>
  <c r="P81" i="141"/>
  <c r="O81" i="141"/>
  <c r="N81" i="141"/>
  <c r="M81" i="141"/>
  <c r="L81" i="141"/>
  <c r="K81" i="141"/>
  <c r="J81" i="141"/>
  <c r="I81" i="141"/>
  <c r="H81" i="141"/>
  <c r="G81" i="141"/>
  <c r="F81" i="141"/>
  <c r="E81" i="141"/>
  <c r="X80" i="141"/>
  <c r="W80" i="141"/>
  <c r="V80" i="141"/>
  <c r="U80" i="141"/>
  <c r="T80" i="141"/>
  <c r="S80" i="141"/>
  <c r="R80" i="141"/>
  <c r="Q80" i="141"/>
  <c r="P80" i="141"/>
  <c r="O80" i="141"/>
  <c r="N80" i="141"/>
  <c r="M80" i="141"/>
  <c r="L80" i="141"/>
  <c r="K80" i="141"/>
  <c r="J80" i="141"/>
  <c r="I80" i="141"/>
  <c r="H80" i="141"/>
  <c r="G80" i="141"/>
  <c r="F80" i="141"/>
  <c r="E80" i="141"/>
  <c r="X79" i="141"/>
  <c r="W79" i="141"/>
  <c r="V79" i="141"/>
  <c r="U79" i="141"/>
  <c r="T79" i="141"/>
  <c r="S79" i="141"/>
  <c r="R79" i="141"/>
  <c r="Q79" i="141"/>
  <c r="P79" i="141"/>
  <c r="O79" i="141"/>
  <c r="N79" i="141"/>
  <c r="M79" i="141"/>
  <c r="L79" i="141"/>
  <c r="K79" i="141"/>
  <c r="J79" i="141"/>
  <c r="I79" i="141"/>
  <c r="H79" i="141"/>
  <c r="G79" i="141"/>
  <c r="F79" i="141"/>
  <c r="E79" i="141"/>
  <c r="X78" i="141"/>
  <c r="W78" i="141"/>
  <c r="V78" i="141"/>
  <c r="U78" i="141"/>
  <c r="T78" i="141"/>
  <c r="S78" i="141"/>
  <c r="R78" i="141"/>
  <c r="Q78" i="141"/>
  <c r="P78" i="141"/>
  <c r="O78" i="141"/>
  <c r="N78" i="141"/>
  <c r="M78" i="141"/>
  <c r="L78" i="141"/>
  <c r="K78" i="141"/>
  <c r="J78" i="141"/>
  <c r="I78" i="141"/>
  <c r="H78" i="141"/>
  <c r="G78" i="141"/>
  <c r="F78" i="141"/>
  <c r="E78" i="141"/>
  <c r="X77" i="141"/>
  <c r="W77" i="141"/>
  <c r="V77" i="141"/>
  <c r="U77" i="141"/>
  <c r="T77" i="141"/>
  <c r="S77" i="141"/>
  <c r="R77" i="141"/>
  <c r="Q77" i="141"/>
  <c r="P77" i="141"/>
  <c r="O77" i="141"/>
  <c r="N77" i="141"/>
  <c r="M77" i="141"/>
  <c r="L77" i="141"/>
  <c r="K77" i="141"/>
  <c r="J77" i="141"/>
  <c r="I77" i="141"/>
  <c r="H77" i="141"/>
  <c r="G77" i="141"/>
  <c r="F77" i="141"/>
  <c r="E77" i="141"/>
  <c r="G68" i="141"/>
  <c r="F68" i="141"/>
  <c r="E68" i="141"/>
  <c r="G67" i="141"/>
  <c r="F67" i="141"/>
  <c r="E67" i="141"/>
  <c r="G66" i="141"/>
  <c r="F66" i="141"/>
  <c r="E66" i="141"/>
  <c r="G65" i="141"/>
  <c r="F65" i="141"/>
  <c r="E65" i="141"/>
  <c r="G64" i="141"/>
  <c r="F64" i="141"/>
  <c r="E64" i="141"/>
  <c r="G63" i="141"/>
  <c r="F63" i="141"/>
  <c r="E63" i="141"/>
  <c r="G62" i="141"/>
  <c r="F62" i="141"/>
  <c r="E62" i="141"/>
  <c r="G61" i="141"/>
  <c r="F61" i="141"/>
  <c r="E61" i="141"/>
  <c r="G60" i="141"/>
  <c r="F60" i="141"/>
  <c r="E60" i="141"/>
  <c r="G59" i="141"/>
  <c r="F59" i="141"/>
  <c r="E59" i="141"/>
  <c r="G58" i="141"/>
  <c r="F58" i="141"/>
  <c r="E58" i="141"/>
  <c r="G57" i="141"/>
  <c r="F57" i="141"/>
  <c r="E57" i="141"/>
  <c r="G56" i="141"/>
  <c r="F56" i="141"/>
  <c r="E56" i="141"/>
  <c r="G55" i="141"/>
  <c r="F55" i="141"/>
  <c r="E55" i="141"/>
  <c r="G54" i="141"/>
  <c r="F54" i="141"/>
  <c r="E54" i="141"/>
  <c r="G53" i="141"/>
  <c r="F53" i="141"/>
  <c r="E53" i="141"/>
  <c r="G52" i="141"/>
  <c r="F52" i="141"/>
  <c r="E52" i="141"/>
  <c r="G51" i="141"/>
  <c r="F51" i="141"/>
  <c r="E51" i="141"/>
  <c r="G50" i="141"/>
  <c r="F50" i="141"/>
  <c r="E50" i="141"/>
  <c r="G49" i="141"/>
  <c r="F49" i="141"/>
  <c r="E49" i="141"/>
  <c r="I432" i="143"/>
  <c r="H432" i="143"/>
  <c r="G432" i="143"/>
  <c r="N47" i="114"/>
  <c r="M47" i="114"/>
  <c r="L47" i="114"/>
  <c r="K47" i="114"/>
  <c r="J47" i="114"/>
  <c r="I47" i="114"/>
  <c r="H47" i="114"/>
  <c r="G47" i="114"/>
  <c r="F47" i="114"/>
  <c r="E47" i="114"/>
  <c r="G38" i="114"/>
  <c r="G37" i="114"/>
  <c r="G36" i="114"/>
  <c r="G35" i="114"/>
  <c r="G34" i="114"/>
  <c r="G33" i="114"/>
  <c r="G32" i="114"/>
  <c r="G31" i="114"/>
  <c r="G30" i="114"/>
  <c r="G29" i="114"/>
  <c r="F12" i="113"/>
  <c r="F11" i="113" s="1"/>
  <c r="R19" i="111"/>
  <c r="Q19" i="111"/>
  <c r="I14" i="109"/>
  <c r="H14" i="109"/>
  <c r="G14" i="109"/>
  <c r="F14" i="109"/>
  <c r="E14" i="109"/>
  <c r="U18" i="34"/>
  <c r="T18" i="34"/>
  <c r="S18" i="34"/>
  <c r="R18" i="34"/>
  <c r="Q18" i="34"/>
  <c r="P18" i="34"/>
  <c r="I155" i="112" l="1" a="1"/>
  <c r="I155" i="112" s="1"/>
  <c r="I152" i="112" a="1"/>
  <c r="I152" i="112" s="1"/>
  <c r="I154" i="112" a="1"/>
  <c r="I154" i="112" s="1"/>
  <c r="I153" i="112" a="1"/>
  <c r="I153" i="112" s="1"/>
  <c r="H96" i="138" a="1"/>
  <c r="H96" i="138" s="1"/>
  <c r="H99" i="138" a="1"/>
  <c r="H99" i="138" s="1"/>
  <c r="H98" i="138" a="1"/>
  <c r="H98" i="138" s="1"/>
  <c r="H97" i="138" a="1"/>
  <c r="H97" i="138" s="1"/>
  <c r="I98" i="138" a="1"/>
  <c r="I98" i="138" s="1"/>
  <c r="I96" i="138" a="1"/>
  <c r="I96" i="138" s="1"/>
  <c r="I99" i="138" a="1"/>
  <c r="I99" i="138" s="1"/>
  <c r="I97" i="138" a="1"/>
  <c r="I97" i="138" s="1"/>
  <c r="G99" i="138" a="1"/>
  <c r="G99" i="138" s="1"/>
  <c r="G97" i="138" a="1"/>
  <c r="G97" i="138" s="1"/>
  <c r="G98" i="138" a="1"/>
  <c r="G98" i="138" s="1"/>
  <c r="G96" i="138" a="1"/>
  <c r="G96" i="138" s="1"/>
  <c r="F97" i="138" a="1"/>
  <c r="F97" i="138" s="1"/>
  <c r="F96" i="138" a="1"/>
  <c r="F96" i="138" s="1"/>
  <c r="F99" i="138" a="1"/>
  <c r="F99" i="138" s="1"/>
  <c r="F98" i="138" a="1"/>
  <c r="F98" i="138" s="1"/>
  <c r="E96" i="138" a="1"/>
  <c r="E96" i="138" s="1"/>
  <c r="E97" i="138" a="1"/>
  <c r="E97" i="138" s="1"/>
  <c r="E99" i="138" a="1"/>
  <c r="E99" i="138" s="1"/>
  <c r="E98" i="138" a="1"/>
  <c r="E98" i="138" s="1"/>
  <c r="E12" i="113"/>
  <c r="E11" i="113" s="1"/>
  <c r="G152" i="112" a="1"/>
  <c r="G152" i="112" s="1"/>
  <c r="G155" i="112" a="1"/>
  <c r="G155" i="112" s="1"/>
  <c r="G153" i="112" a="1"/>
  <c r="G153" i="112" s="1"/>
  <c r="G154" i="112" a="1"/>
  <c r="G154" i="112" s="1"/>
  <c r="H152" i="112" a="1"/>
  <c r="H152" i="112" s="1"/>
  <c r="H155" i="112" a="1"/>
  <c r="H155" i="112" s="1"/>
  <c r="H154" i="112" a="1"/>
  <c r="H154" i="112" s="1"/>
  <c r="H153" i="112" a="1"/>
  <c r="H153" i="112" s="1"/>
  <c r="F152" i="112" a="1"/>
  <c r="F152" i="112" s="1"/>
  <c r="F155" i="112" a="1"/>
  <c r="F155" i="112" s="1"/>
  <c r="F154" i="112" a="1"/>
  <c r="F154" i="112" s="1"/>
  <c r="F153" i="112" a="1"/>
  <c r="F153" i="112" s="1"/>
  <c r="E154" i="112" a="1"/>
  <c r="E154" i="112" s="1"/>
  <c r="E155" i="112" a="1"/>
  <c r="E155" i="112" s="1"/>
  <c r="E152" i="112" a="1"/>
  <c r="E152" i="112" s="1"/>
  <c r="E153" i="112" a="1"/>
  <c r="E153" i="112" s="1"/>
  <c r="F351" i="143" l="1"/>
  <c r="E46" i="129" l="1"/>
  <c r="E47" i="129"/>
  <c r="E48" i="129"/>
  <c r="E49" i="129"/>
  <c r="E50" i="129"/>
  <c r="E51" i="129"/>
  <c r="E52" i="129"/>
  <c r="E53" i="129"/>
  <c r="E54" i="129"/>
  <c r="E55" i="129"/>
  <c r="E56" i="129"/>
  <c r="E57" i="129"/>
  <c r="E58" i="129"/>
  <c r="E59" i="129"/>
  <c r="D59" i="129"/>
  <c r="D46" i="129"/>
  <c r="D47" i="129"/>
  <c r="D48" i="129"/>
  <c r="D49" i="129"/>
  <c r="D50" i="129"/>
  <c r="D51" i="129"/>
  <c r="D52" i="129"/>
  <c r="D53" i="129"/>
  <c r="D54" i="129"/>
  <c r="D55" i="129"/>
  <c r="D56" i="129"/>
  <c r="D57" i="129"/>
  <c r="D58" i="129"/>
  <c r="H312" i="143"/>
  <c r="E45" i="129"/>
  <c r="D45" i="129" l="1"/>
  <c r="I351" i="143" s="1"/>
  <c r="G36" i="129"/>
  <c r="G35" i="129"/>
  <c r="G34" i="129"/>
  <c r="G33" i="129"/>
  <c r="G20" i="129"/>
  <c r="G19" i="129"/>
  <c r="G18" i="129"/>
  <c r="G17" i="129"/>
  <c r="G16" i="129"/>
  <c r="G15" i="129"/>
  <c r="G14" i="129"/>
  <c r="G13" i="129"/>
  <c r="G12" i="129"/>
  <c r="G11" i="129"/>
  <c r="G10" i="129"/>
  <c r="G31" i="129"/>
  <c r="G30" i="129"/>
  <c r="G29" i="129"/>
  <c r="G28" i="129"/>
  <c r="G27" i="129"/>
  <c r="G26" i="129"/>
  <c r="G25" i="129"/>
  <c r="G24" i="129"/>
  <c r="G23" i="129"/>
  <c r="G22" i="129"/>
  <c r="H330" i="143"/>
  <c r="H328" i="143"/>
  <c r="H327" i="143"/>
  <c r="H326" i="143"/>
  <c r="H324" i="143"/>
  <c r="H323" i="143"/>
  <c r="H321" i="143"/>
  <c r="H320" i="143"/>
  <c r="H318" i="143"/>
  <c r="H317" i="143"/>
  <c r="H316" i="143"/>
  <c r="H315" i="143"/>
  <c r="H314" i="143"/>
  <c r="H313" i="143"/>
  <c r="I338" i="143" l="1"/>
  <c r="I341" i="143"/>
  <c r="I344" i="143"/>
  <c r="I340" i="143"/>
  <c r="I347" i="143"/>
  <c r="I342" i="143"/>
  <c r="I350" i="143"/>
  <c r="I346" i="143"/>
  <c r="I352" i="143"/>
  <c r="I339" i="143"/>
  <c r="I343" i="143"/>
  <c r="I348" i="143"/>
  <c r="I345" i="143"/>
  <c r="I349" i="143"/>
  <c r="H333" i="143"/>
  <c r="G40" i="129"/>
  <c r="A40" i="129" s="1"/>
  <c r="I354" i="143" l="1"/>
  <c r="T215" i="104"/>
  <c r="S215" i="104"/>
  <c r="R215" i="104"/>
  <c r="Q215" i="104"/>
  <c r="F73" i="138" l="1"/>
  <c r="E73" i="138"/>
  <c r="F74" i="138" l="1"/>
  <c r="E74" i="138"/>
  <c r="E72" i="138"/>
  <c r="E75" i="138" s="1"/>
  <c r="E77" i="138" s="1"/>
  <c r="N78" i="138"/>
  <c r="G73" i="138"/>
  <c r="F72" i="138" l="1"/>
  <c r="F75" i="138" s="1"/>
  <c r="F77" i="138" s="1"/>
  <c r="G74" i="138" l="1"/>
  <c r="G72" i="138"/>
  <c r="H74" i="138"/>
  <c r="O78" i="138"/>
  <c r="P78" i="138"/>
  <c r="I73" i="138"/>
  <c r="H73" i="138"/>
  <c r="G75" i="138" l="1"/>
  <c r="G77" i="138" s="1"/>
  <c r="H72" i="138"/>
  <c r="H75" i="138" s="1"/>
  <c r="H77" i="138" s="1"/>
  <c r="S74" i="138"/>
  <c r="S77" i="138"/>
  <c r="S75" i="138"/>
  <c r="Q78" i="138"/>
  <c r="S72" i="138" l="1"/>
  <c r="S73" i="138"/>
  <c r="S76" i="138" l="1"/>
  <c r="S78" i="138" s="1"/>
  <c r="I74" i="138"/>
  <c r="I72" i="138"/>
  <c r="R78" i="138"/>
  <c r="I75" i="138" l="1"/>
  <c r="I77" i="138" s="1"/>
  <c r="D176" i="144" l="1"/>
  <c r="D175" i="144"/>
  <c r="D174" i="144"/>
  <c r="D173" i="144"/>
  <c r="D172" i="144"/>
  <c r="D171" i="144"/>
  <c r="D170" i="144"/>
  <c r="D169" i="144"/>
  <c r="D168" i="144"/>
  <c r="D260" i="143"/>
  <c r="D259" i="143"/>
  <c r="D258" i="143"/>
  <c r="D257" i="143"/>
  <c r="D256" i="143"/>
  <c r="D255" i="143"/>
  <c r="D254" i="143"/>
  <c r="D253" i="143"/>
  <c r="D261" i="143"/>
  <c r="E141" i="143"/>
  <c r="E140" i="143"/>
  <c r="E139" i="143"/>
  <c r="E138" i="143"/>
  <c r="E137" i="143"/>
  <c r="E136" i="143"/>
  <c r="V279" i="104" l="1"/>
  <c r="W279" i="104"/>
  <c r="X279" i="104"/>
  <c r="V284" i="104"/>
  <c r="W284" i="104"/>
  <c r="U279" i="104"/>
  <c r="U284" i="104" l="1"/>
  <c r="X284" i="104"/>
  <c r="O288" i="104"/>
  <c r="E302" i="119" l="1"/>
  <c r="F302" i="119"/>
  <c r="G302" i="119"/>
  <c r="S101" i="119" l="1"/>
  <c r="R101" i="119"/>
  <c r="N102" i="119" l="1"/>
  <c r="R102" i="119"/>
  <c r="O102" i="119"/>
  <c r="N101" i="119"/>
  <c r="P164" i="104" s="1"/>
  <c r="O101" i="119"/>
  <c r="Q101" i="119"/>
  <c r="T99" i="119"/>
  <c r="T98" i="119"/>
  <c r="Q102" i="119"/>
  <c r="T100" i="119"/>
  <c r="S102" i="119"/>
  <c r="P101" i="119"/>
  <c r="P102" i="119"/>
  <c r="T101" i="119" l="1"/>
  <c r="T102" i="119"/>
  <c r="H73" i="106" l="1"/>
  <c r="X215" i="104"/>
  <c r="W215" i="104"/>
  <c r="V215" i="104"/>
  <c r="U215" i="104"/>
  <c r="C246" i="119" l="1"/>
  <c r="C245" i="119"/>
  <c r="C244" i="119"/>
  <c r="C243" i="119"/>
  <c r="C242" i="119"/>
  <c r="C241" i="119"/>
  <c r="C240" i="119"/>
  <c r="C239" i="119"/>
  <c r="C238" i="119"/>
  <c r="C237" i="119"/>
  <c r="C236" i="119"/>
  <c r="D236" i="119"/>
  <c r="J259" i="143" l="1"/>
  <c r="I259" i="143"/>
  <c r="J175" i="144"/>
  <c r="I175" i="144"/>
  <c r="J173" i="144"/>
  <c r="I173" i="144"/>
  <c r="J172" i="144"/>
  <c r="I172" i="144"/>
  <c r="J171" i="144"/>
  <c r="I171" i="144"/>
  <c r="J170" i="144"/>
  <c r="I170" i="144"/>
  <c r="J169" i="144"/>
  <c r="I169" i="144"/>
  <c r="F173" i="144"/>
  <c r="E172" i="144"/>
  <c r="F169" i="144"/>
  <c r="E168" i="144"/>
  <c r="J260" i="143"/>
  <c r="I260" i="143"/>
  <c r="J258" i="143"/>
  <c r="I258" i="143"/>
  <c r="J257" i="143"/>
  <c r="I257" i="143"/>
  <c r="J256" i="143"/>
  <c r="I256" i="143"/>
  <c r="J255" i="143"/>
  <c r="I255" i="143"/>
  <c r="J254" i="143"/>
  <c r="I254" i="143"/>
  <c r="F258" i="143"/>
  <c r="E257" i="143"/>
  <c r="F254" i="143"/>
  <c r="E253" i="143"/>
  <c r="G67" i="131"/>
  <c r="H67" i="131" s="1"/>
  <c r="E175" i="144"/>
  <c r="F174" i="144"/>
  <c r="E174" i="144"/>
  <c r="G65" i="131"/>
  <c r="H65" i="131" s="1"/>
  <c r="E173" i="144"/>
  <c r="G64" i="131"/>
  <c r="H64" i="131" s="1"/>
  <c r="F172" i="144"/>
  <c r="G63" i="131"/>
  <c r="H63" i="131" s="1"/>
  <c r="E171" i="144"/>
  <c r="F170" i="144"/>
  <c r="E170" i="144"/>
  <c r="G61" i="131"/>
  <c r="H61" i="131" s="1"/>
  <c r="E169" i="144"/>
  <c r="G60" i="131"/>
  <c r="H60" i="131" s="1"/>
  <c r="G172" i="144" l="1"/>
  <c r="H172" i="144" s="1"/>
  <c r="G173" i="144"/>
  <c r="H173" i="144" s="1"/>
  <c r="G170" i="144"/>
  <c r="H170" i="144" s="1"/>
  <c r="G174" i="144"/>
  <c r="H174" i="144" s="1"/>
  <c r="G169" i="144"/>
  <c r="H169" i="144" s="1"/>
  <c r="F256" i="143"/>
  <c r="F260" i="143"/>
  <c r="F171" i="144"/>
  <c r="G171" i="144" s="1"/>
  <c r="H171" i="144" s="1"/>
  <c r="F175" i="144"/>
  <c r="G175" i="144" s="1"/>
  <c r="H175" i="144" s="1"/>
  <c r="E255" i="143"/>
  <c r="G62" i="131"/>
  <c r="H62" i="131" s="1"/>
  <c r="G66" i="131"/>
  <c r="H66" i="131" s="1"/>
  <c r="F253" i="143"/>
  <c r="G253" i="143" s="1"/>
  <c r="F255" i="143"/>
  <c r="F257" i="143"/>
  <c r="G257" i="143" s="1"/>
  <c r="H257" i="143" s="1"/>
  <c r="F259" i="143"/>
  <c r="F168" i="144"/>
  <c r="G168" i="144" s="1"/>
  <c r="H168" i="144" s="1"/>
  <c r="E259" i="143"/>
  <c r="E254" i="143"/>
  <c r="G254" i="143" s="1"/>
  <c r="H254" i="143" s="1"/>
  <c r="E256" i="143"/>
  <c r="E258" i="143"/>
  <c r="G258" i="143" s="1"/>
  <c r="H258" i="143" s="1"/>
  <c r="E260" i="143"/>
  <c r="J174" i="144"/>
  <c r="I174" i="144"/>
  <c r="G255" i="143" l="1"/>
  <c r="H255" i="143" s="1"/>
  <c r="E263" i="143"/>
  <c r="G259" i="143"/>
  <c r="H259" i="143" s="1"/>
  <c r="G260" i="143"/>
  <c r="H260" i="143" s="1"/>
  <c r="G256" i="143"/>
  <c r="H256" i="143" s="1"/>
  <c r="F263" i="143"/>
  <c r="H253" i="143"/>
  <c r="G263" i="143" l="1"/>
  <c r="H263" i="143"/>
  <c r="J14" i="109" l="1"/>
  <c r="J11" i="109"/>
  <c r="O19" i="34" l="1"/>
  <c r="P55" i="34"/>
  <c r="J46" i="106" l="1"/>
  <c r="E13" i="109"/>
  <c r="J69" i="106"/>
  <c r="Q55" i="34"/>
  <c r="N55" i="34"/>
  <c r="M55" i="34"/>
  <c r="L55" i="34"/>
  <c r="K55" i="34"/>
  <c r="J55" i="34"/>
  <c r="N19" i="34"/>
  <c r="M19" i="34"/>
  <c r="L19" i="34"/>
  <c r="K19" i="34"/>
  <c r="J19" i="34"/>
  <c r="R55" i="34"/>
  <c r="K46" i="106" l="1"/>
  <c r="K69" i="106"/>
  <c r="F13" i="109"/>
  <c r="S55" i="34"/>
  <c r="L46" i="106"/>
  <c r="G13" i="109"/>
  <c r="L69" i="106"/>
  <c r="H55" i="34"/>
  <c r="G55" i="34"/>
  <c r="F55" i="34"/>
  <c r="N53" i="34"/>
  <c r="M53" i="34"/>
  <c r="L53" i="34"/>
  <c r="K53" i="34"/>
  <c r="J53" i="34"/>
  <c r="H53" i="34"/>
  <c r="G53" i="34"/>
  <c r="F53" i="34"/>
  <c r="E53" i="34"/>
  <c r="H19" i="34"/>
  <c r="G19" i="34"/>
  <c r="F19" i="34"/>
  <c r="T55" i="34" l="1"/>
  <c r="M46" i="106"/>
  <c r="H13" i="109"/>
  <c r="M69" i="106"/>
  <c r="I16" i="109" l="1"/>
  <c r="K120" i="137"/>
  <c r="H16" i="109"/>
  <c r="J16" i="109" s="1"/>
  <c r="J120" i="137"/>
  <c r="I13" i="109"/>
  <c r="N69" i="106"/>
  <c r="N46" i="106"/>
  <c r="S24" i="111" l="1"/>
  <c r="J10" i="109" l="1"/>
  <c r="J13" i="109"/>
  <c r="D129" i="144"/>
  <c r="K13" i="109" l="1"/>
  <c r="L13" i="109" s="1"/>
  <c r="C123" i="119"/>
  <c r="C122" i="119"/>
  <c r="C121" i="119"/>
  <c r="C120" i="119"/>
  <c r="C118" i="119"/>
  <c r="C117" i="119"/>
  <c r="C116" i="119"/>
  <c r="C115" i="119"/>
  <c r="C114" i="119"/>
  <c r="D132" i="144"/>
  <c r="E375" i="143"/>
  <c r="E374" i="143"/>
  <c r="E373" i="143"/>
  <c r="E372" i="143"/>
  <c r="E371" i="143"/>
  <c r="E370" i="143"/>
  <c r="E369" i="143"/>
  <c r="E368" i="143"/>
  <c r="E367" i="143"/>
  <c r="D361" i="143"/>
  <c r="D360" i="143"/>
  <c r="D359" i="143"/>
  <c r="F352" i="143"/>
  <c r="F350" i="143"/>
  <c r="F349" i="143"/>
  <c r="F348" i="143"/>
  <c r="F347" i="143"/>
  <c r="F346" i="143"/>
  <c r="F345" i="143"/>
  <c r="F344" i="143"/>
  <c r="F343" i="143"/>
  <c r="F342" i="143"/>
  <c r="F341" i="143"/>
  <c r="F340" i="143"/>
  <c r="F339" i="143"/>
  <c r="E326" i="143"/>
  <c r="E324" i="143"/>
  <c r="E323" i="143"/>
  <c r="E321" i="143"/>
  <c r="E320" i="143"/>
  <c r="E318" i="143"/>
  <c r="E317" i="143"/>
  <c r="E316" i="143"/>
  <c r="E315" i="143"/>
  <c r="E314" i="143"/>
  <c r="E313" i="143"/>
  <c r="D306" i="143"/>
  <c r="D305" i="143"/>
  <c r="D304" i="143"/>
  <c r="D303" i="143"/>
  <c r="D297" i="143"/>
  <c r="D296" i="143"/>
  <c r="D295" i="143"/>
  <c r="D294" i="143"/>
  <c r="E267" i="143"/>
  <c r="D267" i="143"/>
  <c r="D288" i="143"/>
  <c r="D287" i="143"/>
  <c r="E286" i="143"/>
  <c r="D286" i="143"/>
  <c r="D285" i="143"/>
  <c r="D284" i="143"/>
  <c r="D283" i="143"/>
  <c r="D282" i="143"/>
  <c r="E281" i="143"/>
  <c r="D281" i="143"/>
  <c r="D280" i="143"/>
  <c r="D279" i="143"/>
  <c r="E278" i="143"/>
  <c r="D278" i="143"/>
  <c r="D277" i="143"/>
  <c r="D276" i="143"/>
  <c r="D275" i="143"/>
  <c r="D274" i="143"/>
  <c r="E273" i="143"/>
  <c r="D273" i="143"/>
  <c r="D272" i="143"/>
  <c r="D271" i="143"/>
  <c r="D270" i="143"/>
  <c r="D269" i="143"/>
  <c r="D268" i="143"/>
  <c r="O338" i="104" l="1"/>
  <c r="P215" i="104" l="1"/>
  <c r="U27" i="104" l="1"/>
  <c r="T27" i="104"/>
  <c r="S27" i="104"/>
  <c r="R27" i="104"/>
  <c r="Q27" i="104"/>
  <c r="P27" i="104"/>
  <c r="O328" i="104" l="1"/>
  <c r="O329" i="104"/>
  <c r="T331" i="104"/>
  <c r="AA329" i="104"/>
  <c r="AB329" i="104"/>
  <c r="AC329" i="104"/>
  <c r="AD329" i="104"/>
  <c r="AE329" i="104"/>
  <c r="O330" i="104"/>
  <c r="P330" i="104"/>
  <c r="Q330" i="104"/>
  <c r="R330" i="104"/>
  <c r="S330" i="104"/>
  <c r="T330" i="104"/>
  <c r="U330" i="104"/>
  <c r="V330" i="104"/>
  <c r="W330" i="104"/>
  <c r="X330" i="104"/>
  <c r="Y330" i="104"/>
  <c r="Z330" i="104"/>
  <c r="O331" i="104"/>
  <c r="P331" i="104"/>
  <c r="V331" i="104"/>
  <c r="W331" i="104"/>
  <c r="X331" i="104"/>
  <c r="Y331" i="104"/>
  <c r="Z331" i="104"/>
  <c r="AA331" i="104"/>
  <c r="AB331" i="104"/>
  <c r="AC331" i="104"/>
  <c r="AD331" i="104"/>
  <c r="AE331" i="104"/>
  <c r="O332" i="104"/>
  <c r="P332" i="104"/>
  <c r="Q332" i="104"/>
  <c r="R332" i="104"/>
  <c r="S332" i="104"/>
  <c r="T332" i="104"/>
  <c r="U332" i="104"/>
  <c r="AA332" i="104"/>
  <c r="AB332" i="104"/>
  <c r="AC332" i="104"/>
  <c r="AD332" i="104"/>
  <c r="AE332" i="104"/>
  <c r="O333" i="104"/>
  <c r="P333" i="104"/>
  <c r="Q333" i="104"/>
  <c r="R333" i="104"/>
  <c r="S333" i="104"/>
  <c r="T333" i="104"/>
  <c r="U333" i="104"/>
  <c r="V333" i="104"/>
  <c r="W333" i="104"/>
  <c r="X333" i="104"/>
  <c r="Y333" i="104"/>
  <c r="Z333" i="104"/>
  <c r="O335" i="104"/>
  <c r="P335" i="104"/>
  <c r="O336" i="104"/>
  <c r="P336" i="104"/>
  <c r="C326" i="104" s="1"/>
  <c r="O337" i="104"/>
  <c r="P337" i="104"/>
  <c r="D160" i="144"/>
  <c r="D159" i="144"/>
  <c r="D157" i="144"/>
  <c r="D156" i="144"/>
  <c r="D155" i="144"/>
  <c r="D154" i="144"/>
  <c r="D152" i="144"/>
  <c r="D151" i="144"/>
  <c r="D149" i="144"/>
  <c r="D148" i="144"/>
  <c r="D147" i="144"/>
  <c r="D146" i="144"/>
  <c r="D144" i="144"/>
  <c r="D143" i="144"/>
  <c r="D142" i="144"/>
  <c r="D141" i="144"/>
  <c r="D140" i="144"/>
  <c r="D434" i="143"/>
  <c r="D433" i="143"/>
  <c r="D432" i="143"/>
  <c r="E449" i="143"/>
  <c r="E448" i="143"/>
  <c r="E447" i="143"/>
  <c r="E446" i="143"/>
  <c r="E445" i="143"/>
  <c r="E444" i="143"/>
  <c r="E443" i="143"/>
  <c r="E442" i="143"/>
  <c r="E441" i="143"/>
  <c r="E477" i="143"/>
  <c r="E475" i="143"/>
  <c r="E474" i="143"/>
  <c r="E473" i="143"/>
  <c r="E472" i="143"/>
  <c r="E470" i="143"/>
  <c r="E469" i="143"/>
  <c r="E467" i="143"/>
  <c r="E466" i="143"/>
  <c r="E464" i="143"/>
  <c r="E463" i="143"/>
  <c r="E462" i="143"/>
  <c r="E461" i="143"/>
  <c r="E460" i="143"/>
  <c r="E459" i="143"/>
  <c r="P338" i="104" l="1"/>
  <c r="S331" i="104"/>
  <c r="R331" i="104"/>
  <c r="Q331" i="104"/>
  <c r="U331" i="104"/>
  <c r="D426" i="143" l="1"/>
  <c r="D425" i="143"/>
  <c r="D424" i="143"/>
  <c r="D423" i="143"/>
  <c r="D422" i="143"/>
  <c r="D416" i="143"/>
  <c r="D415" i="143"/>
  <c r="D414" i="143"/>
  <c r="D413" i="143"/>
  <c r="D412" i="143"/>
  <c r="D404" i="143"/>
  <c r="D403" i="143"/>
  <c r="D402" i="143"/>
  <c r="D401" i="143"/>
  <c r="D400" i="143"/>
  <c r="D399" i="143"/>
  <c r="D398" i="143"/>
  <c r="D397" i="143"/>
  <c r="D396" i="143"/>
  <c r="D395" i="143"/>
  <c r="D394" i="143"/>
  <c r="D393" i="143"/>
  <c r="D392" i="143"/>
  <c r="D391" i="143"/>
  <c r="D390" i="143"/>
  <c r="D389" i="143"/>
  <c r="D388" i="143"/>
  <c r="D387" i="143"/>
  <c r="D386" i="143"/>
  <c r="D385" i="143"/>
  <c r="D383" i="143"/>
  <c r="D384" i="143"/>
  <c r="P79" i="143" l="1"/>
  <c r="O79" i="143"/>
  <c r="P78" i="143"/>
  <c r="O78" i="143"/>
  <c r="N110" i="137"/>
  <c r="M110" i="137"/>
  <c r="L110" i="137"/>
  <c r="K110" i="137"/>
  <c r="J110" i="137"/>
  <c r="K113" i="137" l="1"/>
  <c r="G78" i="143"/>
  <c r="K78" i="143"/>
  <c r="H78" i="143"/>
  <c r="L78" i="143"/>
  <c r="E78" i="143"/>
  <c r="I78" i="143"/>
  <c r="M78" i="143"/>
  <c r="F78" i="143"/>
  <c r="J78" i="143"/>
  <c r="N78" i="143"/>
  <c r="D184" i="138"/>
  <c r="D183" i="138"/>
  <c r="D182" i="138"/>
  <c r="D181" i="138"/>
  <c r="G62" i="137" l="1"/>
  <c r="G79" i="143" s="1"/>
  <c r="F62" i="137"/>
  <c r="F79" i="143" s="1"/>
  <c r="E62" i="137"/>
  <c r="E79" i="143" s="1"/>
  <c r="V9" i="116" l="1"/>
  <c r="I55" i="119" l="1"/>
  <c r="G138" i="141"/>
  <c r="F138" i="141"/>
  <c r="E138" i="141"/>
  <c r="U67" i="106" l="1"/>
  <c r="L73" i="106" l="1"/>
  <c r="L71" i="106" s="1"/>
  <c r="K73" i="106"/>
  <c r="K71" i="106" s="1"/>
  <c r="M73" i="106"/>
  <c r="M71" i="106" s="1"/>
  <c r="J73" i="106"/>
  <c r="J71" i="106" s="1"/>
  <c r="N73" i="106"/>
  <c r="N71" i="106" s="1"/>
  <c r="L72" i="106"/>
  <c r="L70" i="106" s="1"/>
  <c r="J72" i="106"/>
  <c r="J70" i="106" s="1"/>
  <c r="N72" i="106"/>
  <c r="N70" i="106" s="1"/>
  <c r="M72" i="106"/>
  <c r="M70" i="106" s="1"/>
  <c r="K72" i="106"/>
  <c r="K70" i="106" s="1"/>
  <c r="D50" i="28"/>
  <c r="S31" i="145" l="1"/>
  <c r="S30" i="145"/>
  <c r="S24" i="145"/>
  <c r="S23" i="145"/>
  <c r="O25" i="145"/>
  <c r="P25" i="145"/>
  <c r="Q25" i="145"/>
  <c r="R25" i="145"/>
  <c r="N25" i="145"/>
  <c r="S32" i="145" l="1"/>
  <c r="S25" i="145"/>
  <c r="D50" i="25" l="1"/>
  <c r="B4" i="145"/>
  <c r="D131" i="144" l="1"/>
  <c r="D130" i="144"/>
  <c r="D121" i="144"/>
  <c r="D120" i="144"/>
  <c r="D119" i="144"/>
  <c r="D118" i="144"/>
  <c r="E288" i="143"/>
  <c r="E287" i="143"/>
  <c r="E285" i="143"/>
  <c r="E283" i="143"/>
  <c r="E282" i="143"/>
  <c r="E280" i="143"/>
  <c r="E279" i="143"/>
  <c r="E277" i="143"/>
  <c r="E276" i="143"/>
  <c r="E275" i="143"/>
  <c r="E274" i="143"/>
  <c r="E271" i="143"/>
  <c r="E270" i="143"/>
  <c r="E269" i="143"/>
  <c r="E268" i="143"/>
  <c r="H296" i="143"/>
  <c r="G295" i="143"/>
  <c r="F295" i="143"/>
  <c r="G426" i="143" l="1"/>
  <c r="I306" i="143"/>
  <c r="E129" i="144"/>
  <c r="E294" i="143"/>
  <c r="I132" i="144"/>
  <c r="I297" i="143"/>
  <c r="I121" i="144"/>
  <c r="G416" i="143"/>
  <c r="G96" i="140" l="1"/>
  <c r="G100" i="140"/>
  <c r="G104" i="140"/>
  <c r="G112" i="140"/>
  <c r="G105" i="140" l="1"/>
  <c r="G109" i="140"/>
  <c r="G101" i="140"/>
  <c r="G99" i="140"/>
  <c r="G97" i="140"/>
  <c r="G106" i="140"/>
  <c r="G111" i="140"/>
  <c r="G102" i="140"/>
  <c r="G107" i="140"/>
  <c r="G98" i="140"/>
  <c r="G95" i="140"/>
  <c r="G110" i="140"/>
  <c r="G108" i="140"/>
  <c r="G103" i="140"/>
  <c r="G94" i="140"/>
  <c r="D200" i="138"/>
  <c r="Y97" i="141" l="1"/>
  <c r="Y96" i="141"/>
  <c r="Y92" i="141"/>
  <c r="Y91" i="141"/>
  <c r="Y90" i="141"/>
  <c r="Y89" i="141"/>
  <c r="Y88" i="141"/>
  <c r="Y87" i="141"/>
  <c r="Y86" i="141"/>
  <c r="Y85" i="141"/>
  <c r="Y84" i="141"/>
  <c r="Y83" i="141"/>
  <c r="Y82" i="141"/>
  <c r="Y81" i="141"/>
  <c r="Y80" i="141"/>
  <c r="X98" i="141"/>
  <c r="X100" i="141" s="1"/>
  <c r="W98" i="141"/>
  <c r="W100" i="141" s="1"/>
  <c r="V98" i="141"/>
  <c r="V100" i="141" s="1"/>
  <c r="Y79" i="141" l="1"/>
  <c r="Y77" i="141"/>
  <c r="Y94" i="141"/>
  <c r="Y95" i="141"/>
  <c r="Y93" i="141"/>
  <c r="U98" i="141"/>
  <c r="U100" i="141" s="1"/>
  <c r="Y78" i="141"/>
  <c r="I103" i="119"/>
  <c r="H103" i="119"/>
  <c r="G103" i="119"/>
  <c r="F103" i="119"/>
  <c r="E103" i="119"/>
  <c r="D103" i="119"/>
  <c r="Y98" i="141" l="1"/>
  <c r="Y100" i="141" s="1"/>
  <c r="Y150" i="141" l="1"/>
  <c r="Y156" i="141"/>
  <c r="Y154" i="141"/>
  <c r="Y147" i="141"/>
  <c r="Y151" i="141"/>
  <c r="Y155" i="141"/>
  <c r="Y148" i="141"/>
  <c r="Y152" i="141"/>
  <c r="Y149" i="141"/>
  <c r="Y153" i="141"/>
  <c r="Y157" i="141" l="1"/>
  <c r="J101" i="112" l="1"/>
  <c r="J100" i="112"/>
  <c r="J103" i="112"/>
  <c r="J102" i="112"/>
  <c r="F104" i="112"/>
  <c r="H104" i="112"/>
  <c r="G104" i="112"/>
  <c r="I104" i="112"/>
  <c r="J24" i="109" l="1"/>
  <c r="J22" i="109"/>
  <c r="J26" i="109"/>
  <c r="AA190" i="104"/>
  <c r="AC190" i="104" l="1"/>
  <c r="AB190" i="104" l="1"/>
  <c r="AE190" i="104" l="1"/>
  <c r="AD190" i="104"/>
  <c r="G425" i="143" l="1"/>
  <c r="H305" i="143"/>
  <c r="H120" i="144"/>
  <c r="D53" i="25"/>
  <c r="D54" i="28"/>
  <c r="B4" i="144"/>
  <c r="A1" i="144"/>
  <c r="H53" i="25" s="1"/>
  <c r="D199" i="138" l="1"/>
  <c r="D198" i="138"/>
  <c r="D197" i="138"/>
  <c r="D196" i="138"/>
  <c r="D195" i="138"/>
  <c r="D194" i="138"/>
  <c r="D193" i="138"/>
  <c r="D192" i="138"/>
  <c r="D191" i="138"/>
  <c r="H26" i="109" l="1"/>
  <c r="G26" i="109"/>
  <c r="F26" i="109"/>
  <c r="H24" i="109"/>
  <c r="G24" i="109"/>
  <c r="F24" i="109"/>
  <c r="G22" i="109"/>
  <c r="H22" i="109"/>
  <c r="F22" i="109"/>
  <c r="E47" i="109"/>
  <c r="I47" i="109" s="1"/>
  <c r="I49" i="109"/>
  <c r="I48" i="109"/>
  <c r="V28" i="107" l="1"/>
  <c r="A32" i="110" l="1"/>
  <c r="A58" i="110"/>
  <c r="H62" i="137" l="1"/>
  <c r="H79" i="143" s="1"/>
  <c r="A31" i="110" l="1"/>
  <c r="K62" i="137"/>
  <c r="K79" i="143" s="1"/>
  <c r="N62" i="137"/>
  <c r="N79" i="143" s="1"/>
  <c r="J62" i="137"/>
  <c r="J79" i="143" s="1"/>
  <c r="I62" i="137"/>
  <c r="I79" i="143" s="1"/>
  <c r="M62" i="137"/>
  <c r="M79" i="143" s="1"/>
  <c r="L62" i="137"/>
  <c r="L79" i="143" s="1"/>
  <c r="F433" i="143" l="1"/>
  <c r="F360" i="143"/>
  <c r="F434" i="143"/>
  <c r="F361" i="143"/>
  <c r="G434" i="143"/>
  <c r="G433" i="143"/>
  <c r="H433" i="143" l="1"/>
  <c r="H434" i="143"/>
  <c r="I434" i="143" l="1"/>
  <c r="I433" i="143"/>
  <c r="J433" i="143" l="1"/>
  <c r="J434" i="143"/>
  <c r="F359" i="143"/>
  <c r="F432" i="143" l="1"/>
  <c r="J432" i="143" l="1"/>
  <c r="H131" i="144" l="1"/>
  <c r="G130" i="144"/>
  <c r="F130" i="144"/>
  <c r="G415" i="143" l="1"/>
  <c r="G414" i="143"/>
  <c r="G413" i="143"/>
  <c r="G412" i="143"/>
  <c r="F55" i="143"/>
  <c r="E55" i="143"/>
  <c r="F53" i="143"/>
  <c r="E53" i="143"/>
  <c r="F52" i="143"/>
  <c r="E52" i="143"/>
  <c r="F50" i="143"/>
  <c r="E50" i="143"/>
  <c r="F49" i="143"/>
  <c r="E49" i="143"/>
  <c r="F48" i="143"/>
  <c r="E48" i="143"/>
  <c r="F46" i="143"/>
  <c r="E46" i="143"/>
  <c r="F45" i="143"/>
  <c r="E45" i="143"/>
  <c r="F44" i="143"/>
  <c r="E44" i="143"/>
  <c r="F43" i="143"/>
  <c r="E43" i="143"/>
  <c r="F42" i="143"/>
  <c r="E42" i="143"/>
  <c r="F41" i="143"/>
  <c r="E41" i="143"/>
  <c r="F40" i="143"/>
  <c r="E40" i="143"/>
  <c r="F39" i="143"/>
  <c r="E39" i="143"/>
  <c r="F38" i="143"/>
  <c r="E38" i="143"/>
  <c r="F37" i="143"/>
  <c r="E37" i="143"/>
  <c r="F36" i="143"/>
  <c r="E36" i="143"/>
  <c r="F35" i="143"/>
  <c r="E35" i="143"/>
  <c r="F33" i="143"/>
  <c r="E33" i="143"/>
  <c r="D53" i="28"/>
  <c r="D52" i="28"/>
  <c r="D51" i="28"/>
  <c r="D49" i="28"/>
  <c r="D48" i="28"/>
  <c r="D47" i="28"/>
  <c r="D46" i="28"/>
  <c r="D45" i="28"/>
  <c r="D44" i="28"/>
  <c r="D43" i="28"/>
  <c r="D42" i="28"/>
  <c r="D41" i="28"/>
  <c r="D40" i="28"/>
  <c r="D39" i="28"/>
  <c r="D36" i="28"/>
  <c r="D35" i="28"/>
  <c r="D28" i="28"/>
  <c r="D27" i="28"/>
  <c r="D26" i="28"/>
  <c r="D24" i="28"/>
  <c r="D23" i="28"/>
  <c r="D22" i="28"/>
  <c r="D21" i="28"/>
  <c r="D52" i="25"/>
  <c r="B4" i="143"/>
  <c r="F113" i="140" l="1"/>
  <c r="E113" i="140"/>
  <c r="G93" i="140"/>
  <c r="G113" i="140" l="1"/>
  <c r="G82" i="140"/>
  <c r="H63" i="140"/>
  <c r="H67" i="140"/>
  <c r="H75" i="140"/>
  <c r="H69" i="140"/>
  <c r="H61" i="140"/>
  <c r="H65" i="140"/>
  <c r="H71" i="140"/>
  <c r="H79" i="140"/>
  <c r="H59" i="140"/>
  <c r="H60" i="140"/>
  <c r="H62" i="140"/>
  <c r="H64" i="140"/>
  <c r="H66" i="140"/>
  <c r="H68" i="140"/>
  <c r="H70" i="140"/>
  <c r="H72" i="140"/>
  <c r="H74" i="140"/>
  <c r="H76" i="140"/>
  <c r="H78" i="140"/>
  <c r="H80" i="140"/>
  <c r="H73" i="140"/>
  <c r="H77" i="140"/>
  <c r="H81" i="140"/>
  <c r="F82" i="140"/>
  <c r="H82" i="140" s="1"/>
  <c r="E42" i="140" l="1"/>
  <c r="G84" i="140" s="1"/>
  <c r="E50" i="140"/>
  <c r="E51" i="140" l="1"/>
  <c r="E53" i="140" s="1"/>
  <c r="G85" i="140"/>
  <c r="U157" i="141"/>
  <c r="E157" i="141"/>
  <c r="V157" i="141"/>
  <c r="S157" i="141"/>
  <c r="K157" i="141"/>
  <c r="G134" i="141" l="1"/>
  <c r="A53" i="140"/>
  <c r="G86" i="140"/>
  <c r="G137" i="141"/>
  <c r="G135" i="141"/>
  <c r="G133" i="141"/>
  <c r="G131" i="141"/>
  <c r="M157" i="141"/>
  <c r="G129" i="141"/>
  <c r="G136" i="141"/>
  <c r="G132" i="141"/>
  <c r="G130" i="141"/>
  <c r="G157" i="141"/>
  <c r="O157" i="141"/>
  <c r="W157" i="141"/>
  <c r="I157" i="141"/>
  <c r="Q157" i="141"/>
  <c r="M98" i="141"/>
  <c r="M100" i="141" s="1"/>
  <c r="Q98" i="141"/>
  <c r="Q100" i="141" s="1"/>
  <c r="L157" i="141"/>
  <c r="P157" i="141"/>
  <c r="T157" i="141"/>
  <c r="X157" i="141"/>
  <c r="F157" i="141"/>
  <c r="J157" i="141"/>
  <c r="N157" i="141"/>
  <c r="R157" i="141"/>
  <c r="I98" i="141"/>
  <c r="I100" i="141" s="1"/>
  <c r="H157" i="141"/>
  <c r="F98" i="141"/>
  <c r="F100" i="141" s="1"/>
  <c r="J98" i="141"/>
  <c r="J100" i="141" s="1"/>
  <c r="N98" i="141"/>
  <c r="N100" i="141" s="1"/>
  <c r="R98" i="141"/>
  <c r="R100" i="141" s="1"/>
  <c r="G98" i="141"/>
  <c r="G100" i="141" s="1"/>
  <c r="K98" i="141"/>
  <c r="K100" i="141" s="1"/>
  <c r="O98" i="141"/>
  <c r="O100" i="141" s="1"/>
  <c r="T98" i="141"/>
  <c r="T100" i="141" s="1"/>
  <c r="H98" i="141"/>
  <c r="H100" i="141" s="1"/>
  <c r="L98" i="141"/>
  <c r="L100" i="141" s="1"/>
  <c r="P98" i="141"/>
  <c r="P100" i="141" s="1"/>
  <c r="S98" i="141"/>
  <c r="S100" i="141" s="1"/>
  <c r="G69" i="141"/>
  <c r="G71" i="141" s="1"/>
  <c r="E98" i="141"/>
  <c r="E100" i="141" s="1"/>
  <c r="E69" i="141"/>
  <c r="E71" i="141" s="1"/>
  <c r="F69" i="141"/>
  <c r="F71" i="141" s="1"/>
  <c r="E161" i="141" l="1"/>
  <c r="W161" i="141"/>
  <c r="O161" i="141"/>
  <c r="M161" i="141"/>
  <c r="S161" i="141"/>
  <c r="T161" i="141"/>
  <c r="K161" i="141"/>
  <c r="N161" i="141"/>
  <c r="X161" i="141"/>
  <c r="G161" i="141"/>
  <c r="J161" i="141"/>
  <c r="I161" i="141"/>
  <c r="H161" i="141"/>
  <c r="R161" i="141"/>
  <c r="P161" i="141"/>
  <c r="V161" i="141"/>
  <c r="L161" i="141"/>
  <c r="U161" i="141"/>
  <c r="F161" i="141"/>
  <c r="Q161" i="141"/>
  <c r="G88" i="140"/>
  <c r="A100" i="141" l="1"/>
  <c r="A161" i="141"/>
  <c r="A71" i="141" l="1"/>
  <c r="A1" i="141" s="1"/>
  <c r="D48" i="25" l="1"/>
  <c r="D45" i="25"/>
  <c r="D46" i="25"/>
  <c r="B4" i="142"/>
  <c r="A1" i="142"/>
  <c r="H45" i="25" s="1"/>
  <c r="B4" i="141"/>
  <c r="H46" i="25"/>
  <c r="D47" i="25"/>
  <c r="B4" i="140"/>
  <c r="J42" i="137" l="1"/>
  <c r="J41" i="137"/>
  <c r="O39" i="104" l="1"/>
  <c r="P39" i="104"/>
  <c r="Q39" i="104"/>
  <c r="R39" i="104"/>
  <c r="S39" i="104"/>
  <c r="T39" i="104"/>
  <c r="U39" i="104"/>
  <c r="V39" i="104"/>
  <c r="W39" i="104"/>
  <c r="X39" i="104"/>
  <c r="Y39" i="104"/>
  <c r="Z39" i="104"/>
  <c r="L40" i="112" l="1"/>
  <c r="U12" i="104"/>
  <c r="T12" i="104"/>
  <c r="S12" i="104"/>
  <c r="R12" i="104"/>
  <c r="Q12" i="104"/>
  <c r="G422" i="143" l="1"/>
  <c r="E303" i="143"/>
  <c r="G424" i="143"/>
  <c r="G304" i="143"/>
  <c r="G423" i="143"/>
  <c r="F304" i="143"/>
  <c r="E385" i="143"/>
  <c r="E141" i="144"/>
  <c r="E391" i="143"/>
  <c r="E147" i="144"/>
  <c r="E396" i="143"/>
  <c r="E152" i="144"/>
  <c r="E386" i="143"/>
  <c r="E142" i="144"/>
  <c r="E392" i="143"/>
  <c r="E148" i="144"/>
  <c r="E398" i="143"/>
  <c r="E154" i="144"/>
  <c r="E404" i="143"/>
  <c r="E160" i="144"/>
  <c r="E387" i="143"/>
  <c r="E143" i="144"/>
  <c r="E399" i="143"/>
  <c r="E155" i="144"/>
  <c r="E118" i="144"/>
  <c r="E393" i="143"/>
  <c r="E149" i="144"/>
  <c r="F119" i="144"/>
  <c r="E384" i="143"/>
  <c r="E140" i="144"/>
  <c r="E390" i="143"/>
  <c r="E146" i="144"/>
  <c r="E395" i="143"/>
  <c r="E151" i="144"/>
  <c r="E401" i="143"/>
  <c r="E157" i="144"/>
  <c r="G119" i="144"/>
  <c r="E403" i="143"/>
  <c r="E159" i="144"/>
  <c r="F182" i="138" l="1"/>
  <c r="G182" i="138"/>
  <c r="H182" i="138"/>
  <c r="I182" i="138"/>
  <c r="F183" i="138"/>
  <c r="G183" i="138"/>
  <c r="H183" i="138"/>
  <c r="I183" i="138"/>
  <c r="F184" i="138"/>
  <c r="G184" i="138"/>
  <c r="H184" i="138"/>
  <c r="I184" i="138"/>
  <c r="E183" i="138"/>
  <c r="E184" i="138"/>
  <c r="E182" i="138"/>
  <c r="E186" i="138" l="1"/>
  <c r="I186" i="138"/>
  <c r="H186" i="138"/>
  <c r="G186" i="138"/>
  <c r="F186" i="138"/>
  <c r="I147" i="138"/>
  <c r="H147" i="138"/>
  <c r="G147" i="138"/>
  <c r="F147" i="138"/>
  <c r="E147" i="138"/>
  <c r="I142" i="138"/>
  <c r="H142" i="138"/>
  <c r="G142" i="138"/>
  <c r="F142" i="138"/>
  <c r="I145" i="138"/>
  <c r="H145" i="138"/>
  <c r="G145" i="138"/>
  <c r="F145" i="138"/>
  <c r="E145" i="138"/>
  <c r="I144" i="138"/>
  <c r="H144" i="138"/>
  <c r="G144" i="138"/>
  <c r="F144" i="138"/>
  <c r="E144" i="138"/>
  <c r="G44" i="108" l="1"/>
  <c r="A186" i="138"/>
  <c r="E44" i="108"/>
  <c r="H44" i="108"/>
  <c r="I44" i="108"/>
  <c r="F44" i="108"/>
  <c r="G146" i="138"/>
  <c r="G143" i="138"/>
  <c r="G78" i="138" s="1"/>
  <c r="H146" i="138"/>
  <c r="H143" i="138"/>
  <c r="H78" i="138" s="1"/>
  <c r="E146" i="138"/>
  <c r="E143" i="138"/>
  <c r="E78" i="138" s="1"/>
  <c r="I146" i="138"/>
  <c r="I143" i="138"/>
  <c r="I78" i="138" s="1"/>
  <c r="F146" i="138"/>
  <c r="F143" i="138"/>
  <c r="F78" i="138" s="1"/>
  <c r="A44" i="108" l="1"/>
  <c r="Y189" i="104"/>
  <c r="G31" i="145" l="1"/>
  <c r="G116" i="119"/>
  <c r="G24" i="145"/>
  <c r="Y138" i="104"/>
  <c r="G115" i="119" l="1"/>
  <c r="Y87" i="104"/>
  <c r="G114" i="119"/>
  <c r="G117" i="119"/>
  <c r="Z189" i="104"/>
  <c r="Z138" i="104"/>
  <c r="H115" i="119" l="1"/>
  <c r="Z87" i="104"/>
  <c r="H117" i="119"/>
  <c r="H114" i="119"/>
  <c r="H31" i="145"/>
  <c r="H116" i="119"/>
  <c r="H24" i="145"/>
  <c r="G39" i="114" l="1"/>
  <c r="Y39" i="107" l="1"/>
  <c r="H43" i="112" l="1"/>
  <c r="H47" i="112" s="1"/>
  <c r="Z39" i="107"/>
  <c r="I43" i="112" l="1"/>
  <c r="I47" i="112" s="1"/>
  <c r="AI36" i="107" l="1"/>
  <c r="J64" i="111" l="1"/>
  <c r="F84" i="140" l="1"/>
  <c r="F85" i="140"/>
  <c r="H85" i="140" s="1"/>
  <c r="E52" i="113"/>
  <c r="P12" i="116" l="1"/>
  <c r="F86" i="140"/>
  <c r="F88" i="140" s="1"/>
  <c r="H84" i="140"/>
  <c r="E44" i="113"/>
  <c r="E53" i="113" s="1"/>
  <c r="A88" i="140" l="1"/>
  <c r="A1" i="140" s="1"/>
  <c r="H47" i="25" s="1"/>
  <c r="H86" i="140"/>
  <c r="I13" i="113" l="1"/>
  <c r="I15" i="113" s="1"/>
  <c r="E13" i="113"/>
  <c r="H13" i="113"/>
  <c r="Q15" i="113" s="1"/>
  <c r="H15" i="113" l="1"/>
  <c r="E55" i="113"/>
  <c r="A55" i="113" s="1"/>
  <c r="E104" i="112" l="1"/>
  <c r="J99" i="112"/>
  <c r="J104" i="112" s="1"/>
  <c r="P25" i="106"/>
  <c r="P27" i="106"/>
  <c r="P26" i="106"/>
  <c r="D36" i="106"/>
  <c r="F38" i="106"/>
  <c r="F44" i="106" s="1"/>
  <c r="G38" i="106"/>
  <c r="G44" i="106" s="1"/>
  <c r="H38" i="106"/>
  <c r="H44" i="106" s="1"/>
  <c r="F39" i="106"/>
  <c r="G39" i="106"/>
  <c r="H39" i="106"/>
  <c r="F40" i="106"/>
  <c r="G40" i="106"/>
  <c r="H40" i="106"/>
  <c r="O56" i="106"/>
  <c r="F41" i="106"/>
  <c r="G41" i="106"/>
  <c r="H41" i="106"/>
  <c r="F42" i="106"/>
  <c r="G42" i="106"/>
  <c r="H42" i="106"/>
  <c r="H46" i="106"/>
  <c r="D52" i="106"/>
  <c r="F54" i="106"/>
  <c r="F60" i="106" s="1"/>
  <c r="G54" i="106"/>
  <c r="G60" i="106" s="1"/>
  <c r="H54" i="106"/>
  <c r="H60" i="106" s="1"/>
  <c r="F55" i="106"/>
  <c r="G55" i="106"/>
  <c r="H55" i="106"/>
  <c r="F56" i="106"/>
  <c r="G56" i="106"/>
  <c r="H56" i="106"/>
  <c r="F57" i="106"/>
  <c r="G57" i="106"/>
  <c r="H57" i="106"/>
  <c r="F58" i="106"/>
  <c r="G58" i="106"/>
  <c r="H58" i="106"/>
  <c r="H68" i="106"/>
  <c r="H69" i="106"/>
  <c r="F70" i="106"/>
  <c r="G70" i="106"/>
  <c r="H70" i="106"/>
  <c r="H71" i="106"/>
  <c r="H72" i="106"/>
  <c r="P28" i="106" l="1"/>
  <c r="C8" i="106"/>
  <c r="O54" i="106"/>
  <c r="B3" i="118" l="1"/>
  <c r="AE304" i="104"/>
  <c r="AD304" i="104"/>
  <c r="AC304" i="104"/>
  <c r="AB304" i="104"/>
  <c r="AA304" i="104"/>
  <c r="AD241" i="104"/>
  <c r="AB241" i="104"/>
  <c r="AE88" i="104"/>
  <c r="AD88" i="104"/>
  <c r="AC88" i="104"/>
  <c r="AB88" i="104"/>
  <c r="AA88" i="104"/>
  <c r="AD139" i="104"/>
  <c r="AB139" i="104"/>
  <c r="F318" i="119" l="1"/>
  <c r="H317" i="119"/>
  <c r="G163" i="111"/>
  <c r="D319" i="119"/>
  <c r="H319" i="119"/>
  <c r="G318" i="119"/>
  <c r="F313" i="119"/>
  <c r="H320" i="119"/>
  <c r="D317" i="119"/>
  <c r="E165" i="111"/>
  <c r="I165" i="111"/>
  <c r="H164" i="111"/>
  <c r="G316" i="119"/>
  <c r="E320" i="119"/>
  <c r="H163" i="111"/>
  <c r="F165" i="111"/>
  <c r="I164" i="111"/>
  <c r="E319" i="119"/>
  <c r="D318" i="119"/>
  <c r="H318" i="119"/>
  <c r="G313" i="119"/>
  <c r="D316" i="119"/>
  <c r="H316" i="119"/>
  <c r="F320" i="119"/>
  <c r="F317" i="119"/>
  <c r="E163" i="111"/>
  <c r="I163" i="111"/>
  <c r="G165" i="111"/>
  <c r="F164" i="111"/>
  <c r="G319" i="119"/>
  <c r="E313" i="119"/>
  <c r="F316" i="119"/>
  <c r="D320" i="119"/>
  <c r="E317" i="119"/>
  <c r="E164" i="111"/>
  <c r="F319" i="119"/>
  <c r="E318" i="119"/>
  <c r="D313" i="119"/>
  <c r="H313" i="119"/>
  <c r="E316" i="119"/>
  <c r="G320" i="119"/>
  <c r="G317" i="119"/>
  <c r="F163" i="111"/>
  <c r="H165" i="111"/>
  <c r="G164" i="111"/>
  <c r="AE139" i="104"/>
  <c r="AE355" i="104"/>
  <c r="AC241" i="104"/>
  <c r="AA139" i="104"/>
  <c r="AC139" i="104"/>
  <c r="AA241" i="104"/>
  <c r="AE241" i="104"/>
  <c r="AC355" i="104"/>
  <c r="AA355" i="104"/>
  <c r="AB355" i="104"/>
  <c r="AD355" i="104"/>
  <c r="I24" i="108"/>
  <c r="H24" i="108"/>
  <c r="G24" i="108"/>
  <c r="F24" i="108"/>
  <c r="U19" i="34"/>
  <c r="U55" i="34" s="1"/>
  <c r="H719" i="119" l="1"/>
  <c r="H722" i="119"/>
  <c r="G719" i="119"/>
  <c r="G722" i="119"/>
  <c r="E722" i="119"/>
  <c r="E719" i="119"/>
  <c r="E720" i="119" s="1"/>
  <c r="E723" i="119" s="1"/>
  <c r="F719" i="119"/>
  <c r="F720" i="119" s="1"/>
  <c r="F723" i="119" s="1"/>
  <c r="F722" i="119"/>
  <c r="D722" i="119"/>
  <c r="D719" i="119"/>
  <c r="H720" i="119"/>
  <c r="H723" i="119" s="1"/>
  <c r="G720" i="119"/>
  <c r="G723" i="119" s="1"/>
  <c r="I166" i="111"/>
  <c r="E230" i="111"/>
  <c r="J164" i="111"/>
  <c r="G166" i="111"/>
  <c r="E166" i="111"/>
  <c r="J163" i="111"/>
  <c r="J165" i="111"/>
  <c r="F166" i="111"/>
  <c r="H166" i="111"/>
  <c r="E24" i="108"/>
  <c r="A24" i="108" s="1"/>
  <c r="D720" i="119"/>
  <c r="D723" i="119" s="1"/>
  <c r="E48" i="114" a="1"/>
  <c r="E48" i="114" s="1"/>
  <c r="E50" i="114" s="1"/>
  <c r="A50" i="114" s="1"/>
  <c r="G41" i="114"/>
  <c r="A41" i="114" s="1"/>
  <c r="D51" i="25"/>
  <c r="J113" i="138"/>
  <c r="J114" i="138"/>
  <c r="I719" i="119" l="1"/>
  <c r="J166" i="111"/>
  <c r="A723" i="119"/>
  <c r="G230" i="111"/>
  <c r="I232" i="111"/>
  <c r="E231" i="111"/>
  <c r="J112" i="138"/>
  <c r="A607" i="119" l="1"/>
  <c r="E232" i="111"/>
  <c r="F231" i="111"/>
  <c r="H230" i="111"/>
  <c r="H231" i="111"/>
  <c r="I231" i="111"/>
  <c r="F232" i="111"/>
  <c r="H232" i="111"/>
  <c r="I230" i="111"/>
  <c r="G231" i="111"/>
  <c r="G232" i="111"/>
  <c r="F230" i="111"/>
  <c r="J137" i="138"/>
  <c r="J125" i="138"/>
  <c r="J131" i="138"/>
  <c r="J73" i="138"/>
  <c r="J74" i="138"/>
  <c r="J72" i="138"/>
  <c r="J75" i="138" l="1"/>
  <c r="J230" i="111"/>
  <c r="I233" i="111"/>
  <c r="J231" i="111"/>
  <c r="G233" i="111"/>
  <c r="H233" i="111"/>
  <c r="E233" i="111"/>
  <c r="F233" i="111"/>
  <c r="J232" i="111"/>
  <c r="G545" i="119"/>
  <c r="G547" i="119" s="1"/>
  <c r="E545" i="119"/>
  <c r="E547" i="119" s="1"/>
  <c r="H545" i="119"/>
  <c r="H547" i="119" s="1"/>
  <c r="I542" i="119"/>
  <c r="D545" i="119"/>
  <c r="D547" i="119" s="1"/>
  <c r="I544" i="119"/>
  <c r="F545" i="119"/>
  <c r="F547" i="119" s="1"/>
  <c r="I543" i="119"/>
  <c r="J233" i="111" l="1"/>
  <c r="A572" i="119"/>
  <c r="I545" i="119"/>
  <c r="G107" i="138"/>
  <c r="I107" i="138"/>
  <c r="F107" i="138"/>
  <c r="H107" i="138"/>
  <c r="E107" i="138"/>
  <c r="A547" i="119" l="1"/>
  <c r="A600" i="119"/>
  <c r="A591" i="119"/>
  <c r="A582" i="119"/>
  <c r="G87" i="138"/>
  <c r="G136" i="138" s="1"/>
  <c r="G85" i="138"/>
  <c r="G124" i="138" s="1"/>
  <c r="G86" i="138"/>
  <c r="G130" i="138" s="1"/>
  <c r="E85" i="138"/>
  <c r="E86" i="138"/>
  <c r="E130" i="138" s="1"/>
  <c r="E87" i="138"/>
  <c r="E136" i="138" s="1"/>
  <c r="H87" i="138"/>
  <c r="H136" i="138" s="1"/>
  <c r="H85" i="138"/>
  <c r="H124" i="138" s="1"/>
  <c r="H86" i="138"/>
  <c r="H130" i="138" s="1"/>
  <c r="I87" i="138"/>
  <c r="I136" i="138" s="1"/>
  <c r="I85" i="138"/>
  <c r="I124" i="138" s="1"/>
  <c r="I86" i="138"/>
  <c r="I130" i="138" s="1"/>
  <c r="F86" i="138"/>
  <c r="F130" i="138" s="1"/>
  <c r="F87" i="138"/>
  <c r="F136" i="138" s="1"/>
  <c r="F85" i="138"/>
  <c r="F124" i="138" s="1"/>
  <c r="G100" i="138"/>
  <c r="H100" i="138"/>
  <c r="I100" i="138"/>
  <c r="J97" i="138"/>
  <c r="J99" i="138"/>
  <c r="J98" i="138"/>
  <c r="F100" i="138"/>
  <c r="J96" i="138"/>
  <c r="E100" i="138"/>
  <c r="J84" i="138"/>
  <c r="J83" i="138"/>
  <c r="J107" i="138"/>
  <c r="A559" i="119" l="1"/>
  <c r="G155" i="138"/>
  <c r="H155" i="138"/>
  <c r="J85" i="138"/>
  <c r="J87" i="138"/>
  <c r="J86" i="138"/>
  <c r="J130" i="138"/>
  <c r="J136" i="138"/>
  <c r="J100" i="138"/>
  <c r="E124" i="138"/>
  <c r="J124" i="138" s="1"/>
  <c r="J161" i="138"/>
  <c r="F155" i="138"/>
  <c r="E155" i="138"/>
  <c r="I155" i="138"/>
  <c r="A77" i="138" l="1"/>
  <c r="A78" i="138"/>
  <c r="E88" i="138"/>
  <c r="E89" i="138" l="1"/>
  <c r="E102" i="138" s="1"/>
  <c r="F88" i="138"/>
  <c r="F89" i="138" s="1"/>
  <c r="F102" i="138" s="1"/>
  <c r="G88" i="138" l="1"/>
  <c r="G89" i="138" s="1"/>
  <c r="G102" i="138" s="1"/>
  <c r="H88" i="138" l="1"/>
  <c r="H89" i="138" s="1"/>
  <c r="H102" i="138" s="1"/>
  <c r="I88" i="138" l="1"/>
  <c r="I89" i="138" s="1"/>
  <c r="I102" i="138" s="1"/>
  <c r="J160" i="138" l="1"/>
  <c r="J89" i="138"/>
  <c r="A102" i="138"/>
  <c r="J88" i="138"/>
  <c r="J166" i="138" l="1"/>
  <c r="D177" i="138" l="1"/>
  <c r="D176" i="138"/>
  <c r="D175" i="138"/>
  <c r="D174" i="138"/>
  <c r="D173" i="138"/>
  <c r="D172" i="138"/>
  <c r="D171" i="138"/>
  <c r="B4" i="138" l="1"/>
  <c r="J22" i="108" l="1"/>
  <c r="D8" i="108"/>
  <c r="E8" i="108"/>
  <c r="F8" i="108"/>
  <c r="G8" i="108"/>
  <c r="H8" i="108"/>
  <c r="I8" i="108"/>
  <c r="J8" i="108"/>
  <c r="D9" i="108"/>
  <c r="D10" i="108"/>
  <c r="D11" i="108"/>
  <c r="D13" i="108"/>
  <c r="D14" i="108"/>
  <c r="D15" i="108"/>
  <c r="D16" i="108"/>
  <c r="D29" i="108"/>
  <c r="E29" i="108"/>
  <c r="F29" i="108"/>
  <c r="G29" i="108"/>
  <c r="H29" i="108"/>
  <c r="I29" i="108"/>
  <c r="J29" i="108"/>
  <c r="D30" i="108"/>
  <c r="D31" i="108"/>
  <c r="D32" i="108"/>
  <c r="D33" i="108"/>
  <c r="D34" i="108"/>
  <c r="D35" i="108"/>
  <c r="D36" i="108"/>
  <c r="J42" i="108"/>
  <c r="J21" i="108" l="1"/>
  <c r="J41" i="108"/>
  <c r="N16" i="111" l="1"/>
  <c r="O16" i="111"/>
  <c r="P16" i="111"/>
  <c r="Q16" i="111"/>
  <c r="G119" i="119" l="1"/>
  <c r="E119" i="119"/>
  <c r="F119" i="119"/>
  <c r="D119" i="119"/>
  <c r="P38" i="137"/>
  <c r="O38" i="137"/>
  <c r="P86" i="137" l="1"/>
  <c r="O86" i="137"/>
  <c r="P37" i="137"/>
  <c r="O37" i="137"/>
  <c r="P62" i="137" l="1"/>
  <c r="P61" i="137"/>
  <c r="O61" i="137"/>
  <c r="O62" i="137"/>
  <c r="B4" i="137" l="1"/>
  <c r="A1" i="137"/>
  <c r="H48" i="25" s="1"/>
  <c r="I15" i="108" l="1"/>
  <c r="H15" i="108"/>
  <c r="G15" i="108"/>
  <c r="F15" i="108"/>
  <c r="E15" i="108"/>
  <c r="I16" i="108"/>
  <c r="H16" i="108"/>
  <c r="G16" i="108"/>
  <c r="F16" i="108"/>
  <c r="E16" i="108"/>
  <c r="E11" i="108"/>
  <c r="E9" i="108"/>
  <c r="J36" i="137"/>
  <c r="J38" i="137" s="1"/>
  <c r="E142" i="138"/>
  <c r="I177" i="138"/>
  <c r="H177" i="138"/>
  <c r="G177" i="138"/>
  <c r="F177" i="138"/>
  <c r="E177" i="138"/>
  <c r="J37" i="137" l="1"/>
  <c r="F172" i="138"/>
  <c r="F31" i="108"/>
  <c r="I173" i="138"/>
  <c r="I32" i="108"/>
  <c r="G175" i="138"/>
  <c r="G34" i="108"/>
  <c r="E176" i="138"/>
  <c r="E35" i="108"/>
  <c r="E174" i="138"/>
  <c r="E33" i="108"/>
  <c r="E171" i="138"/>
  <c r="E30" i="108"/>
  <c r="G176" i="138"/>
  <c r="G35" i="108"/>
  <c r="F171" i="138"/>
  <c r="F30" i="108"/>
  <c r="I172" i="138"/>
  <c r="I31" i="108"/>
  <c r="G174" i="138"/>
  <c r="G33" i="108"/>
  <c r="H176" i="138"/>
  <c r="H35" i="108"/>
  <c r="F175" i="138"/>
  <c r="F34" i="108"/>
  <c r="G172" i="138"/>
  <c r="G31" i="108"/>
  <c r="H172" i="138"/>
  <c r="H31" i="108"/>
  <c r="G171" i="138"/>
  <c r="G30" i="108"/>
  <c r="E173" i="138"/>
  <c r="E32" i="108"/>
  <c r="H174" i="138"/>
  <c r="H33" i="108"/>
  <c r="I176" i="138"/>
  <c r="I35" i="108"/>
  <c r="E172" i="138"/>
  <c r="E31" i="108"/>
  <c r="F176" i="138"/>
  <c r="F35" i="108"/>
  <c r="F174" i="138"/>
  <c r="F33" i="108"/>
  <c r="H171" i="138"/>
  <c r="H30" i="108"/>
  <c r="F173" i="138"/>
  <c r="F32" i="108"/>
  <c r="I174" i="138"/>
  <c r="I33" i="108"/>
  <c r="H173" i="138"/>
  <c r="H32" i="108"/>
  <c r="H175" i="138"/>
  <c r="H34" i="108"/>
  <c r="I175" i="138"/>
  <c r="I34" i="108"/>
  <c r="I171" i="138"/>
  <c r="I30" i="108"/>
  <c r="G173" i="138"/>
  <c r="G32" i="108"/>
  <c r="E175" i="138"/>
  <c r="E34" i="108"/>
  <c r="E106" i="112"/>
  <c r="I106" i="112"/>
  <c r="G106" i="112"/>
  <c r="F106" i="112"/>
  <c r="H106" i="112"/>
  <c r="I36" i="108"/>
  <c r="H36" i="108"/>
  <c r="E36" i="108"/>
  <c r="F36" i="108"/>
  <c r="G36" i="108"/>
  <c r="H68" i="113"/>
  <c r="H70" i="113" s="1"/>
  <c r="G68" i="113"/>
  <c r="G70" i="113" s="1"/>
  <c r="F68" i="113"/>
  <c r="F70" i="113" s="1"/>
  <c r="E68" i="113"/>
  <c r="E70" i="113" s="1"/>
  <c r="I68" i="113"/>
  <c r="I70" i="113" s="1"/>
  <c r="B4" i="119" l="1"/>
  <c r="B4" i="135"/>
  <c r="B4" i="134"/>
  <c r="B4" i="133"/>
  <c r="B4" i="132"/>
  <c r="B4" i="131"/>
  <c r="B4" i="130"/>
  <c r="B4" i="129"/>
  <c r="B4" i="117"/>
  <c r="B4" i="116"/>
  <c r="B4" i="128"/>
  <c r="B4" i="127"/>
  <c r="B4" i="115"/>
  <c r="B4" i="114"/>
  <c r="B4" i="113"/>
  <c r="B4" i="112"/>
  <c r="B4" i="111"/>
  <c r="B4" i="110"/>
  <c r="B4" i="126"/>
  <c r="B4" i="125"/>
  <c r="B4" i="124"/>
  <c r="B4" i="109"/>
  <c r="B4" i="123"/>
  <c r="B4" i="122"/>
  <c r="B4" i="121"/>
  <c r="B4" i="120"/>
  <c r="B4" i="108"/>
  <c r="E694" i="119" l="1"/>
  <c r="E697" i="119"/>
  <c r="D694" i="119"/>
  <c r="D697" i="119"/>
  <c r="F694" i="119"/>
  <c r="F695" i="119" s="1"/>
  <c r="F698" i="119" s="1"/>
  <c r="F697" i="119"/>
  <c r="G694" i="119"/>
  <c r="G695" i="119" s="1"/>
  <c r="G698" i="119" s="1"/>
  <c r="G697" i="119"/>
  <c r="H697" i="119"/>
  <c r="H694" i="119"/>
  <c r="H695" i="119" s="1"/>
  <c r="H698" i="119" s="1"/>
  <c r="E695" i="119"/>
  <c r="E698" i="119" s="1"/>
  <c r="A722" i="119"/>
  <c r="I694" i="119" l="1"/>
  <c r="D695" i="119"/>
  <c r="D698" i="119" s="1"/>
  <c r="A698" i="119"/>
  <c r="A697" i="119"/>
  <c r="I64" i="110"/>
  <c r="N31" i="110" s="1"/>
  <c r="H64" i="110"/>
  <c r="M31" i="110" s="1"/>
  <c r="G64" i="110"/>
  <c r="L31" i="110" s="1"/>
  <c r="F64" i="110"/>
  <c r="K31" i="110" s="1"/>
  <c r="E64" i="110"/>
  <c r="J31" i="110" s="1"/>
  <c r="I63" i="110"/>
  <c r="I70" i="110" s="1"/>
  <c r="H63" i="110"/>
  <c r="H70" i="110" s="1"/>
  <c r="G63" i="110"/>
  <c r="G70" i="110" s="1"/>
  <c r="F63" i="110"/>
  <c r="F70" i="110" s="1"/>
  <c r="E63" i="110"/>
  <c r="E70" i="110" s="1"/>
  <c r="F71" i="110" l="1"/>
  <c r="G71" i="110"/>
  <c r="H71" i="110"/>
  <c r="E71" i="110"/>
  <c r="I71" i="110"/>
  <c r="A71" i="110" l="1"/>
  <c r="F65" i="110"/>
  <c r="K32" i="110" s="1"/>
  <c r="I44" i="138"/>
  <c r="H44" i="138"/>
  <c r="G44" i="138"/>
  <c r="F44" i="138"/>
  <c r="E44" i="138"/>
  <c r="I43" i="138"/>
  <c r="H43" i="138"/>
  <c r="G43" i="138"/>
  <c r="F43" i="138"/>
  <c r="E43" i="138"/>
  <c r="I42" i="138"/>
  <c r="H42" i="138"/>
  <c r="G42" i="138"/>
  <c r="F42" i="138"/>
  <c r="E42" i="138"/>
  <c r="N58" i="110"/>
  <c r="M58" i="110"/>
  <c r="L58" i="110"/>
  <c r="K58" i="110"/>
  <c r="J58" i="110"/>
  <c r="I45" i="138" l="1"/>
  <c r="E45" i="138"/>
  <c r="H45" i="138"/>
  <c r="F45" i="138"/>
  <c r="G45" i="138"/>
  <c r="H65" i="110"/>
  <c r="M32" i="110" s="1"/>
  <c r="I65" i="110"/>
  <c r="N32" i="110" s="1"/>
  <c r="E65" i="110"/>
  <c r="J32" i="110" s="1"/>
  <c r="G65" i="110"/>
  <c r="L32" i="110" s="1"/>
  <c r="J56" i="114"/>
  <c r="A70" i="110" l="1"/>
  <c r="A1" i="108" l="1"/>
  <c r="H19" i="25" s="1"/>
  <c r="A1" i="120"/>
  <c r="H20" i="25" s="1"/>
  <c r="A1" i="121"/>
  <c r="H21" i="25" s="1"/>
  <c r="A1" i="122"/>
  <c r="H22" i="25" s="1"/>
  <c r="A1" i="123"/>
  <c r="A1" i="109"/>
  <c r="H24" i="25" s="1"/>
  <c r="A1" i="124"/>
  <c r="H25" i="25" s="1"/>
  <c r="A1" i="125"/>
  <c r="H26" i="25" s="1"/>
  <c r="A1" i="126"/>
  <c r="H27" i="25" s="1"/>
  <c r="A1" i="110"/>
  <c r="H28" i="25" s="1"/>
  <c r="A1" i="127"/>
  <c r="H34" i="25" s="1"/>
  <c r="A1" i="128"/>
  <c r="H35" i="25" s="1"/>
  <c r="A1" i="132"/>
  <c r="H41" i="25" s="1"/>
  <c r="A1" i="135"/>
  <c r="H44" i="25" s="1"/>
  <c r="A1" i="134"/>
  <c r="H43" i="25" s="1"/>
  <c r="A1" i="133"/>
  <c r="H42" i="25" s="1"/>
  <c r="A1" i="131"/>
  <c r="H40" i="25" s="1"/>
  <c r="A1" i="130"/>
  <c r="H39" i="25" s="1"/>
  <c r="A1" i="129"/>
  <c r="H38" i="25" s="1"/>
  <c r="D49" i="25"/>
  <c r="D44" i="25"/>
  <c r="D43" i="25"/>
  <c r="D42" i="25"/>
  <c r="D41" i="25"/>
  <c r="D40" i="25"/>
  <c r="D39" i="25"/>
  <c r="D38" i="25"/>
  <c r="D37" i="25"/>
  <c r="D36" i="25"/>
  <c r="D35" i="25"/>
  <c r="D34" i="25"/>
  <c r="D33" i="25"/>
  <c r="D32" i="25"/>
  <c r="D31" i="25"/>
  <c r="D30" i="25"/>
  <c r="D29" i="25"/>
  <c r="D28" i="25"/>
  <c r="D27" i="25"/>
  <c r="D26" i="25"/>
  <c r="D25" i="25"/>
  <c r="D24" i="25"/>
  <c r="D23" i="25"/>
  <c r="D22" i="25"/>
  <c r="D21" i="25"/>
  <c r="D20" i="25"/>
  <c r="D19" i="25"/>
  <c r="H23" i="25"/>
  <c r="I87" i="113" l="1"/>
  <c r="H87" i="113"/>
  <c r="G87" i="113"/>
  <c r="F87" i="113"/>
  <c r="E87" i="113"/>
  <c r="D87" i="113"/>
  <c r="D90" i="113"/>
  <c r="D89" i="113"/>
  <c r="D88" i="113"/>
  <c r="J40" i="109"/>
  <c r="J41" i="109"/>
  <c r="J32" i="109"/>
  <c r="J33" i="109"/>
  <c r="J34" i="109"/>
  <c r="I720" i="119" l="1"/>
  <c r="I695" i="119"/>
  <c r="E89" i="112"/>
  <c r="E89" i="113"/>
  <c r="E58" i="114"/>
  <c r="E133" i="112" l="1"/>
  <c r="A18" i="117"/>
  <c r="A17" i="117"/>
  <c r="E17" i="114"/>
  <c r="A17" i="114" s="1"/>
  <c r="J66" i="111" l="1"/>
  <c r="F54" i="119"/>
  <c r="D54" i="119"/>
  <c r="G54" i="119"/>
  <c r="E54" i="119"/>
  <c r="H54" i="119"/>
  <c r="J63" i="111"/>
  <c r="H47" i="34"/>
  <c r="G47" i="34"/>
  <c r="F47" i="34"/>
  <c r="I54" i="119" l="1"/>
  <c r="J42" i="109" l="1"/>
  <c r="J39" i="109"/>
  <c r="J31" i="109"/>
  <c r="D245" i="111"/>
  <c r="D240" i="111"/>
  <c r="E49" i="119"/>
  <c r="H47" i="119"/>
  <c r="G47" i="119"/>
  <c r="F47" i="119"/>
  <c r="D47" i="119"/>
  <c r="E245" i="111" l="1"/>
  <c r="D649" i="119" s="1"/>
  <c r="D651" i="119" s="1"/>
  <c r="D52" i="119"/>
  <c r="I135" i="111"/>
  <c r="I168" i="111" s="1"/>
  <c r="H48" i="119"/>
  <c r="I202" i="111"/>
  <c r="I235" i="111" s="1"/>
  <c r="H50" i="119"/>
  <c r="I245" i="111"/>
  <c r="H649" i="119" s="1"/>
  <c r="H651" i="119" s="1"/>
  <c r="H52" i="119"/>
  <c r="F62" i="111"/>
  <c r="E47" i="119"/>
  <c r="F240" i="111"/>
  <c r="E51" i="119"/>
  <c r="G173" i="111"/>
  <c r="G175" i="111" s="1"/>
  <c r="F49" i="119"/>
  <c r="G240" i="111"/>
  <c r="F51" i="119"/>
  <c r="H173" i="111"/>
  <c r="H175" i="111" s="1"/>
  <c r="G49" i="119"/>
  <c r="H240" i="111"/>
  <c r="G51" i="119"/>
  <c r="E135" i="111"/>
  <c r="E168" i="111" s="1"/>
  <c r="D48" i="119"/>
  <c r="I240" i="111"/>
  <c r="H51" i="119"/>
  <c r="E173" i="111"/>
  <c r="E175" i="111" s="1"/>
  <c r="D49" i="119"/>
  <c r="F135" i="111"/>
  <c r="F168" i="111" s="1"/>
  <c r="E48" i="119"/>
  <c r="F202" i="111"/>
  <c r="F235" i="111" s="1"/>
  <c r="E50" i="119"/>
  <c r="F245" i="111"/>
  <c r="E649" i="119" s="1"/>
  <c r="E651" i="119" s="1"/>
  <c r="E52" i="119"/>
  <c r="I173" i="111"/>
  <c r="I175" i="111" s="1"/>
  <c r="H49" i="119"/>
  <c r="E202" i="111"/>
  <c r="E235" i="111" s="1"/>
  <c r="D50" i="119"/>
  <c r="G135" i="111"/>
  <c r="G168" i="111" s="1"/>
  <c r="F48" i="119"/>
  <c r="G202" i="111"/>
  <c r="G235" i="111" s="1"/>
  <c r="F50" i="119"/>
  <c r="G245" i="111"/>
  <c r="F649" i="119" s="1"/>
  <c r="F651" i="119" s="1"/>
  <c r="F52" i="119"/>
  <c r="E240" i="111"/>
  <c r="D51" i="119"/>
  <c r="H135" i="111"/>
  <c r="H168" i="111" s="1"/>
  <c r="G48" i="119"/>
  <c r="H202" i="111"/>
  <c r="H235" i="111" s="1"/>
  <c r="G50" i="119"/>
  <c r="H245" i="111"/>
  <c r="G649" i="119" s="1"/>
  <c r="G651" i="119" s="1"/>
  <c r="G52" i="119"/>
  <c r="H62" i="111"/>
  <c r="G62" i="111"/>
  <c r="I62" i="111"/>
  <c r="E97" i="111"/>
  <c r="E62" i="111"/>
  <c r="J56" i="111"/>
  <c r="I97" i="111"/>
  <c r="J57" i="111"/>
  <c r="J59" i="111"/>
  <c r="J61" i="111"/>
  <c r="J58" i="111"/>
  <c r="J60" i="111"/>
  <c r="F97" i="111"/>
  <c r="G97" i="111"/>
  <c r="F173" i="111"/>
  <c r="F175" i="111" s="1"/>
  <c r="H97" i="111"/>
  <c r="G69" i="111" l="1"/>
  <c r="G68" i="111"/>
  <c r="H69" i="111"/>
  <c r="H68" i="111"/>
  <c r="E69" i="111"/>
  <c r="E68" i="111"/>
  <c r="I68" i="111"/>
  <c r="I69" i="111"/>
  <c r="F68" i="111"/>
  <c r="F69" i="111"/>
  <c r="AC39" i="104"/>
  <c r="AA39" i="104"/>
  <c r="AD39" i="104"/>
  <c r="AE39" i="104"/>
  <c r="AB39" i="104"/>
  <c r="A235" i="111"/>
  <c r="A168" i="111"/>
  <c r="A175" i="111"/>
  <c r="H495" i="119"/>
  <c r="H497" i="119" s="1"/>
  <c r="G495" i="119"/>
  <c r="G497" i="119" s="1"/>
  <c r="F495" i="119"/>
  <c r="F497" i="119" s="1"/>
  <c r="E495" i="119"/>
  <c r="E497" i="119" s="1"/>
  <c r="D495" i="119"/>
  <c r="D497" i="119" s="1"/>
  <c r="I65" i="111"/>
  <c r="H65" i="111"/>
  <c r="G65" i="111"/>
  <c r="E65" i="111"/>
  <c r="F65" i="111"/>
  <c r="N85" i="137"/>
  <c r="N86" i="137" s="1"/>
  <c r="J85" i="137"/>
  <c r="J86" i="137" s="1"/>
  <c r="L85" i="137"/>
  <c r="L86" i="137" s="1"/>
  <c r="M85" i="137"/>
  <c r="M86" i="137" s="1"/>
  <c r="K85" i="137"/>
  <c r="K86" i="137" s="1"/>
  <c r="G53" i="119"/>
  <c r="G58" i="119" s="1"/>
  <c r="F53" i="119"/>
  <c r="F58" i="119" s="1"/>
  <c r="H53" i="119"/>
  <c r="H58" i="119" s="1"/>
  <c r="E53" i="119"/>
  <c r="E58" i="119" s="1"/>
  <c r="I49" i="119"/>
  <c r="I52" i="119"/>
  <c r="I48" i="119"/>
  <c r="A651" i="119"/>
  <c r="I649" i="119"/>
  <c r="D53" i="119"/>
  <c r="D58" i="119" s="1"/>
  <c r="I51" i="119"/>
  <c r="I50" i="119"/>
  <c r="I47" i="119"/>
  <c r="J62" i="111"/>
  <c r="J121" i="112"/>
  <c r="J116" i="112"/>
  <c r="J111" i="112"/>
  <c r="H56" i="119" l="1"/>
  <c r="D56" i="119"/>
  <c r="F56" i="119"/>
  <c r="G56" i="119"/>
  <c r="E56" i="119"/>
  <c r="A497" i="119"/>
  <c r="I495" i="119"/>
  <c r="K89" i="137"/>
  <c r="P85" i="137"/>
  <c r="I53" i="119"/>
  <c r="I56" i="119" s="1"/>
  <c r="A69" i="111"/>
  <c r="J65" i="111"/>
  <c r="A68" i="111"/>
  <c r="A58" i="119" l="1"/>
  <c r="J140" i="112" l="1"/>
  <c r="I89" i="112" l="1"/>
  <c r="F89" i="112"/>
  <c r="G89" i="112"/>
  <c r="H89" i="112"/>
  <c r="J138" i="112"/>
  <c r="J89" i="112" s="1"/>
  <c r="E92" i="112" l="1"/>
  <c r="E94" i="112" s="1"/>
  <c r="G92" i="112"/>
  <c r="G94" i="112" s="1"/>
  <c r="F92" i="112"/>
  <c r="F94" i="112" s="1"/>
  <c r="H92" i="112"/>
  <c r="H94" i="112" s="1"/>
  <c r="I92" i="112"/>
  <c r="I94" i="112" s="1"/>
  <c r="J92" i="112"/>
  <c r="E141" i="112" l="1"/>
  <c r="A94" i="112"/>
  <c r="G141" i="112"/>
  <c r="G143" i="112"/>
  <c r="G142" i="112"/>
  <c r="H143" i="112"/>
  <c r="H142" i="112"/>
  <c r="H141" i="112"/>
  <c r="F142" i="112"/>
  <c r="F141" i="112"/>
  <c r="F143" i="112"/>
  <c r="E143" i="112"/>
  <c r="E142" i="112"/>
  <c r="I143" i="112"/>
  <c r="I142" i="112"/>
  <c r="I141" i="112"/>
  <c r="J154" i="112"/>
  <c r="J155" i="112"/>
  <c r="J153" i="112"/>
  <c r="F156" i="112"/>
  <c r="G156" i="112"/>
  <c r="H156" i="112"/>
  <c r="I156" i="112"/>
  <c r="E156" i="112"/>
  <c r="J152" i="112"/>
  <c r="E145" i="112" l="1"/>
  <c r="E158" i="112" s="1"/>
  <c r="J141" i="112"/>
  <c r="J143" i="112"/>
  <c r="J156" i="112"/>
  <c r="J142" i="112"/>
  <c r="J15" i="116"/>
  <c r="J15" i="108" s="1"/>
  <c r="J14" i="117"/>
  <c r="J35" i="108" l="1"/>
  <c r="J176" i="138"/>
  <c r="D59" i="28"/>
  <c r="D58" i="28"/>
  <c r="D38" i="28"/>
  <c r="D37" i="28"/>
  <c r="D34" i="28"/>
  <c r="D33" i="28"/>
  <c r="D32" i="28"/>
  <c r="D31" i="28"/>
  <c r="D30" i="28"/>
  <c r="D29" i="28"/>
  <c r="D25" i="28"/>
  <c r="D20" i="28"/>
  <c r="C18" i="28"/>
  <c r="D16" i="28"/>
  <c r="D15" i="28"/>
  <c r="D14" i="28"/>
  <c r="D13" i="28"/>
  <c r="D12" i="28"/>
  <c r="D11" i="28"/>
  <c r="O226" i="104" l="1"/>
  <c r="W53" i="107" l="1"/>
  <c r="V53" i="107"/>
  <c r="U53" i="107"/>
  <c r="T53" i="107"/>
  <c r="S53" i="107"/>
  <c r="R53" i="107"/>
  <c r="Q53" i="107"/>
  <c r="P53" i="107"/>
  <c r="X53" i="107" l="1"/>
  <c r="W14" i="107" l="1"/>
  <c r="X14" i="107"/>
  <c r="V14" i="107"/>
  <c r="O322" i="104" l="1"/>
  <c r="O321" i="104"/>
  <c r="O320" i="104"/>
  <c r="O319" i="104"/>
  <c r="O317" i="104"/>
  <c r="O316" i="104"/>
  <c r="O315" i="104"/>
  <c r="P285" i="104" l="1"/>
  <c r="Q285" i="104"/>
  <c r="R285" i="104"/>
  <c r="S285" i="104"/>
  <c r="T285" i="104"/>
  <c r="U285" i="104"/>
  <c r="V285" i="104"/>
  <c r="W285" i="104"/>
  <c r="X285" i="104"/>
  <c r="X280" i="104" l="1"/>
  <c r="X286" i="104" s="1"/>
  <c r="Q280" i="104"/>
  <c r="Q286" i="104" s="1"/>
  <c r="V280" i="104"/>
  <c r="V286" i="104" s="1"/>
  <c r="R280" i="104"/>
  <c r="R286" i="104" s="1"/>
  <c r="S280" i="104"/>
  <c r="S286" i="104" s="1"/>
  <c r="T280" i="104"/>
  <c r="T286" i="104" s="1"/>
  <c r="W280" i="104"/>
  <c r="W286" i="104" s="1"/>
  <c r="P280" i="104"/>
  <c r="P286" i="104" s="1"/>
  <c r="U280" i="104" l="1"/>
  <c r="U286" i="104" s="1"/>
  <c r="X28" i="107" l="1"/>
  <c r="W28" i="107"/>
  <c r="R28" i="107"/>
  <c r="S28" i="107"/>
  <c r="T28" i="107"/>
  <c r="U28" i="107"/>
  <c r="Q28" i="107"/>
  <c r="P28" i="107"/>
  <c r="U27" i="107"/>
  <c r="T27" i="107"/>
  <c r="S27" i="107"/>
  <c r="R27" i="107"/>
  <c r="Q27" i="107"/>
  <c r="P27" i="107"/>
  <c r="O25" i="107"/>
  <c r="U26" i="107"/>
  <c r="T26" i="107"/>
  <c r="S26" i="107"/>
  <c r="R26" i="107"/>
  <c r="Q26" i="107"/>
  <c r="P26" i="107"/>
  <c r="AE39" i="107" l="1"/>
  <c r="AD39" i="107"/>
  <c r="AC39" i="107"/>
  <c r="AB39" i="107"/>
  <c r="AA39" i="107"/>
  <c r="U39" i="107"/>
  <c r="T39" i="107"/>
  <c r="S39" i="107"/>
  <c r="R39" i="107"/>
  <c r="Q39" i="107"/>
  <c r="P39" i="107"/>
  <c r="O39" i="107"/>
  <c r="AE14" i="107"/>
  <c r="AD14" i="107"/>
  <c r="AC14" i="107"/>
  <c r="AB14" i="107"/>
  <c r="AA14" i="107"/>
  <c r="U14" i="107"/>
  <c r="T14" i="107"/>
  <c r="S14" i="107"/>
  <c r="R14" i="107"/>
  <c r="Q14" i="107"/>
  <c r="P14" i="107"/>
  <c r="O50" i="107" l="1"/>
  <c r="O48" i="107"/>
  <c r="P47" i="107"/>
  <c r="O47" i="107"/>
  <c r="P46" i="107"/>
  <c r="C33" i="107" s="1"/>
  <c r="O46" i="107"/>
  <c r="P45" i="107"/>
  <c r="O45" i="107"/>
  <c r="Z43" i="107"/>
  <c r="Y43" i="107"/>
  <c r="X43" i="107"/>
  <c r="W43" i="107"/>
  <c r="V43" i="107"/>
  <c r="U43" i="107"/>
  <c r="T43" i="107"/>
  <c r="S43" i="107"/>
  <c r="R43" i="107"/>
  <c r="Q43" i="107"/>
  <c r="P43" i="107"/>
  <c r="O43" i="107"/>
  <c r="AE42" i="107"/>
  <c r="AD42" i="107"/>
  <c r="AC42" i="107"/>
  <c r="AB42" i="107"/>
  <c r="AA42" i="107"/>
  <c r="U42" i="107"/>
  <c r="T42" i="107"/>
  <c r="S42" i="107"/>
  <c r="R42" i="107"/>
  <c r="Q42" i="107"/>
  <c r="P42" i="107"/>
  <c r="O42" i="107"/>
  <c r="AE41" i="107"/>
  <c r="AD41" i="107"/>
  <c r="AC41" i="107"/>
  <c r="AB41" i="107"/>
  <c r="AA41" i="107"/>
  <c r="Z41" i="107"/>
  <c r="Y41" i="107"/>
  <c r="X41" i="107"/>
  <c r="W41" i="107"/>
  <c r="V41" i="107"/>
  <c r="U41" i="107"/>
  <c r="T41" i="107"/>
  <c r="S41" i="107"/>
  <c r="R41" i="107"/>
  <c r="Q41" i="107"/>
  <c r="P41" i="107"/>
  <c r="O41" i="107"/>
  <c r="Z40" i="107"/>
  <c r="Y40" i="107"/>
  <c r="X40" i="107"/>
  <c r="W40" i="107"/>
  <c r="V40" i="107"/>
  <c r="U40" i="107"/>
  <c r="T40" i="107"/>
  <c r="S40" i="107"/>
  <c r="R40" i="107"/>
  <c r="Q40" i="107"/>
  <c r="P40" i="107"/>
  <c r="O40" i="107"/>
  <c r="AE37" i="107"/>
  <c r="AD37" i="107"/>
  <c r="AC37" i="107"/>
  <c r="AB37" i="107"/>
  <c r="AA37" i="107"/>
  <c r="U37" i="107"/>
  <c r="T37" i="107"/>
  <c r="S37" i="107"/>
  <c r="R37" i="107"/>
  <c r="Q37" i="107"/>
  <c r="P37" i="107"/>
  <c r="O37" i="107"/>
  <c r="AE36" i="107"/>
  <c r="AD36" i="107"/>
  <c r="AC36" i="107"/>
  <c r="AB36" i="107"/>
  <c r="AA36" i="107"/>
  <c r="U36" i="107"/>
  <c r="T36" i="107"/>
  <c r="S36" i="107"/>
  <c r="R36" i="107"/>
  <c r="Q36" i="107"/>
  <c r="P36" i="107"/>
  <c r="O36" i="107"/>
  <c r="O35" i="107"/>
  <c r="P22" i="107"/>
  <c r="P21" i="107"/>
  <c r="C8" i="107" s="1"/>
  <c r="P20" i="107"/>
  <c r="Z18" i="107"/>
  <c r="Y18" i="107"/>
  <c r="X18" i="107"/>
  <c r="W18" i="107"/>
  <c r="V18" i="107"/>
  <c r="U18" i="107"/>
  <c r="T18" i="107"/>
  <c r="S18" i="107"/>
  <c r="R18" i="107"/>
  <c r="Q18" i="107"/>
  <c r="P18" i="107"/>
  <c r="AE17" i="107"/>
  <c r="AD17" i="107"/>
  <c r="AC17" i="107"/>
  <c r="AB17" i="107"/>
  <c r="AA17" i="107"/>
  <c r="U17" i="107"/>
  <c r="T17" i="107"/>
  <c r="S17" i="107"/>
  <c r="R17" i="107"/>
  <c r="Q17" i="107"/>
  <c r="P17" i="107"/>
  <c r="AE16" i="107"/>
  <c r="AD16" i="107"/>
  <c r="AC16" i="107"/>
  <c r="AB16" i="107"/>
  <c r="AA16" i="107"/>
  <c r="Z16" i="107"/>
  <c r="Y16" i="107"/>
  <c r="X16" i="107"/>
  <c r="W16" i="107"/>
  <c r="V16" i="107"/>
  <c r="U16" i="107"/>
  <c r="T16" i="107"/>
  <c r="S16" i="107"/>
  <c r="R16" i="107"/>
  <c r="Q16" i="107"/>
  <c r="P16" i="107"/>
  <c r="Z15" i="107"/>
  <c r="Y15" i="107"/>
  <c r="X15" i="107"/>
  <c r="W15" i="107"/>
  <c r="V15" i="107"/>
  <c r="U15" i="107"/>
  <c r="T15" i="107"/>
  <c r="S15" i="107"/>
  <c r="R15" i="107"/>
  <c r="Q15" i="107"/>
  <c r="P15" i="107"/>
  <c r="AE12" i="107"/>
  <c r="AD12" i="107"/>
  <c r="AC12" i="107"/>
  <c r="AB12" i="107"/>
  <c r="AA12" i="107"/>
  <c r="U12" i="107"/>
  <c r="T12" i="107"/>
  <c r="S12" i="107"/>
  <c r="R12" i="107"/>
  <c r="Q12" i="107"/>
  <c r="P12" i="107"/>
  <c r="AE11" i="107"/>
  <c r="AD11" i="107"/>
  <c r="AC11" i="107"/>
  <c r="AB11" i="107"/>
  <c r="AA11" i="107"/>
  <c r="U11" i="107"/>
  <c r="T11" i="107"/>
  <c r="S11" i="107"/>
  <c r="R11" i="107"/>
  <c r="Q11" i="107"/>
  <c r="P11" i="107"/>
  <c r="B4" i="107"/>
  <c r="P48" i="107" l="1"/>
  <c r="P23" i="107"/>
  <c r="Q266" i="104"/>
  <c r="R266" i="104"/>
  <c r="V266" i="104"/>
  <c r="W266" i="104"/>
  <c r="X266" i="104"/>
  <c r="S266" i="104"/>
  <c r="T266" i="104"/>
  <c r="U266" i="104"/>
  <c r="O277" i="104"/>
  <c r="H88" i="113" l="1"/>
  <c r="G88" i="113"/>
  <c r="F88" i="113"/>
  <c r="I88" i="113"/>
  <c r="P266" i="104"/>
  <c r="E88" i="113" l="1"/>
  <c r="J20" i="113"/>
  <c r="O314" i="104"/>
  <c r="F89" i="113" l="1"/>
  <c r="G89" i="113" l="1"/>
  <c r="F58" i="114" l="1"/>
  <c r="E10" i="108"/>
  <c r="O55" i="106"/>
  <c r="F133" i="112"/>
  <c r="G58" i="114" l="1"/>
  <c r="G133" i="112"/>
  <c r="I89" i="113"/>
  <c r="H89" i="113"/>
  <c r="F10" i="108"/>
  <c r="P55" i="106"/>
  <c r="J21" i="113" l="1"/>
  <c r="R56" i="106"/>
  <c r="H133" i="112"/>
  <c r="O57" i="106"/>
  <c r="E12" i="108"/>
  <c r="F9" i="108"/>
  <c r="P54" i="106"/>
  <c r="P56" i="106"/>
  <c r="F11" i="108"/>
  <c r="H58" i="114"/>
  <c r="Q55" i="106"/>
  <c r="G10" i="108"/>
  <c r="J55" i="114"/>
  <c r="M36" i="137" l="1"/>
  <c r="M38" i="137" s="1"/>
  <c r="H11" i="108"/>
  <c r="I58" i="114"/>
  <c r="A58" i="114" s="1"/>
  <c r="I133" i="112"/>
  <c r="G9" i="108"/>
  <c r="Q54" i="106"/>
  <c r="G11" i="108"/>
  <c r="Q56" i="106"/>
  <c r="M37" i="137" l="1"/>
  <c r="E13" i="108"/>
  <c r="H9" i="108"/>
  <c r="R54" i="106"/>
  <c r="K36" i="137"/>
  <c r="K38" i="137" s="1"/>
  <c r="H10" i="108"/>
  <c r="R55" i="106"/>
  <c r="S54" i="106"/>
  <c r="I9" i="108"/>
  <c r="K37" i="137" l="1"/>
  <c r="L36" i="137"/>
  <c r="L38" i="137" s="1"/>
  <c r="I10" i="108"/>
  <c r="S55" i="106"/>
  <c r="P57" i="106"/>
  <c r="F12" i="108"/>
  <c r="S56" i="106"/>
  <c r="I11" i="108"/>
  <c r="O44" i="106"/>
  <c r="O58" i="106"/>
  <c r="O60" i="106" s="1"/>
  <c r="L37" i="137" l="1"/>
  <c r="E14" i="108"/>
  <c r="U14" i="106"/>
  <c r="U13" i="106"/>
  <c r="U16" i="106"/>
  <c r="U15" i="106"/>
  <c r="U17" i="106"/>
  <c r="B4" i="106"/>
  <c r="U19" i="106" l="1"/>
  <c r="N36" i="137"/>
  <c r="N38" i="137" s="1"/>
  <c r="M41" i="137" l="1"/>
  <c r="N37" i="137"/>
  <c r="M42" i="137" s="1"/>
  <c r="H12" i="108"/>
  <c r="R57" i="106"/>
  <c r="P36" i="137"/>
  <c r="Q57" i="106"/>
  <c r="G12" i="108"/>
  <c r="O24" i="104"/>
  <c r="O355" i="104"/>
  <c r="O354" i="104"/>
  <c r="O304" i="104"/>
  <c r="O303" i="104"/>
  <c r="O267" i="104"/>
  <c r="O266" i="104"/>
  <c r="O241" i="104"/>
  <c r="O240" i="104"/>
  <c r="O216" i="104"/>
  <c r="O215" i="104"/>
  <c r="O190" i="104"/>
  <c r="O189" i="104"/>
  <c r="O165" i="104"/>
  <c r="O164" i="104"/>
  <c r="O139" i="104"/>
  <c r="O138" i="104"/>
  <c r="O114" i="104"/>
  <c r="O113" i="104"/>
  <c r="O88" i="104"/>
  <c r="O87" i="104"/>
  <c r="O63" i="104"/>
  <c r="O62" i="104"/>
  <c r="O37" i="104"/>
  <c r="O36" i="104"/>
  <c r="O363" i="104"/>
  <c r="O362" i="104"/>
  <c r="O361" i="104"/>
  <c r="O360" i="104"/>
  <c r="O358" i="104"/>
  <c r="O357" i="104"/>
  <c r="O356" i="104"/>
  <c r="O312" i="104"/>
  <c r="O311" i="104"/>
  <c r="O310" i="104"/>
  <c r="O309" i="104"/>
  <c r="O307" i="104"/>
  <c r="O306" i="104"/>
  <c r="O305" i="104"/>
  <c r="O275" i="104"/>
  <c r="O274" i="104"/>
  <c r="O273" i="104"/>
  <c r="O272" i="104"/>
  <c r="O270" i="104"/>
  <c r="O269" i="104"/>
  <c r="O268" i="104"/>
  <c r="O249" i="104"/>
  <c r="O248" i="104"/>
  <c r="O247" i="104"/>
  <c r="O246" i="104"/>
  <c r="O244" i="104"/>
  <c r="O243" i="104"/>
  <c r="O242" i="104"/>
  <c r="O224" i="104"/>
  <c r="O223" i="104"/>
  <c r="O222" i="104"/>
  <c r="O221" i="104"/>
  <c r="O219" i="104"/>
  <c r="O218" i="104"/>
  <c r="O217" i="104"/>
  <c r="O198" i="104"/>
  <c r="O197" i="104"/>
  <c r="O196" i="104"/>
  <c r="O195" i="104"/>
  <c r="O193" i="104"/>
  <c r="O192" i="104"/>
  <c r="O191" i="104"/>
  <c r="O173" i="104"/>
  <c r="O172" i="104"/>
  <c r="O171" i="104"/>
  <c r="O170" i="104"/>
  <c r="O168" i="104"/>
  <c r="O167" i="104"/>
  <c r="O166" i="104"/>
  <c r="O148" i="104"/>
  <c r="O147" i="104"/>
  <c r="O146" i="104"/>
  <c r="O145" i="104"/>
  <c r="O142" i="104"/>
  <c r="O141" i="104"/>
  <c r="O140" i="104"/>
  <c r="O123" i="104"/>
  <c r="O122" i="104"/>
  <c r="O121" i="104"/>
  <c r="O120" i="104"/>
  <c r="O117" i="104"/>
  <c r="O116" i="104"/>
  <c r="O115" i="104"/>
  <c r="O96" i="104"/>
  <c r="O95" i="104"/>
  <c r="O94" i="104"/>
  <c r="O93" i="104"/>
  <c r="O91" i="104"/>
  <c r="O90" i="104"/>
  <c r="O89" i="104"/>
  <c r="O71" i="104"/>
  <c r="O70" i="104"/>
  <c r="O69" i="104"/>
  <c r="O68" i="104"/>
  <c r="O66" i="104"/>
  <c r="O65" i="104"/>
  <c r="O64" i="104"/>
  <c r="O47" i="104"/>
  <c r="O46" i="104"/>
  <c r="O45" i="104"/>
  <c r="O44" i="104"/>
  <c r="O42" i="104"/>
  <c r="O41" i="104"/>
  <c r="O40" i="104"/>
  <c r="O353" i="104"/>
  <c r="O302" i="104"/>
  <c r="O265" i="104"/>
  <c r="O239" i="104"/>
  <c r="O214" i="104"/>
  <c r="O188" i="104"/>
  <c r="O163" i="104"/>
  <c r="O137" i="104"/>
  <c r="O112" i="104"/>
  <c r="O86" i="104"/>
  <c r="O61" i="104"/>
  <c r="O35" i="104"/>
  <c r="J126" i="112" l="1"/>
  <c r="F13" i="108"/>
  <c r="P362" i="104"/>
  <c r="P361" i="104"/>
  <c r="C351" i="104" s="1"/>
  <c r="P360" i="104"/>
  <c r="Z358" i="104"/>
  <c r="Y358" i="104"/>
  <c r="X358" i="104"/>
  <c r="W358" i="104"/>
  <c r="V358" i="104"/>
  <c r="U358" i="104"/>
  <c r="T358" i="104"/>
  <c r="S358" i="104"/>
  <c r="R358" i="104"/>
  <c r="Q358" i="104"/>
  <c r="P358" i="104"/>
  <c r="AE357" i="104"/>
  <c r="AD357" i="104"/>
  <c r="AC357" i="104"/>
  <c r="AB357" i="104"/>
  <c r="AA357" i="104"/>
  <c r="U357" i="104"/>
  <c r="T357" i="104"/>
  <c r="S357" i="104"/>
  <c r="R357" i="104"/>
  <c r="Q357" i="104"/>
  <c r="P357" i="104"/>
  <c r="AE356" i="104"/>
  <c r="AD356" i="104"/>
  <c r="AC356" i="104"/>
  <c r="AB356" i="104"/>
  <c r="AA356" i="104"/>
  <c r="Z356" i="104"/>
  <c r="Y356" i="104"/>
  <c r="X356" i="104"/>
  <c r="W356" i="104"/>
  <c r="V356" i="104"/>
  <c r="P356" i="104"/>
  <c r="Z355" i="104"/>
  <c r="Y355" i="104"/>
  <c r="X355" i="104"/>
  <c r="W355" i="104"/>
  <c r="V355" i="104"/>
  <c r="U355" i="104"/>
  <c r="T355" i="104"/>
  <c r="S355" i="104"/>
  <c r="R355" i="104"/>
  <c r="Q355" i="104"/>
  <c r="P355" i="104"/>
  <c r="AE354" i="104"/>
  <c r="AD354" i="104"/>
  <c r="AC354" i="104"/>
  <c r="AB354" i="104"/>
  <c r="AA354" i="104"/>
  <c r="P311" i="104"/>
  <c r="P310" i="104"/>
  <c r="C300" i="104" s="1"/>
  <c r="P309" i="104"/>
  <c r="Z307" i="104"/>
  <c r="Y307" i="104"/>
  <c r="X307" i="104"/>
  <c r="W307" i="104"/>
  <c r="V307" i="104"/>
  <c r="U307" i="104"/>
  <c r="T307" i="104"/>
  <c r="S307" i="104"/>
  <c r="R307" i="104"/>
  <c r="Q307" i="104"/>
  <c r="P307" i="104"/>
  <c r="AE306" i="104"/>
  <c r="AD306" i="104"/>
  <c r="AC306" i="104"/>
  <c r="AB306" i="104"/>
  <c r="AA306" i="104"/>
  <c r="U306" i="104"/>
  <c r="T306" i="104"/>
  <c r="S306" i="104"/>
  <c r="R306" i="104"/>
  <c r="Q306" i="104"/>
  <c r="P306" i="104"/>
  <c r="AE305" i="104"/>
  <c r="AD305" i="104"/>
  <c r="AC305" i="104"/>
  <c r="AB305" i="104"/>
  <c r="AA305" i="104"/>
  <c r="Z305" i="104"/>
  <c r="Y305" i="104"/>
  <c r="X305" i="104"/>
  <c r="W305" i="104"/>
  <c r="V305" i="104"/>
  <c r="P305" i="104"/>
  <c r="Z304" i="104"/>
  <c r="Y304" i="104"/>
  <c r="X304" i="104"/>
  <c r="W304" i="104"/>
  <c r="V304" i="104"/>
  <c r="U304" i="104"/>
  <c r="T304" i="104"/>
  <c r="S304" i="104"/>
  <c r="R304" i="104"/>
  <c r="Q304" i="104"/>
  <c r="P304" i="104"/>
  <c r="AE303" i="104"/>
  <c r="AD303" i="104"/>
  <c r="AC303" i="104"/>
  <c r="AB303" i="104"/>
  <c r="AA303" i="104"/>
  <c r="P274" i="104"/>
  <c r="P273" i="104"/>
  <c r="C263" i="104" s="1"/>
  <c r="P272" i="104"/>
  <c r="Z270" i="104"/>
  <c r="Y270" i="104"/>
  <c r="X270" i="104"/>
  <c r="W270" i="104"/>
  <c r="V270" i="104"/>
  <c r="U270" i="104"/>
  <c r="T270" i="104"/>
  <c r="S270" i="104"/>
  <c r="R270" i="104"/>
  <c r="Q270" i="104"/>
  <c r="P270" i="104"/>
  <c r="AE269" i="104"/>
  <c r="AD269" i="104"/>
  <c r="AC269" i="104"/>
  <c r="AB269" i="104"/>
  <c r="AA269" i="104"/>
  <c r="U269" i="104"/>
  <c r="T269" i="104"/>
  <c r="S269" i="104"/>
  <c r="R269" i="104"/>
  <c r="Q269" i="104"/>
  <c r="P269" i="104"/>
  <c r="AE268" i="104"/>
  <c r="AD268" i="104"/>
  <c r="AC268" i="104"/>
  <c r="AB268" i="104"/>
  <c r="AA268" i="104"/>
  <c r="Z268" i="104"/>
  <c r="Y268" i="104"/>
  <c r="X268" i="104"/>
  <c r="W268" i="104"/>
  <c r="V268" i="104"/>
  <c r="P268" i="104"/>
  <c r="Z267" i="104"/>
  <c r="Y267" i="104"/>
  <c r="X267" i="104"/>
  <c r="W267" i="104"/>
  <c r="V267" i="104"/>
  <c r="U267" i="104"/>
  <c r="T267" i="104"/>
  <c r="S267" i="104"/>
  <c r="R267" i="104"/>
  <c r="Q267" i="104"/>
  <c r="P267" i="104"/>
  <c r="AE266" i="104"/>
  <c r="AD266" i="104"/>
  <c r="AC266" i="104"/>
  <c r="AB266" i="104"/>
  <c r="AA266" i="104"/>
  <c r="P58" i="106" l="1"/>
  <c r="P60" i="106" s="1"/>
  <c r="P44" i="106"/>
  <c r="P312" i="104"/>
  <c r="P275" i="104"/>
  <c r="P363" i="104"/>
  <c r="V16" i="106" l="1"/>
  <c r="V13" i="106"/>
  <c r="V17" i="106"/>
  <c r="V15" i="106"/>
  <c r="V14" i="106"/>
  <c r="F14" i="108"/>
  <c r="V19" i="106" l="1"/>
  <c r="S57" i="106"/>
  <c r="I12" i="108"/>
  <c r="AA358" i="104"/>
  <c r="AB358" i="104"/>
  <c r="AD358" i="104"/>
  <c r="AE358" i="104"/>
  <c r="AC358" i="104"/>
  <c r="AE307" i="104" l="1"/>
  <c r="AA307" i="104"/>
  <c r="AB307" i="104"/>
  <c r="AC307" i="104"/>
  <c r="AD307" i="104"/>
  <c r="G13" i="108" l="1"/>
  <c r="U11" i="104"/>
  <c r="T11" i="104"/>
  <c r="S11" i="104"/>
  <c r="R11" i="104"/>
  <c r="Q11" i="104"/>
  <c r="P11" i="104"/>
  <c r="P248" i="104"/>
  <c r="P247" i="104"/>
  <c r="C237" i="104" s="1"/>
  <c r="P246" i="104"/>
  <c r="Z244" i="104"/>
  <c r="Y244" i="104"/>
  <c r="X244" i="104"/>
  <c r="W244" i="104"/>
  <c r="V244" i="104"/>
  <c r="U244" i="104"/>
  <c r="T244" i="104"/>
  <c r="S244" i="104"/>
  <c r="R244" i="104"/>
  <c r="Q244" i="104"/>
  <c r="P244" i="104"/>
  <c r="AE243" i="104"/>
  <c r="AD243" i="104"/>
  <c r="AC243" i="104"/>
  <c r="AB243" i="104"/>
  <c r="AA243" i="104"/>
  <c r="U243" i="104"/>
  <c r="T243" i="104"/>
  <c r="S243" i="104"/>
  <c r="R243" i="104"/>
  <c r="Q243" i="104"/>
  <c r="P243" i="104"/>
  <c r="AE242" i="104"/>
  <c r="AD242" i="104"/>
  <c r="AC242" i="104"/>
  <c r="AB242" i="104"/>
  <c r="AA242" i="104"/>
  <c r="Z242" i="104"/>
  <c r="Y242" i="104"/>
  <c r="X242" i="104"/>
  <c r="W242" i="104"/>
  <c r="V242" i="104"/>
  <c r="P242" i="104"/>
  <c r="Z241" i="104"/>
  <c r="Y241" i="104"/>
  <c r="X241" i="104"/>
  <c r="W241" i="104"/>
  <c r="V241" i="104"/>
  <c r="U241" i="104"/>
  <c r="T241" i="104"/>
  <c r="S241" i="104"/>
  <c r="R241" i="104"/>
  <c r="Q241" i="104"/>
  <c r="P241" i="104"/>
  <c r="AE240" i="104"/>
  <c r="AD240" i="104"/>
  <c r="AC240" i="104"/>
  <c r="AB240" i="104"/>
  <c r="AA240" i="104"/>
  <c r="P223" i="104"/>
  <c r="P222" i="104"/>
  <c r="C212" i="104" s="1"/>
  <c r="P221" i="104"/>
  <c r="Z219" i="104"/>
  <c r="Y219" i="104"/>
  <c r="X219" i="104"/>
  <c r="W219" i="104"/>
  <c r="V219" i="104"/>
  <c r="U219" i="104"/>
  <c r="T219" i="104"/>
  <c r="S219" i="104"/>
  <c r="R219" i="104"/>
  <c r="Q219" i="104"/>
  <c r="P219" i="104"/>
  <c r="AE218" i="104"/>
  <c r="AD218" i="104"/>
  <c r="AC218" i="104"/>
  <c r="AB218" i="104"/>
  <c r="AA218" i="104"/>
  <c r="U218" i="104"/>
  <c r="T218" i="104"/>
  <c r="S218" i="104"/>
  <c r="R218" i="104"/>
  <c r="Q218" i="104"/>
  <c r="P218" i="104"/>
  <c r="AE217" i="104"/>
  <c r="AD217" i="104"/>
  <c r="AC217" i="104"/>
  <c r="AB217" i="104"/>
  <c r="AA217" i="104"/>
  <c r="Z217" i="104"/>
  <c r="Y217" i="104"/>
  <c r="X217" i="104"/>
  <c r="W217" i="104"/>
  <c r="V217" i="104"/>
  <c r="P217" i="104"/>
  <c r="Z216" i="104"/>
  <c r="Y216" i="104"/>
  <c r="X216" i="104"/>
  <c r="W216" i="104"/>
  <c r="V216" i="104"/>
  <c r="U216" i="104"/>
  <c r="T216" i="104"/>
  <c r="S216" i="104"/>
  <c r="R216" i="104"/>
  <c r="Q216" i="104"/>
  <c r="P216" i="104"/>
  <c r="AE215" i="104"/>
  <c r="AD215" i="104"/>
  <c r="AC215" i="104"/>
  <c r="AB215" i="104"/>
  <c r="AA215" i="104"/>
  <c r="Q58" i="106" l="1"/>
  <c r="Q60" i="106" s="1"/>
  <c r="Q44" i="106"/>
  <c r="R268" i="104"/>
  <c r="U268" i="104"/>
  <c r="Q268" i="104"/>
  <c r="T268" i="104"/>
  <c r="S268" i="104"/>
  <c r="P249" i="104"/>
  <c r="P224" i="104"/>
  <c r="AA244" i="104"/>
  <c r="AB244" i="104"/>
  <c r="S217" i="104"/>
  <c r="T217" i="104"/>
  <c r="R217" i="104"/>
  <c r="Q217" i="104"/>
  <c r="U217" i="104"/>
  <c r="AC244" i="104"/>
  <c r="AD244" i="104"/>
  <c r="AE244" i="104"/>
  <c r="G14" i="108" l="1"/>
  <c r="W16" i="106"/>
  <c r="W14" i="106"/>
  <c r="W17" i="106"/>
  <c r="W13" i="106"/>
  <c r="W15" i="106"/>
  <c r="P197" i="104"/>
  <c r="P196" i="104"/>
  <c r="C186" i="104" s="1"/>
  <c r="P195" i="104"/>
  <c r="Z193" i="104"/>
  <c r="Y193" i="104"/>
  <c r="X193" i="104"/>
  <c r="W193" i="104"/>
  <c r="V193" i="104"/>
  <c r="U193" i="104"/>
  <c r="T193" i="104"/>
  <c r="S193" i="104"/>
  <c r="R193" i="104"/>
  <c r="Q193" i="104"/>
  <c r="P193" i="104"/>
  <c r="AE192" i="104"/>
  <c r="AD192" i="104"/>
  <c r="AC192" i="104"/>
  <c r="AB192" i="104"/>
  <c r="AA192" i="104"/>
  <c r="U192" i="104"/>
  <c r="T192" i="104"/>
  <c r="S192" i="104"/>
  <c r="R192" i="104"/>
  <c r="Q192" i="104"/>
  <c r="P192" i="104"/>
  <c r="AE191" i="104"/>
  <c r="AD191" i="104"/>
  <c r="AC191" i="104"/>
  <c r="AB191" i="104"/>
  <c r="AA191" i="104"/>
  <c r="Z191" i="104"/>
  <c r="Y191" i="104"/>
  <c r="X191" i="104"/>
  <c r="W191" i="104"/>
  <c r="V191" i="104"/>
  <c r="P191" i="104"/>
  <c r="Z190" i="104"/>
  <c r="Y190" i="104"/>
  <c r="X190" i="104"/>
  <c r="W190" i="104"/>
  <c r="V190" i="104"/>
  <c r="U190" i="104"/>
  <c r="T190" i="104"/>
  <c r="S190" i="104"/>
  <c r="R190" i="104"/>
  <c r="Q190" i="104"/>
  <c r="P190" i="104"/>
  <c r="AE189" i="104"/>
  <c r="AD189" i="104"/>
  <c r="AC189" i="104"/>
  <c r="AB189" i="104"/>
  <c r="AA189" i="104"/>
  <c r="P172" i="104"/>
  <c r="P171" i="104"/>
  <c r="C161" i="104" s="1"/>
  <c r="P170" i="104"/>
  <c r="Z168" i="104"/>
  <c r="Y168" i="104"/>
  <c r="X168" i="104"/>
  <c r="W168" i="104"/>
  <c r="V168" i="104"/>
  <c r="U168" i="104"/>
  <c r="T168" i="104"/>
  <c r="S168" i="104"/>
  <c r="R168" i="104"/>
  <c r="Q168" i="104"/>
  <c r="P168" i="104"/>
  <c r="AE167" i="104"/>
  <c r="AD167" i="104"/>
  <c r="AC167" i="104"/>
  <c r="AB167" i="104"/>
  <c r="AA167" i="104"/>
  <c r="U167" i="104"/>
  <c r="T167" i="104"/>
  <c r="S167" i="104"/>
  <c r="R167" i="104"/>
  <c r="Q167" i="104"/>
  <c r="P167" i="104"/>
  <c r="AE166" i="104"/>
  <c r="AD166" i="104"/>
  <c r="AC166" i="104"/>
  <c r="AB166" i="104"/>
  <c r="AA166" i="104"/>
  <c r="Z166" i="104"/>
  <c r="Y166" i="104"/>
  <c r="X166" i="104"/>
  <c r="W166" i="104"/>
  <c r="V166" i="104"/>
  <c r="P166" i="104"/>
  <c r="Z165" i="104"/>
  <c r="Y165" i="104"/>
  <c r="X165" i="104"/>
  <c r="W165" i="104"/>
  <c r="V165" i="104"/>
  <c r="U165" i="104"/>
  <c r="T165" i="104"/>
  <c r="S165" i="104"/>
  <c r="R165" i="104"/>
  <c r="Q165" i="104"/>
  <c r="P165" i="104"/>
  <c r="AE164" i="104"/>
  <c r="AD164" i="104"/>
  <c r="AC164" i="104"/>
  <c r="AB164" i="104"/>
  <c r="AA164" i="104"/>
  <c r="Z142" i="104"/>
  <c r="Y142" i="104"/>
  <c r="X142" i="104"/>
  <c r="W142" i="104"/>
  <c r="V142" i="104"/>
  <c r="U142" i="104"/>
  <c r="T142" i="104"/>
  <c r="S142" i="104"/>
  <c r="R142" i="104"/>
  <c r="Q142" i="104"/>
  <c r="P142" i="104"/>
  <c r="AE141" i="104"/>
  <c r="AD141" i="104"/>
  <c r="AC141" i="104"/>
  <c r="AB141" i="104"/>
  <c r="AA141" i="104"/>
  <c r="U141" i="104"/>
  <c r="T141" i="104"/>
  <c r="S141" i="104"/>
  <c r="R141" i="104"/>
  <c r="Q141" i="104"/>
  <c r="P141" i="104"/>
  <c r="AE140" i="104"/>
  <c r="AD140" i="104"/>
  <c r="AC140" i="104"/>
  <c r="AB140" i="104"/>
  <c r="AA140" i="104"/>
  <c r="Z140" i="104"/>
  <c r="Y140" i="104"/>
  <c r="X140" i="104"/>
  <c r="W140" i="104"/>
  <c r="V140" i="104"/>
  <c r="P140" i="104"/>
  <c r="P147" i="104"/>
  <c r="P146" i="104"/>
  <c r="C135" i="104" s="1"/>
  <c r="P145" i="104"/>
  <c r="Z139" i="104"/>
  <c r="Y139" i="104"/>
  <c r="X139" i="104"/>
  <c r="W139" i="104"/>
  <c r="V139" i="104"/>
  <c r="U139" i="104"/>
  <c r="T139" i="104"/>
  <c r="S139" i="104"/>
  <c r="R139" i="104"/>
  <c r="Q139" i="104"/>
  <c r="P139" i="104"/>
  <c r="AE138" i="104"/>
  <c r="AD138" i="104"/>
  <c r="AC138" i="104"/>
  <c r="AB138" i="104"/>
  <c r="AA138" i="104"/>
  <c r="P122" i="104"/>
  <c r="P121" i="104"/>
  <c r="C110" i="104" s="1"/>
  <c r="P120" i="104"/>
  <c r="Z117" i="104"/>
  <c r="Y117" i="104"/>
  <c r="X117" i="104"/>
  <c r="W117" i="104"/>
  <c r="V117" i="104"/>
  <c r="U117" i="104"/>
  <c r="T117" i="104"/>
  <c r="S117" i="104"/>
  <c r="R117" i="104"/>
  <c r="Q117" i="104"/>
  <c r="P117" i="104"/>
  <c r="AE116" i="104"/>
  <c r="AD116" i="104"/>
  <c r="AC116" i="104"/>
  <c r="AB116" i="104"/>
  <c r="AA116" i="104"/>
  <c r="U116" i="104"/>
  <c r="T116" i="104"/>
  <c r="S116" i="104"/>
  <c r="R116" i="104"/>
  <c r="Q116" i="104"/>
  <c r="P116" i="104"/>
  <c r="AE115" i="104"/>
  <c r="AD115" i="104"/>
  <c r="AC115" i="104"/>
  <c r="AB115" i="104"/>
  <c r="AA115" i="104"/>
  <c r="Z115" i="104"/>
  <c r="Y115" i="104"/>
  <c r="X115" i="104"/>
  <c r="W115" i="104"/>
  <c r="V115" i="104"/>
  <c r="P115" i="104"/>
  <c r="Z114" i="104"/>
  <c r="Y114" i="104"/>
  <c r="X114" i="104"/>
  <c r="W114" i="104"/>
  <c r="V114" i="104"/>
  <c r="U114" i="104"/>
  <c r="T114" i="104"/>
  <c r="S114" i="104"/>
  <c r="R114" i="104"/>
  <c r="Q114" i="104"/>
  <c r="P114" i="104"/>
  <c r="AE113" i="104"/>
  <c r="AD113" i="104"/>
  <c r="AC113" i="104"/>
  <c r="AB113" i="104"/>
  <c r="AA113" i="104"/>
  <c r="P93" i="104"/>
  <c r="P94" i="104"/>
  <c r="C84" i="104" s="1"/>
  <c r="P95" i="104"/>
  <c r="Z91" i="104"/>
  <c r="Y91" i="104"/>
  <c r="X91" i="104"/>
  <c r="W91" i="104"/>
  <c r="V91" i="104"/>
  <c r="U91" i="104"/>
  <c r="T91" i="104"/>
  <c r="S91" i="104"/>
  <c r="R91" i="104"/>
  <c r="Q91" i="104"/>
  <c r="P91" i="104"/>
  <c r="AE90" i="104"/>
  <c r="AD90" i="104"/>
  <c r="AC90" i="104"/>
  <c r="AB90" i="104"/>
  <c r="AA90" i="104"/>
  <c r="U90" i="104"/>
  <c r="T90" i="104"/>
  <c r="S90" i="104"/>
  <c r="R90" i="104"/>
  <c r="Q90" i="104"/>
  <c r="P90" i="104"/>
  <c r="AE89" i="104"/>
  <c r="AD89" i="104"/>
  <c r="AC89" i="104"/>
  <c r="AB89" i="104"/>
  <c r="AA89" i="104"/>
  <c r="Z89" i="104"/>
  <c r="Y89" i="104"/>
  <c r="X89" i="104"/>
  <c r="W89" i="104"/>
  <c r="V89" i="104"/>
  <c r="P89" i="104"/>
  <c r="Z88" i="104"/>
  <c r="Y88" i="104"/>
  <c r="X88" i="104"/>
  <c r="W88" i="104"/>
  <c r="V88" i="104"/>
  <c r="U88" i="104"/>
  <c r="T88" i="104"/>
  <c r="S88" i="104"/>
  <c r="R88" i="104"/>
  <c r="Q88" i="104"/>
  <c r="P88" i="104"/>
  <c r="AE87" i="104"/>
  <c r="AD87" i="104"/>
  <c r="AC87" i="104"/>
  <c r="AB87" i="104"/>
  <c r="AA87" i="104"/>
  <c r="W19" i="106" l="1"/>
  <c r="P123" i="104"/>
  <c r="AA193" i="104"/>
  <c r="P148" i="104"/>
  <c r="AE142" i="104"/>
  <c r="AD91" i="104"/>
  <c r="AC91" i="104"/>
  <c r="AE91" i="104"/>
  <c r="AA142" i="104"/>
  <c r="AB142" i="104"/>
  <c r="AC142" i="104"/>
  <c r="AA91" i="104"/>
  <c r="AD142" i="104"/>
  <c r="AB91" i="104"/>
  <c r="P173" i="104"/>
  <c r="P198" i="104"/>
  <c r="AB193" i="104"/>
  <c r="AD193" i="104"/>
  <c r="AE193" i="104"/>
  <c r="AC193" i="104"/>
  <c r="P96" i="104"/>
  <c r="P69" i="104" l="1"/>
  <c r="C59" i="104" s="1"/>
  <c r="P68" i="104"/>
  <c r="P70" i="104"/>
  <c r="Z66" i="104"/>
  <c r="Y66" i="104"/>
  <c r="X66" i="104"/>
  <c r="W66" i="104"/>
  <c r="V66" i="104"/>
  <c r="U66" i="104"/>
  <c r="T66" i="104"/>
  <c r="S66" i="104"/>
  <c r="R66" i="104"/>
  <c r="Q66" i="104"/>
  <c r="P66" i="104"/>
  <c r="AE65" i="104"/>
  <c r="AD65" i="104"/>
  <c r="AC65" i="104"/>
  <c r="AB65" i="104"/>
  <c r="AA65" i="104"/>
  <c r="U65" i="104"/>
  <c r="T65" i="104"/>
  <c r="S65" i="104"/>
  <c r="R65" i="104"/>
  <c r="Q65" i="104"/>
  <c r="P65" i="104"/>
  <c r="AE64" i="104"/>
  <c r="AD64" i="104"/>
  <c r="AC64" i="104"/>
  <c r="AB64" i="104"/>
  <c r="AA64" i="104"/>
  <c r="Z64" i="104"/>
  <c r="Y64" i="104"/>
  <c r="X64" i="104"/>
  <c r="W64" i="104"/>
  <c r="V64" i="104"/>
  <c r="P64" i="104"/>
  <c r="Z63" i="104"/>
  <c r="Y63" i="104"/>
  <c r="X63" i="104"/>
  <c r="W63" i="104"/>
  <c r="V63" i="104"/>
  <c r="U63" i="104"/>
  <c r="T63" i="104"/>
  <c r="S63" i="104"/>
  <c r="R63" i="104"/>
  <c r="Q63" i="104"/>
  <c r="P63" i="104"/>
  <c r="AE62" i="104"/>
  <c r="AD62" i="104"/>
  <c r="AC62" i="104"/>
  <c r="AB62" i="104"/>
  <c r="AA62" i="104"/>
  <c r="B6" i="105"/>
  <c r="B4" i="105"/>
  <c r="P45" i="104"/>
  <c r="P46" i="104"/>
  <c r="Z42" i="104"/>
  <c r="Y42" i="104"/>
  <c r="X42" i="104"/>
  <c r="W42" i="104"/>
  <c r="V42" i="104"/>
  <c r="U42" i="104"/>
  <c r="T42" i="104"/>
  <c r="S42" i="104"/>
  <c r="R42" i="104"/>
  <c r="Q42" i="104"/>
  <c r="P42" i="104"/>
  <c r="AE41" i="104"/>
  <c r="AD41" i="104"/>
  <c r="AC41" i="104"/>
  <c r="AB41" i="104"/>
  <c r="AA41" i="104"/>
  <c r="U41" i="104"/>
  <c r="T41" i="104"/>
  <c r="S41" i="104"/>
  <c r="R41" i="104"/>
  <c r="Q41" i="104"/>
  <c r="P41" i="104"/>
  <c r="AE40" i="104"/>
  <c r="AD40" i="104"/>
  <c r="AC40" i="104"/>
  <c r="AB40" i="104"/>
  <c r="AA40" i="104"/>
  <c r="Z40" i="104"/>
  <c r="Y40" i="104"/>
  <c r="X40" i="104"/>
  <c r="W40" i="104"/>
  <c r="V40" i="104"/>
  <c r="P40" i="104"/>
  <c r="AE37" i="104"/>
  <c r="AD37" i="104"/>
  <c r="AC37" i="104"/>
  <c r="AB37" i="104"/>
  <c r="AA37" i="104"/>
  <c r="P37" i="104"/>
  <c r="AE36" i="104"/>
  <c r="AD36" i="104"/>
  <c r="AC36" i="104"/>
  <c r="AB36" i="104"/>
  <c r="AA36" i="104"/>
  <c r="P21" i="104"/>
  <c r="P20" i="104"/>
  <c r="Z17" i="104"/>
  <c r="Y17" i="104"/>
  <c r="X17" i="104"/>
  <c r="W17" i="104"/>
  <c r="V17" i="104"/>
  <c r="U17" i="104"/>
  <c r="T17" i="104"/>
  <c r="S17" i="104"/>
  <c r="R17" i="104"/>
  <c r="Q17" i="104"/>
  <c r="P17" i="104"/>
  <c r="P15" i="104"/>
  <c r="U16" i="104"/>
  <c r="T16" i="104"/>
  <c r="S16" i="104"/>
  <c r="R16" i="104"/>
  <c r="Q16" i="104"/>
  <c r="P16" i="104"/>
  <c r="Z15" i="104"/>
  <c r="Y15" i="104"/>
  <c r="X15" i="104"/>
  <c r="W15" i="104"/>
  <c r="V15" i="104"/>
  <c r="AE16" i="104"/>
  <c r="AD16" i="104"/>
  <c r="AC16" i="104"/>
  <c r="AB16" i="104"/>
  <c r="AA16" i="104"/>
  <c r="AE15" i="104"/>
  <c r="AD15" i="104"/>
  <c r="AC15" i="104"/>
  <c r="AB15" i="104"/>
  <c r="AA15" i="104"/>
  <c r="Z14" i="104"/>
  <c r="Y14" i="104"/>
  <c r="X14" i="104"/>
  <c r="W14" i="104"/>
  <c r="V14" i="104"/>
  <c r="U14" i="104"/>
  <c r="T14" i="104"/>
  <c r="S14" i="104"/>
  <c r="R14" i="104"/>
  <c r="Q14" i="104"/>
  <c r="P14" i="104"/>
  <c r="P12" i="104"/>
  <c r="AE12" i="104"/>
  <c r="AD12" i="104"/>
  <c r="AC12" i="104"/>
  <c r="AB12" i="104"/>
  <c r="AA12" i="104"/>
  <c r="AA11" i="104"/>
  <c r="AB11" i="104"/>
  <c r="AC11" i="104"/>
  <c r="AD11" i="104"/>
  <c r="AE11" i="104"/>
  <c r="B4" i="104"/>
  <c r="H13" i="108" l="1"/>
  <c r="P22" i="104"/>
  <c r="P71" i="104"/>
  <c r="P47" i="104"/>
  <c r="R58" i="106" l="1"/>
  <c r="R60" i="106" s="1"/>
  <c r="R44" i="106"/>
  <c r="X16" i="106" s="1"/>
  <c r="D77" i="4"/>
  <c r="D76" i="4"/>
  <c r="D75" i="4"/>
  <c r="D74" i="4"/>
  <c r="D73" i="4"/>
  <c r="D72" i="4"/>
  <c r="H33" i="34"/>
  <c r="G33" i="34"/>
  <c r="F33" i="34"/>
  <c r="H32" i="34"/>
  <c r="G32" i="34"/>
  <c r="F32" i="34"/>
  <c r="H31" i="34"/>
  <c r="G31" i="34"/>
  <c r="F31" i="34"/>
  <c r="H30" i="34"/>
  <c r="G30" i="34"/>
  <c r="F30" i="34"/>
  <c r="H29" i="34"/>
  <c r="G29" i="34"/>
  <c r="F29" i="34"/>
  <c r="J29" i="34"/>
  <c r="K29" i="34" s="1"/>
  <c r="L29" i="34" s="1"/>
  <c r="M29" i="34" s="1"/>
  <c r="N29" i="34" s="1"/>
  <c r="O29" i="34" s="1"/>
  <c r="K30" i="34"/>
  <c r="L30" i="34" s="1"/>
  <c r="M30" i="34" s="1"/>
  <c r="N30" i="34" s="1"/>
  <c r="O30" i="34" s="1"/>
  <c r="L31" i="34"/>
  <c r="M31" i="34" s="1"/>
  <c r="N31" i="34" s="1"/>
  <c r="O31" i="34" s="1"/>
  <c r="M32" i="34"/>
  <c r="N32" i="34" s="1"/>
  <c r="O32" i="34" s="1"/>
  <c r="N33" i="34"/>
  <c r="M33" i="34" s="1"/>
  <c r="L33" i="34" s="1"/>
  <c r="K33" i="34" s="1"/>
  <c r="J33" i="34" s="1"/>
  <c r="N27" i="34"/>
  <c r="M27" i="34"/>
  <c r="L27" i="34"/>
  <c r="K27" i="34"/>
  <c r="J27" i="34"/>
  <c r="N16" i="34"/>
  <c r="M16" i="34"/>
  <c r="L16" i="34"/>
  <c r="K16" i="34"/>
  <c r="J16" i="34"/>
  <c r="D87" i="4"/>
  <c r="D78" i="4"/>
  <c r="D79" i="4"/>
  <c r="D80" i="4"/>
  <c r="D81" i="4"/>
  <c r="D82" i="4"/>
  <c r="D83" i="4"/>
  <c r="D84" i="4"/>
  <c r="D85" i="4"/>
  <c r="D86" i="4"/>
  <c r="L32" i="34" l="1"/>
  <c r="K32" i="34" s="1"/>
  <c r="J32" i="34" s="1"/>
  <c r="H14" i="108"/>
  <c r="X13" i="106"/>
  <c r="X14" i="106"/>
  <c r="X17" i="106"/>
  <c r="X15" i="106"/>
  <c r="K31" i="34"/>
  <c r="J31" i="34" s="1"/>
  <c r="O33" i="34"/>
  <c r="J30" i="34"/>
  <c r="X19" i="106" l="1"/>
  <c r="Q115" i="104"/>
  <c r="R115" i="104"/>
  <c r="S115" i="104"/>
  <c r="T115" i="104"/>
  <c r="U115" i="104"/>
  <c r="T64" i="104"/>
  <c r="Q64" i="104"/>
  <c r="U64" i="104"/>
  <c r="R64" i="104" l="1"/>
  <c r="S64" i="104"/>
  <c r="I13" i="108" l="1"/>
  <c r="S15" i="104"/>
  <c r="T15" i="104"/>
  <c r="U15" i="104"/>
  <c r="Q15" i="104"/>
  <c r="R15" i="104"/>
  <c r="S44" i="106" l="1"/>
  <c r="S58" i="106"/>
  <c r="S60" i="106" s="1"/>
  <c r="AA42" i="104"/>
  <c r="AD42" i="104"/>
  <c r="AE42" i="104"/>
  <c r="AB42" i="104"/>
  <c r="AC42" i="104"/>
  <c r="I14" i="108" l="1"/>
  <c r="Y16" i="106"/>
  <c r="Y15" i="106"/>
  <c r="Y14" i="106"/>
  <c r="Y17" i="106"/>
  <c r="Y13" i="106"/>
  <c r="P31" i="34"/>
  <c r="Q31" i="34" s="1"/>
  <c r="R31" i="34" s="1"/>
  <c r="S31" i="34" s="1"/>
  <c r="T31" i="34" s="1"/>
  <c r="U31" i="34" s="1"/>
  <c r="P30" i="34"/>
  <c r="Q30" i="34" s="1"/>
  <c r="R30" i="34" s="1"/>
  <c r="S30" i="34" s="1"/>
  <c r="T30" i="34" s="1"/>
  <c r="U30" i="34" s="1"/>
  <c r="P29" i="34"/>
  <c r="P33" i="34"/>
  <c r="Q33" i="34" s="1"/>
  <c r="R33" i="34" s="1"/>
  <c r="S33" i="34" s="1"/>
  <c r="T33" i="34" s="1"/>
  <c r="U33" i="34" s="1"/>
  <c r="P32" i="34"/>
  <c r="Q32" i="34" s="1"/>
  <c r="R32" i="34" s="1"/>
  <c r="S32" i="34" s="1"/>
  <c r="T32" i="34" s="1"/>
  <c r="U32" i="34" s="1"/>
  <c r="Y19" i="106" l="1"/>
  <c r="Q29" i="34"/>
  <c r="V18" i="34"/>
  <c r="V19" i="34" s="1"/>
  <c r="V55" i="34" s="1"/>
  <c r="O34" i="34"/>
  <c r="N34" i="34" s="1"/>
  <c r="M34" i="34" s="1"/>
  <c r="L34" i="34" s="1"/>
  <c r="K34" i="34" s="1"/>
  <c r="J34" i="34" s="1"/>
  <c r="Q36" i="34"/>
  <c r="R37" i="34"/>
  <c r="Q37" i="34" s="1"/>
  <c r="P37" i="34" s="1"/>
  <c r="H34" i="34"/>
  <c r="G34" i="34"/>
  <c r="F34" i="34"/>
  <c r="P17" i="4"/>
  <c r="P15" i="4" s="1"/>
  <c r="H46" i="34"/>
  <c r="G46" i="34"/>
  <c r="F46" i="34"/>
  <c r="D18" i="25"/>
  <c r="F36" i="34"/>
  <c r="G36" i="34"/>
  <c r="H36" i="34"/>
  <c r="F37" i="34"/>
  <c r="G37" i="34"/>
  <c r="H37" i="34"/>
  <c r="F38" i="34"/>
  <c r="G38" i="34"/>
  <c r="H38" i="34"/>
  <c r="F39" i="34"/>
  <c r="G39" i="34"/>
  <c r="H39" i="34"/>
  <c r="F40" i="34"/>
  <c r="G40" i="34"/>
  <c r="H40" i="34"/>
  <c r="F41" i="34"/>
  <c r="G41" i="34"/>
  <c r="H41" i="34"/>
  <c r="F42" i="34"/>
  <c r="G42" i="34"/>
  <c r="H42" i="34"/>
  <c r="F43" i="34"/>
  <c r="G43" i="34"/>
  <c r="H43" i="34"/>
  <c r="F44" i="34"/>
  <c r="G44" i="34"/>
  <c r="H44" i="34"/>
  <c r="H35" i="34"/>
  <c r="G35" i="34"/>
  <c r="F35" i="34"/>
  <c r="F23" i="34"/>
  <c r="H23" i="34"/>
  <c r="G23" i="34"/>
  <c r="H27" i="34"/>
  <c r="G27" i="34"/>
  <c r="F27" i="34"/>
  <c r="E27" i="34"/>
  <c r="H18" i="34"/>
  <c r="G18" i="34"/>
  <c r="F18" i="34"/>
  <c r="H16" i="34"/>
  <c r="G16" i="34"/>
  <c r="F16" i="34"/>
  <c r="E16" i="34"/>
  <c r="H10" i="34"/>
  <c r="G10" i="34"/>
  <c r="F10" i="34"/>
  <c r="E10" i="34"/>
  <c r="B10" i="34"/>
  <c r="Y9" i="34"/>
  <c r="X9" i="34"/>
  <c r="W9" i="34"/>
  <c r="V9" i="34"/>
  <c r="U9" i="34"/>
  <c r="T9" i="34"/>
  <c r="S9" i="34"/>
  <c r="R9" i="34"/>
  <c r="Q9" i="34"/>
  <c r="P9" i="34"/>
  <c r="B9" i="34"/>
  <c r="B8" i="34"/>
  <c r="B7" i="34"/>
  <c r="B6" i="34"/>
  <c r="B5" i="34"/>
  <c r="B4" i="34"/>
  <c r="B3" i="34"/>
  <c r="D58" i="4"/>
  <c r="E66" i="4"/>
  <c r="D66" i="4"/>
  <c r="D52" i="4"/>
  <c r="B3" i="25"/>
  <c r="B3" i="4"/>
  <c r="B6" i="28"/>
  <c r="B4" i="28"/>
  <c r="B4" i="25"/>
  <c r="B4" i="4"/>
  <c r="H426" i="143" l="1"/>
  <c r="H416" i="143"/>
  <c r="H425" i="143"/>
  <c r="H412" i="143"/>
  <c r="H415" i="143"/>
  <c r="H414" i="143"/>
  <c r="H413" i="143"/>
  <c r="H424" i="143"/>
  <c r="H422" i="143"/>
  <c r="H423" i="143"/>
  <c r="F390" i="143"/>
  <c r="F385" i="143"/>
  <c r="F393" i="143"/>
  <c r="F386" i="143"/>
  <c r="F403" i="143"/>
  <c r="F391" i="143"/>
  <c r="F395" i="143"/>
  <c r="F384" i="143"/>
  <c r="F398" i="143"/>
  <c r="F401" i="143"/>
  <c r="F399" i="143"/>
  <c r="F387" i="143"/>
  <c r="F404" i="143"/>
  <c r="F392" i="143"/>
  <c r="F396" i="143"/>
  <c r="R29" i="34"/>
  <c r="Q17" i="4"/>
  <c r="Q7" i="34" s="1"/>
  <c r="P7" i="34"/>
  <c r="V32" i="34"/>
  <c r="V33" i="34"/>
  <c r="V31" i="34"/>
  <c r="V30" i="34"/>
  <c r="O16" i="4"/>
  <c r="O15" i="4" s="1"/>
  <c r="N15" i="4" s="1"/>
  <c r="M15" i="4" s="1"/>
  <c r="P16" i="4"/>
  <c r="Q15" i="4" s="1"/>
  <c r="Q16" i="4" s="1"/>
  <c r="P5" i="34"/>
  <c r="O37" i="34"/>
  <c r="N37" i="34" s="1"/>
  <c r="M37" i="34" s="1"/>
  <c r="L37" i="34" s="1"/>
  <c r="K37" i="34" s="1"/>
  <c r="J37" i="34" s="1"/>
  <c r="P36" i="34"/>
  <c r="O36" i="34" s="1"/>
  <c r="N36" i="34" s="1"/>
  <c r="M36" i="34" s="1"/>
  <c r="L36" i="34" s="1"/>
  <c r="K36" i="34" s="1"/>
  <c r="J36" i="34" s="1"/>
  <c r="P35" i="34"/>
  <c r="Q35" i="34" s="1"/>
  <c r="R35" i="34" s="1"/>
  <c r="S35" i="34" s="1"/>
  <c r="T35" i="34" s="1"/>
  <c r="U35" i="34" s="1"/>
  <c r="V35" i="34" s="1"/>
  <c r="P34" i="34"/>
  <c r="S38" i="34"/>
  <c r="R36" i="34"/>
  <c r="S36" i="34" s="1"/>
  <c r="T36" i="34" s="1"/>
  <c r="U36" i="34" s="1"/>
  <c r="V36" i="34" s="1"/>
  <c r="S37" i="34"/>
  <c r="T37" i="34" s="1"/>
  <c r="V41" i="34"/>
  <c r="W18" i="34"/>
  <c r="W19" i="34" s="1"/>
  <c r="W55" i="34" s="1"/>
  <c r="U40" i="34"/>
  <c r="T39" i="34"/>
  <c r="I109" i="137" s="1"/>
  <c r="I110" i="137" s="1"/>
  <c r="H122" i="119" l="1"/>
  <c r="H121" i="119"/>
  <c r="I14" i="111"/>
  <c r="I20" i="111" s="1"/>
  <c r="Z230" i="104"/>
  <c r="Y283" i="104"/>
  <c r="Y278" i="104"/>
  <c r="Y279" i="104"/>
  <c r="R16" i="111"/>
  <c r="M134" i="119" s="1"/>
  <c r="J54" i="106"/>
  <c r="J55" i="106"/>
  <c r="J57" i="106"/>
  <c r="J56" i="106"/>
  <c r="J58" i="106"/>
  <c r="G396" i="143"/>
  <c r="G399" i="143"/>
  <c r="G395" i="143"/>
  <c r="G393" i="143"/>
  <c r="I422" i="143"/>
  <c r="I415" i="143"/>
  <c r="G392" i="143"/>
  <c r="G401" i="143"/>
  <c r="G391" i="143"/>
  <c r="G385" i="143"/>
  <c r="I424" i="143"/>
  <c r="I412" i="143"/>
  <c r="G404" i="143"/>
  <c r="G398" i="143"/>
  <c r="G403" i="143"/>
  <c r="G390" i="143"/>
  <c r="I413" i="143"/>
  <c r="I425" i="143"/>
  <c r="I416" i="143"/>
  <c r="G387" i="143"/>
  <c r="G384" i="143"/>
  <c r="G386" i="143"/>
  <c r="I423" i="143"/>
  <c r="I414" i="143"/>
  <c r="I426" i="143"/>
  <c r="R17" i="4"/>
  <c r="R15" i="4" s="1"/>
  <c r="Z26" i="107"/>
  <c r="Z27" i="107"/>
  <c r="I36" i="137"/>
  <c r="R38" i="34"/>
  <c r="S29" i="34"/>
  <c r="U37" i="34"/>
  <c r="V37" i="34" s="1"/>
  <c r="W37" i="34" s="1"/>
  <c r="Z113" i="104"/>
  <c r="Z164" i="104"/>
  <c r="Z62" i="104"/>
  <c r="M16" i="4"/>
  <c r="M18" i="4" s="1"/>
  <c r="M20" i="4" s="1"/>
  <c r="L15" i="4"/>
  <c r="O18" i="4"/>
  <c r="O20" i="4" s="1"/>
  <c r="W30" i="34"/>
  <c r="W31" i="34"/>
  <c r="W33" i="34"/>
  <c r="W32" i="34"/>
  <c r="Q34" i="34"/>
  <c r="Q5" i="34"/>
  <c r="P18" i="4"/>
  <c r="P8" i="34" s="1"/>
  <c r="P6" i="34"/>
  <c r="Q6" i="34"/>
  <c r="Q18" i="4"/>
  <c r="T38" i="34"/>
  <c r="O35" i="34"/>
  <c r="W36" i="34"/>
  <c r="W42" i="34"/>
  <c r="X18" i="34"/>
  <c r="X19" i="34" s="1"/>
  <c r="X55" i="34" s="1"/>
  <c r="U39" i="34"/>
  <c r="AA330" i="104" s="1"/>
  <c r="S39" i="34"/>
  <c r="H109" i="137" s="1"/>
  <c r="H110" i="137" s="1"/>
  <c r="V40" i="34"/>
  <c r="W40" i="34" s="1"/>
  <c r="T40" i="34"/>
  <c r="S40" i="34" s="1"/>
  <c r="R40" i="34" s="1"/>
  <c r="Q40" i="34" s="1"/>
  <c r="P40" i="34" s="1"/>
  <c r="O40" i="34" s="1"/>
  <c r="N40" i="34" s="1"/>
  <c r="M40" i="34" s="1"/>
  <c r="L40" i="34" s="1"/>
  <c r="K40" i="34" s="1"/>
  <c r="J40" i="34" s="1"/>
  <c r="U41" i="34"/>
  <c r="T41" i="34" s="1"/>
  <c r="S41" i="34" s="1"/>
  <c r="R41" i="34" s="1"/>
  <c r="Q41" i="34" s="1"/>
  <c r="P41" i="34" s="1"/>
  <c r="O41" i="34" s="1"/>
  <c r="N41" i="34" s="1"/>
  <c r="M41" i="34" s="1"/>
  <c r="L41" i="34" s="1"/>
  <c r="K41" i="34" s="1"/>
  <c r="J41" i="34" s="1"/>
  <c r="W41" i="34"/>
  <c r="W35" i="34"/>
  <c r="Y230" i="104" l="1"/>
  <c r="G122" i="119"/>
  <c r="G121" i="119"/>
  <c r="H14" i="111"/>
  <c r="H20" i="111" s="1"/>
  <c r="Z278" i="104"/>
  <c r="Z283" i="104"/>
  <c r="Y280" i="104"/>
  <c r="R7" i="34"/>
  <c r="S17" i="4"/>
  <c r="T17" i="4" s="1"/>
  <c r="G118" i="119"/>
  <c r="Y215" i="104"/>
  <c r="Y240" i="104" s="1"/>
  <c r="G644" i="119" s="1"/>
  <c r="H118" i="119"/>
  <c r="Z279" i="104"/>
  <c r="Y284" i="104"/>
  <c r="Y285" i="104" s="1"/>
  <c r="T46" i="34"/>
  <c r="Z215" i="104"/>
  <c r="Z240" i="104" s="1"/>
  <c r="H644" i="119" s="1"/>
  <c r="J44" i="106"/>
  <c r="K58" i="106"/>
  <c r="K57" i="106"/>
  <c r="K56" i="106"/>
  <c r="K55" i="106"/>
  <c r="K54" i="106"/>
  <c r="J60" i="106"/>
  <c r="P13" i="106" s="1"/>
  <c r="H386" i="143"/>
  <c r="H390" i="143"/>
  <c r="J424" i="143"/>
  <c r="H392" i="143"/>
  <c r="J415" i="143"/>
  <c r="H399" i="143"/>
  <c r="H384" i="143"/>
  <c r="H403" i="143"/>
  <c r="H385" i="143"/>
  <c r="J422" i="143"/>
  <c r="H396" i="143"/>
  <c r="J426" i="143"/>
  <c r="J414" i="143"/>
  <c r="H387" i="143"/>
  <c r="J425" i="143"/>
  <c r="H398" i="143"/>
  <c r="H391" i="143"/>
  <c r="H393" i="143"/>
  <c r="J423" i="143"/>
  <c r="J416" i="143"/>
  <c r="J413" i="143"/>
  <c r="H404" i="143"/>
  <c r="J412" i="143"/>
  <c r="H401" i="143"/>
  <c r="H395" i="143"/>
  <c r="I38" i="137"/>
  <c r="I37" i="137"/>
  <c r="H119" i="119"/>
  <c r="I119" i="119" s="1"/>
  <c r="E11" i="115"/>
  <c r="E24" i="114"/>
  <c r="Y26" i="107"/>
  <c r="Y27" i="107"/>
  <c r="I85" i="137"/>
  <c r="I86" i="137" s="1"/>
  <c r="Z36" i="104"/>
  <c r="Z11" i="104" s="1"/>
  <c r="S46" i="34"/>
  <c r="Q38" i="34"/>
  <c r="N35" i="34"/>
  <c r="M35" i="34" s="1"/>
  <c r="T29" i="34"/>
  <c r="S10" i="107"/>
  <c r="U10" i="107"/>
  <c r="Y164" i="104"/>
  <c r="Y113" i="104"/>
  <c r="Y62" i="104"/>
  <c r="AA267" i="104"/>
  <c r="AA216" i="104"/>
  <c r="AA114" i="104"/>
  <c r="AA165" i="104"/>
  <c r="AA63" i="104"/>
  <c r="AA14" i="104"/>
  <c r="O10" i="34"/>
  <c r="U10" i="104"/>
  <c r="L16" i="4"/>
  <c r="L18" i="4" s="1"/>
  <c r="L20" i="4" s="1"/>
  <c r="K15" i="4"/>
  <c r="S10" i="104"/>
  <c r="X32" i="34"/>
  <c r="R34" i="34"/>
  <c r="X33" i="34"/>
  <c r="X31" i="34"/>
  <c r="X30" i="34"/>
  <c r="P20" i="4"/>
  <c r="P11" i="106" s="1"/>
  <c r="R39" i="34"/>
  <c r="G110" i="137" s="1"/>
  <c r="V39" i="34"/>
  <c r="AB330" i="104" s="1"/>
  <c r="Q20" i="4"/>
  <c r="Q11" i="106" s="1"/>
  <c r="Q8" i="34"/>
  <c r="R5" i="34"/>
  <c r="R16" i="4"/>
  <c r="U38" i="34"/>
  <c r="X36" i="34"/>
  <c r="X37" i="34"/>
  <c r="X35" i="34"/>
  <c r="V42" i="34"/>
  <c r="U42" i="34" s="1"/>
  <c r="T42" i="34" s="1"/>
  <c r="S42" i="34" s="1"/>
  <c r="R42" i="34" s="1"/>
  <c r="Q42" i="34" s="1"/>
  <c r="P42" i="34" s="1"/>
  <c r="O42" i="34" s="1"/>
  <c r="N42" i="34" s="1"/>
  <c r="M42" i="34" s="1"/>
  <c r="L42" i="34" s="1"/>
  <c r="K42" i="34" s="1"/>
  <c r="J42" i="34" s="1"/>
  <c r="X42" i="34"/>
  <c r="X41" i="34"/>
  <c r="Y18" i="34"/>
  <c r="X43" i="34"/>
  <c r="X40" i="34"/>
  <c r="G14" i="111" l="1"/>
  <c r="G20" i="111" s="1"/>
  <c r="F122" i="119"/>
  <c r="F121" i="119"/>
  <c r="S7" i="34"/>
  <c r="Y286" i="104"/>
  <c r="Y266" i="104" s="1"/>
  <c r="Y303" i="104" s="1"/>
  <c r="G643" i="119" s="1"/>
  <c r="X87" i="104"/>
  <c r="X62" i="104" s="1"/>
  <c r="X138" i="104"/>
  <c r="X113" i="104" s="1"/>
  <c r="D10" i="145"/>
  <c r="D9" i="145"/>
  <c r="D18" i="145" s="1"/>
  <c r="P19" i="111"/>
  <c r="Z284" i="104"/>
  <c r="Z280" i="104"/>
  <c r="S328" i="104"/>
  <c r="S288" i="104"/>
  <c r="U328" i="104"/>
  <c r="U288" i="104"/>
  <c r="Y44" i="34"/>
  <c r="X44" i="34" s="1"/>
  <c r="W44" i="34" s="1"/>
  <c r="V44" i="34" s="1"/>
  <c r="U44" i="34" s="1"/>
  <c r="T44" i="34" s="1"/>
  <c r="S44" i="34" s="1"/>
  <c r="Y19" i="34"/>
  <c r="Y55" i="34" s="1"/>
  <c r="O16" i="34"/>
  <c r="O53" i="34"/>
  <c r="P16" i="106"/>
  <c r="P17" i="106"/>
  <c r="K60" i="106"/>
  <c r="Q14" i="106" s="1"/>
  <c r="L58" i="106"/>
  <c r="L56" i="106"/>
  <c r="L54" i="106"/>
  <c r="L57" i="106"/>
  <c r="L55" i="106"/>
  <c r="P15" i="106"/>
  <c r="P14" i="106"/>
  <c r="K44" i="106"/>
  <c r="K425" i="143"/>
  <c r="K414" i="143"/>
  <c r="K415" i="143"/>
  <c r="K424" i="143"/>
  <c r="I390" i="143"/>
  <c r="I386" i="143"/>
  <c r="Z354" i="104"/>
  <c r="Z329" i="104" s="1"/>
  <c r="I395" i="143"/>
  <c r="I401" i="143"/>
  <c r="I404" i="143"/>
  <c r="K416" i="143"/>
  <c r="Y354" i="104"/>
  <c r="Y329" i="104" s="1"/>
  <c r="K412" i="143"/>
  <c r="K413" i="143"/>
  <c r="K423" i="143"/>
  <c r="I396" i="143"/>
  <c r="X240" i="104"/>
  <c r="I393" i="143"/>
  <c r="I391" i="143"/>
  <c r="I398" i="143"/>
  <c r="I387" i="143"/>
  <c r="K426" i="143"/>
  <c r="K422" i="143"/>
  <c r="I385" i="143"/>
  <c r="I403" i="143"/>
  <c r="I384" i="143"/>
  <c r="I399" i="143"/>
  <c r="I392" i="143"/>
  <c r="G120" i="119"/>
  <c r="G128" i="119" s="1"/>
  <c r="H120" i="119"/>
  <c r="H128" i="119" s="1"/>
  <c r="R17" i="111"/>
  <c r="I25" i="111" s="1"/>
  <c r="X39" i="107"/>
  <c r="G43" i="112" s="1"/>
  <c r="G47" i="112" s="1"/>
  <c r="F11" i="115"/>
  <c r="F24" i="114"/>
  <c r="J52" i="106"/>
  <c r="J36" i="106"/>
  <c r="K36" i="106"/>
  <c r="K52" i="106"/>
  <c r="Y36" i="104"/>
  <c r="Y11" i="104" s="1"/>
  <c r="H85" i="137"/>
  <c r="H86" i="137" s="1"/>
  <c r="Q17" i="111"/>
  <c r="H25" i="111" s="1"/>
  <c r="R46" i="34"/>
  <c r="V38" i="34"/>
  <c r="U46" i="34"/>
  <c r="R47" i="34"/>
  <c r="X37" i="107" s="1"/>
  <c r="P38" i="34"/>
  <c r="U29" i="34"/>
  <c r="U226" i="104"/>
  <c r="S226" i="104"/>
  <c r="U25" i="107"/>
  <c r="S25" i="107"/>
  <c r="R10" i="107"/>
  <c r="O27" i="34"/>
  <c r="U277" i="104"/>
  <c r="U314" i="104"/>
  <c r="W10" i="107"/>
  <c r="U50" i="107"/>
  <c r="U35" i="107"/>
  <c r="S50" i="107"/>
  <c r="S35" i="107"/>
  <c r="V10" i="107"/>
  <c r="S277" i="104"/>
  <c r="S314" i="104"/>
  <c r="S112" i="104"/>
  <c r="S302" i="104"/>
  <c r="S86" i="104"/>
  <c r="S214" i="104"/>
  <c r="S265" i="104"/>
  <c r="S61" i="104"/>
  <c r="S24" i="104"/>
  <c r="S239" i="104"/>
  <c r="S35" i="104"/>
  <c r="S137" i="104"/>
  <c r="S188" i="104"/>
  <c r="S353" i="104"/>
  <c r="S163" i="104"/>
  <c r="U265" i="104"/>
  <c r="U61" i="104"/>
  <c r="U239" i="104"/>
  <c r="U35" i="104"/>
  <c r="U163" i="104"/>
  <c r="U24" i="104"/>
  <c r="U214" i="104"/>
  <c r="U188" i="104"/>
  <c r="U353" i="104"/>
  <c r="U137" i="104"/>
  <c r="U302" i="104"/>
  <c r="U86" i="104"/>
  <c r="U112" i="104"/>
  <c r="X303" i="104"/>
  <c r="Z218" i="104"/>
  <c r="Y218" i="104"/>
  <c r="X218" i="104"/>
  <c r="W218" i="104"/>
  <c r="V218" i="104"/>
  <c r="AB267" i="104"/>
  <c r="AB216" i="104"/>
  <c r="AB165" i="104"/>
  <c r="AB114" i="104"/>
  <c r="AB14" i="104"/>
  <c r="AB63" i="104"/>
  <c r="K16" i="4"/>
  <c r="K18" i="4" s="1"/>
  <c r="K20" i="4" s="1"/>
  <c r="J15" i="4"/>
  <c r="J16" i="4" s="1"/>
  <c r="J18" i="4" s="1"/>
  <c r="J20" i="4" s="1"/>
  <c r="R10" i="104"/>
  <c r="Q10" i="34"/>
  <c r="W10" i="104"/>
  <c r="P10" i="34"/>
  <c r="V10" i="104"/>
  <c r="S34" i="34"/>
  <c r="U17" i="4"/>
  <c r="T7" i="34"/>
  <c r="Y30" i="34"/>
  <c r="Y32" i="34"/>
  <c r="Y33" i="34"/>
  <c r="Y31" i="34"/>
  <c r="L35" i="34"/>
  <c r="W39" i="34"/>
  <c r="AC330" i="104" s="1"/>
  <c r="Q39" i="34"/>
  <c r="F110" i="137" s="1"/>
  <c r="S15" i="4"/>
  <c r="R6" i="34"/>
  <c r="R18" i="4"/>
  <c r="Y40" i="34"/>
  <c r="Y41" i="34"/>
  <c r="Y36" i="34"/>
  <c r="Y43" i="34"/>
  <c r="W43" i="34"/>
  <c r="V43" i="34" s="1"/>
  <c r="U43" i="34" s="1"/>
  <c r="T43" i="34" s="1"/>
  <c r="S43" i="34" s="1"/>
  <c r="R43" i="34" s="1"/>
  <c r="Q43" i="34" s="1"/>
  <c r="P43" i="34" s="1"/>
  <c r="O43" i="34" s="1"/>
  <c r="N43" i="34" s="1"/>
  <c r="M43" i="34" s="1"/>
  <c r="L43" i="34" s="1"/>
  <c r="K43" i="34" s="1"/>
  <c r="J43" i="34" s="1"/>
  <c r="Y35" i="34"/>
  <c r="Y42" i="34"/>
  <c r="Y37" i="34"/>
  <c r="E121" i="119" l="1"/>
  <c r="F14" i="111"/>
  <c r="F20" i="111" s="1"/>
  <c r="E122" i="119"/>
  <c r="V73" i="138"/>
  <c r="F643" i="119"/>
  <c r="X354" i="104"/>
  <c r="X329" i="104" s="1"/>
  <c r="F118" i="119"/>
  <c r="W87" i="104"/>
  <c r="W62" i="104" s="1"/>
  <c r="W138" i="104"/>
  <c r="W113" i="104" s="1"/>
  <c r="D11" i="145"/>
  <c r="D13" i="145" s="1"/>
  <c r="E10" i="145"/>
  <c r="E9" i="145"/>
  <c r="E18" i="145" s="1"/>
  <c r="O19" i="111"/>
  <c r="X36" i="104"/>
  <c r="Z285" i="104"/>
  <c r="Z286" i="104" s="1"/>
  <c r="Z266" i="104" s="1"/>
  <c r="R328" i="104"/>
  <c r="R288" i="104"/>
  <c r="V328" i="104"/>
  <c r="V288" i="104"/>
  <c r="W328" i="104"/>
  <c r="W288" i="104"/>
  <c r="Q16" i="34"/>
  <c r="Q53" i="34"/>
  <c r="P27" i="34"/>
  <c r="P53" i="34"/>
  <c r="Q13" i="106"/>
  <c r="Q17" i="106"/>
  <c r="P19" i="106"/>
  <c r="Q16" i="106"/>
  <c r="Q15" i="106"/>
  <c r="L44" i="106"/>
  <c r="F23" i="145"/>
  <c r="F30" i="145" s="1"/>
  <c r="P25" i="111"/>
  <c r="L60" i="106"/>
  <c r="R16" i="106" s="1"/>
  <c r="S47" i="34"/>
  <c r="M58" i="106"/>
  <c r="M57" i="106"/>
  <c r="M55" i="106"/>
  <c r="M54" i="106"/>
  <c r="M56" i="106"/>
  <c r="E127" i="111"/>
  <c r="G123" i="119"/>
  <c r="G129" i="119" s="1"/>
  <c r="G135" i="119"/>
  <c r="H123" i="119"/>
  <c r="H129" i="119" s="1"/>
  <c r="H135" i="119"/>
  <c r="F115" i="119"/>
  <c r="W240" i="104"/>
  <c r="X189" i="104"/>
  <c r="X164" i="104" s="1"/>
  <c r="X26" i="104"/>
  <c r="F114" i="119"/>
  <c r="G36" i="137"/>
  <c r="W39" i="107"/>
  <c r="F43" i="112" s="1"/>
  <c r="F47" i="112" s="1"/>
  <c r="F117" i="119"/>
  <c r="F644" i="119" s="1"/>
  <c r="G11" i="115"/>
  <c r="G24" i="114"/>
  <c r="G85" i="137"/>
  <c r="G86" i="137" s="1"/>
  <c r="G41" i="112"/>
  <c r="G42" i="112" s="1"/>
  <c r="X12" i="107"/>
  <c r="Q47" i="34"/>
  <c r="W37" i="107" s="1"/>
  <c r="Q46" i="34"/>
  <c r="O38" i="34"/>
  <c r="W38" i="34"/>
  <c r="V46" i="34"/>
  <c r="Q27" i="34"/>
  <c r="T34" i="34"/>
  <c r="S49" i="34"/>
  <c r="V29" i="34"/>
  <c r="W226" i="104"/>
  <c r="P16" i="34"/>
  <c r="V226" i="104"/>
  <c r="R226" i="104"/>
  <c r="V25" i="107"/>
  <c r="W25" i="107"/>
  <c r="R25" i="107"/>
  <c r="W50" i="107"/>
  <c r="W35" i="107"/>
  <c r="V277" i="104"/>
  <c r="V314" i="104"/>
  <c r="W277" i="104"/>
  <c r="W314" i="104"/>
  <c r="V50" i="107"/>
  <c r="V35" i="107"/>
  <c r="R277" i="104"/>
  <c r="R314" i="104"/>
  <c r="P10" i="107"/>
  <c r="R50" i="107"/>
  <c r="R35" i="107"/>
  <c r="Q10" i="107"/>
  <c r="W214" i="104"/>
  <c r="W188" i="104"/>
  <c r="W163" i="104"/>
  <c r="W353" i="104"/>
  <c r="W137" i="104"/>
  <c r="W112" i="104"/>
  <c r="W302" i="104"/>
  <c r="W86" i="104"/>
  <c r="W239" i="104"/>
  <c r="W265" i="104"/>
  <c r="W61" i="104"/>
  <c r="W24" i="104"/>
  <c r="W35" i="104"/>
  <c r="R353" i="104"/>
  <c r="R137" i="104"/>
  <c r="R112" i="104"/>
  <c r="R24" i="104"/>
  <c r="R302" i="104"/>
  <c r="R86" i="104"/>
  <c r="R239" i="104"/>
  <c r="R35" i="104"/>
  <c r="R265" i="104"/>
  <c r="R61" i="104"/>
  <c r="R214" i="104"/>
  <c r="R163" i="104"/>
  <c r="R188" i="104"/>
  <c r="V239" i="104"/>
  <c r="V35" i="104"/>
  <c r="V214" i="104"/>
  <c r="V188" i="104"/>
  <c r="V353" i="104"/>
  <c r="V163" i="104"/>
  <c r="V137" i="104"/>
  <c r="V112" i="104"/>
  <c r="V24" i="104"/>
  <c r="V265" i="104"/>
  <c r="V61" i="104"/>
  <c r="V302" i="104"/>
  <c r="V86" i="104"/>
  <c r="W303" i="104"/>
  <c r="AC267" i="104"/>
  <c r="AC216" i="104"/>
  <c r="AC165" i="104"/>
  <c r="AC114" i="104"/>
  <c r="AC14" i="104"/>
  <c r="AC63" i="104"/>
  <c r="P10" i="104"/>
  <c r="Q10" i="104"/>
  <c r="V17" i="4"/>
  <c r="U7" i="34"/>
  <c r="R44" i="34"/>
  <c r="R49" i="34" s="1"/>
  <c r="K35" i="34"/>
  <c r="P39" i="34"/>
  <c r="X39" i="34"/>
  <c r="AD330" i="104" s="1"/>
  <c r="R8" i="34"/>
  <c r="R20" i="4"/>
  <c r="R11" i="106" s="1"/>
  <c r="S5" i="34"/>
  <c r="S16" i="4"/>
  <c r="O109" i="137" l="1"/>
  <c r="E110" i="137"/>
  <c r="K112" i="137" s="1"/>
  <c r="K114" i="137" s="1"/>
  <c r="D122" i="119"/>
  <c r="I122" i="119" s="1"/>
  <c r="D121" i="119"/>
  <c r="I121" i="119" s="1"/>
  <c r="E14" i="111"/>
  <c r="E20" i="111" s="1"/>
  <c r="W354" i="104"/>
  <c r="W329" i="104" s="1"/>
  <c r="E118" i="119"/>
  <c r="E643" i="119"/>
  <c r="S15" i="111"/>
  <c r="V87" i="104"/>
  <c r="V62" i="104" s="1"/>
  <c r="V138" i="104"/>
  <c r="V113" i="104" s="1"/>
  <c r="W36" i="104"/>
  <c r="F10" i="145"/>
  <c r="F9" i="145"/>
  <c r="F18" i="145" s="1"/>
  <c r="Y37" i="107"/>
  <c r="Y12" i="107" s="1"/>
  <c r="N19" i="111"/>
  <c r="E119" i="138"/>
  <c r="F641" i="119"/>
  <c r="G641" i="119"/>
  <c r="Z303" i="104"/>
  <c r="H643" i="119" s="1"/>
  <c r="Y269" i="104"/>
  <c r="W269" i="104"/>
  <c r="V269" i="104"/>
  <c r="Z269" i="104"/>
  <c r="X269" i="104"/>
  <c r="Q328" i="104"/>
  <c r="Q288" i="104"/>
  <c r="P328" i="104"/>
  <c r="P288" i="104"/>
  <c r="O25" i="111"/>
  <c r="G19" i="111"/>
  <c r="F88" i="119" s="1"/>
  <c r="Q19" i="106"/>
  <c r="R15" i="106"/>
  <c r="M44" i="106"/>
  <c r="R17" i="106"/>
  <c r="Y11" i="107"/>
  <c r="H41" i="112"/>
  <c r="H42" i="112" s="1"/>
  <c r="M60" i="106"/>
  <c r="S14" i="106" s="1"/>
  <c r="R14" i="106"/>
  <c r="U34" i="34"/>
  <c r="V34" i="34" s="1"/>
  <c r="N54" i="106"/>
  <c r="N58" i="106"/>
  <c r="N57" i="106"/>
  <c r="N56" i="106"/>
  <c r="N55" i="106"/>
  <c r="G23" i="145"/>
  <c r="Q25" i="111"/>
  <c r="R13" i="106"/>
  <c r="D490" i="119"/>
  <c r="D273" i="119"/>
  <c r="E126" i="111" s="1"/>
  <c r="D480" i="119"/>
  <c r="D468" i="119"/>
  <c r="F127" i="111"/>
  <c r="D272" i="119"/>
  <c r="E125" i="111" s="1"/>
  <c r="D457" i="119"/>
  <c r="E115" i="119"/>
  <c r="V240" i="104"/>
  <c r="G38" i="137"/>
  <c r="G37" i="137"/>
  <c r="P17" i="111"/>
  <c r="G25" i="111" s="1"/>
  <c r="F116" i="119"/>
  <c r="F120" i="119" s="1"/>
  <c r="F128" i="119" s="1"/>
  <c r="F24" i="145"/>
  <c r="F25" i="145" s="1"/>
  <c r="X25" i="104"/>
  <c r="X27" i="104" s="1"/>
  <c r="X11" i="104" s="1"/>
  <c r="W189" i="104"/>
  <c r="W164" i="104" s="1"/>
  <c r="W26" i="104"/>
  <c r="F31" i="145"/>
  <c r="F32" i="145" s="1"/>
  <c r="E11" i="145"/>
  <c r="E13" i="145" s="1"/>
  <c r="E114" i="119"/>
  <c r="E23" i="145"/>
  <c r="E30" i="145" s="1"/>
  <c r="R13" i="116"/>
  <c r="R12" i="116"/>
  <c r="F36" i="137"/>
  <c r="V39" i="107"/>
  <c r="E43" i="112" s="1"/>
  <c r="E47" i="112" s="1"/>
  <c r="A47" i="112" s="1"/>
  <c r="E117" i="119"/>
  <c r="E644" i="119" s="1"/>
  <c r="F85" i="137"/>
  <c r="F86" i="137" s="1"/>
  <c r="H11" i="115"/>
  <c r="H24" i="114"/>
  <c r="L52" i="106"/>
  <c r="L36" i="106"/>
  <c r="F41" i="112"/>
  <c r="F42" i="112" s="1"/>
  <c r="W12" i="107"/>
  <c r="X11" i="107"/>
  <c r="G46" i="112"/>
  <c r="G44" i="112"/>
  <c r="P47" i="34"/>
  <c r="V37" i="107" s="1"/>
  <c r="P46" i="34"/>
  <c r="G13" i="111"/>
  <c r="T49" i="34"/>
  <c r="T47" i="34"/>
  <c r="Z37" i="107" s="1"/>
  <c r="N38" i="34"/>
  <c r="X38" i="34"/>
  <c r="W46" i="34"/>
  <c r="W29" i="34"/>
  <c r="Q226" i="104"/>
  <c r="P226" i="104"/>
  <c r="Q25" i="107"/>
  <c r="P25" i="107"/>
  <c r="X10" i="107"/>
  <c r="Q50" i="107"/>
  <c r="Q35" i="107"/>
  <c r="Q277" i="104"/>
  <c r="Q314" i="104"/>
  <c r="P50" i="107"/>
  <c r="P35" i="107"/>
  <c r="P277" i="104"/>
  <c r="P314" i="104"/>
  <c r="Q163" i="104"/>
  <c r="Q24" i="104"/>
  <c r="Q353" i="104"/>
  <c r="Q137" i="104"/>
  <c r="Q112" i="104"/>
  <c r="Q302" i="104"/>
  <c r="Q86" i="104"/>
  <c r="Q61" i="104"/>
  <c r="Q265" i="104"/>
  <c r="Q239" i="104"/>
  <c r="Q35" i="104"/>
  <c r="Q214" i="104"/>
  <c r="Q188" i="104"/>
  <c r="P188" i="104"/>
  <c r="P163" i="104"/>
  <c r="P353" i="104"/>
  <c r="P137" i="104"/>
  <c r="P302" i="104"/>
  <c r="P86" i="104"/>
  <c r="P112" i="104"/>
  <c r="P265" i="104"/>
  <c r="P61" i="104"/>
  <c r="P239" i="104"/>
  <c r="P35" i="104"/>
  <c r="P214" i="104"/>
  <c r="P24" i="104"/>
  <c r="V303" i="104"/>
  <c r="AD267" i="104"/>
  <c r="AD216" i="104"/>
  <c r="AD165" i="104"/>
  <c r="AD114" i="104"/>
  <c r="AD14" i="104"/>
  <c r="AD63" i="104"/>
  <c r="R10" i="34"/>
  <c r="X10" i="104"/>
  <c r="W17" i="4"/>
  <c r="V7" i="34"/>
  <c r="J35" i="34"/>
  <c r="Q44" i="34"/>
  <c r="Q49" i="34" s="1"/>
  <c r="O39" i="34"/>
  <c r="Y39" i="34"/>
  <c r="AE330" i="104" s="1"/>
  <c r="AB333" i="104" s="1"/>
  <c r="S6" i="34"/>
  <c r="T15" i="4"/>
  <c r="S18" i="4"/>
  <c r="R109" i="137" l="1"/>
  <c r="Q109" i="137"/>
  <c r="S109" i="137" s="1"/>
  <c r="V354" i="104"/>
  <c r="V329" i="104" s="1"/>
  <c r="D118" i="119"/>
  <c r="I118" i="119" s="1"/>
  <c r="D643" i="119"/>
  <c r="H98" i="119"/>
  <c r="U189" i="104" s="1"/>
  <c r="U164" i="104" s="1"/>
  <c r="G9" i="145"/>
  <c r="G18" i="145" s="1"/>
  <c r="G10" i="145"/>
  <c r="F119" i="138"/>
  <c r="H13" i="111"/>
  <c r="G87" i="119" s="1"/>
  <c r="G134" i="119" s="1"/>
  <c r="G136" i="119" s="1"/>
  <c r="G137" i="119" s="1"/>
  <c r="E641" i="119"/>
  <c r="V36" i="104"/>
  <c r="W41" i="104" s="1"/>
  <c r="S19" i="111"/>
  <c r="I640" i="119"/>
  <c r="H641" i="119"/>
  <c r="X328" i="104"/>
  <c r="X288" i="104"/>
  <c r="F19" i="111"/>
  <c r="E88" i="119" s="1"/>
  <c r="H19" i="111"/>
  <c r="G88" i="119" s="1"/>
  <c r="H46" i="112"/>
  <c r="R27" i="34"/>
  <c r="R53" i="34"/>
  <c r="S13" i="106"/>
  <c r="U49" i="34"/>
  <c r="S15" i="106"/>
  <c r="R19" i="106"/>
  <c r="G30" i="145"/>
  <c r="G32" i="145" s="1"/>
  <c r="G25" i="145"/>
  <c r="N44" i="106"/>
  <c r="S16" i="106"/>
  <c r="H23" i="145"/>
  <c r="H30" i="145" s="1"/>
  <c r="H32" i="145" s="1"/>
  <c r="R25" i="111"/>
  <c r="U47" i="34"/>
  <c r="D23" i="145"/>
  <c r="D30" i="145" s="1"/>
  <c r="N25" i="111"/>
  <c r="S17" i="106"/>
  <c r="N60" i="106"/>
  <c r="T13" i="106" s="1"/>
  <c r="E128" i="111"/>
  <c r="E130" i="111" s="1"/>
  <c r="E490" i="119"/>
  <c r="E273" i="119"/>
  <c r="F126" i="111" s="1"/>
  <c r="E480" i="119"/>
  <c r="E468" i="119"/>
  <c r="D275" i="119"/>
  <c r="D277" i="119" s="1"/>
  <c r="G127" i="111"/>
  <c r="D115" i="119"/>
  <c r="E272" i="119"/>
  <c r="F125" i="111" s="1"/>
  <c r="E457" i="119"/>
  <c r="E116" i="119"/>
  <c r="E120" i="119" s="1"/>
  <c r="E128" i="119" s="1"/>
  <c r="F123" i="119"/>
  <c r="F129" i="119" s="1"/>
  <c r="F135" i="119"/>
  <c r="F38" i="137"/>
  <c r="F37" i="137"/>
  <c r="F87" i="119"/>
  <c r="F134" i="119" s="1"/>
  <c r="X37" i="104"/>
  <c r="X12" i="104" s="1"/>
  <c r="AE333" i="104"/>
  <c r="X357" i="104"/>
  <c r="W65" i="104"/>
  <c r="X65" i="104"/>
  <c r="V65" i="104"/>
  <c r="Z65" i="104"/>
  <c r="Y65" i="104"/>
  <c r="U36" i="104"/>
  <c r="AA333" i="104"/>
  <c r="W116" i="104"/>
  <c r="V116" i="104"/>
  <c r="Y116" i="104"/>
  <c r="Z116" i="104"/>
  <c r="X116" i="104"/>
  <c r="AC333" i="104"/>
  <c r="AD333" i="104"/>
  <c r="W25" i="104"/>
  <c r="W27" i="104" s="1"/>
  <c r="W11" i="104" s="1"/>
  <c r="V26" i="104"/>
  <c r="V189" i="104"/>
  <c r="V164" i="104" s="1"/>
  <c r="D117" i="119"/>
  <c r="D644" i="119" s="1"/>
  <c r="D114" i="119"/>
  <c r="I114" i="119" s="1"/>
  <c r="F11" i="145"/>
  <c r="F13" i="145" s="1"/>
  <c r="E31" i="145"/>
  <c r="E32" i="145" s="1"/>
  <c r="E24" i="145"/>
  <c r="E25" i="145" s="1"/>
  <c r="Q14" i="116"/>
  <c r="T12" i="116"/>
  <c r="S12" i="116"/>
  <c r="S13" i="116"/>
  <c r="T13" i="116"/>
  <c r="O17" i="111"/>
  <c r="F25" i="111" s="1"/>
  <c r="E36" i="137"/>
  <c r="F13" i="113"/>
  <c r="F15" i="113" s="1"/>
  <c r="S14" i="111"/>
  <c r="E85" i="137"/>
  <c r="I11" i="115"/>
  <c r="A11" i="115" s="1"/>
  <c r="I24" i="114"/>
  <c r="A24" i="114" s="1"/>
  <c r="E41" i="112"/>
  <c r="E42" i="112" s="1"/>
  <c r="V12" i="107"/>
  <c r="I41" i="112"/>
  <c r="I42" i="112" s="1"/>
  <c r="Z12" i="107"/>
  <c r="F46" i="112"/>
  <c r="W11" i="107"/>
  <c r="F44" i="112"/>
  <c r="S13" i="111"/>
  <c r="S11" i="111"/>
  <c r="S10" i="111"/>
  <c r="F13" i="111"/>
  <c r="O47" i="34"/>
  <c r="X46" i="34"/>
  <c r="Y38" i="34"/>
  <c r="Y46" i="34" s="1"/>
  <c r="O46" i="34"/>
  <c r="M38" i="34"/>
  <c r="V49" i="34"/>
  <c r="V47" i="34"/>
  <c r="R16" i="34"/>
  <c r="X29" i="34"/>
  <c r="X226" i="104"/>
  <c r="U240" i="104"/>
  <c r="X25" i="107"/>
  <c r="X277" i="104"/>
  <c r="X314" i="104"/>
  <c r="X50" i="107"/>
  <c r="X35" i="107"/>
  <c r="X188" i="104"/>
  <c r="X163" i="104"/>
  <c r="X302" i="104"/>
  <c r="X86" i="104"/>
  <c r="X353" i="104"/>
  <c r="X137" i="104"/>
  <c r="X24" i="104"/>
  <c r="X112" i="104"/>
  <c r="X265" i="104"/>
  <c r="X61" i="104"/>
  <c r="X214" i="104"/>
  <c r="X239" i="104"/>
  <c r="X35" i="104"/>
  <c r="N39" i="34"/>
  <c r="U303" i="104"/>
  <c r="U354" i="104"/>
  <c r="U37" i="104"/>
  <c r="U138" i="104"/>
  <c r="U87" i="104"/>
  <c r="Z243" i="104"/>
  <c r="Y243" i="104"/>
  <c r="W243" i="104"/>
  <c r="X243" i="104"/>
  <c r="V243" i="104"/>
  <c r="V306" i="104"/>
  <c r="Z306" i="104"/>
  <c r="X306" i="104"/>
  <c r="Y306" i="104"/>
  <c r="W306" i="104"/>
  <c r="AE267" i="104"/>
  <c r="AE270" i="104" s="1"/>
  <c r="AE216" i="104"/>
  <c r="AA219" i="104" s="1"/>
  <c r="AE165" i="104"/>
  <c r="AE14" i="104"/>
  <c r="AB17" i="104" s="1"/>
  <c r="AE114" i="104"/>
  <c r="AA117" i="104" s="1"/>
  <c r="AE63" i="104"/>
  <c r="AC66" i="104" s="1"/>
  <c r="V90" i="104"/>
  <c r="Y90" i="104"/>
  <c r="X90" i="104"/>
  <c r="W90" i="104"/>
  <c r="Z90" i="104"/>
  <c r="X141" i="104"/>
  <c r="V141" i="104"/>
  <c r="W141" i="104"/>
  <c r="Z141" i="104"/>
  <c r="Y141" i="104"/>
  <c r="W7" i="34"/>
  <c r="X17" i="4"/>
  <c r="P44" i="34"/>
  <c r="P49" i="34" s="1"/>
  <c r="S8" i="34"/>
  <c r="S20" i="4"/>
  <c r="S11" i="106" s="1"/>
  <c r="T5" i="34"/>
  <c r="T16" i="4"/>
  <c r="W34" i="34"/>
  <c r="Y357" i="104" l="1"/>
  <c r="V357" i="104"/>
  <c r="V76" i="138"/>
  <c r="Z357" i="104"/>
  <c r="W357" i="104"/>
  <c r="G98" i="119"/>
  <c r="T189" i="104" s="1"/>
  <c r="T164" i="104" s="1"/>
  <c r="V41" i="104"/>
  <c r="G119" i="138"/>
  <c r="H10" i="145"/>
  <c r="I10" i="145" s="1"/>
  <c r="H9" i="145"/>
  <c r="Y37" i="104"/>
  <c r="Y12" i="104" s="1"/>
  <c r="X41" i="104"/>
  <c r="Y41" i="104"/>
  <c r="Z41" i="104"/>
  <c r="D641" i="119"/>
  <c r="I641" i="119" s="1"/>
  <c r="A643" i="119"/>
  <c r="A644" i="119"/>
  <c r="I117" i="119"/>
  <c r="I639" i="119"/>
  <c r="H101" i="119"/>
  <c r="E19" i="111"/>
  <c r="D88" i="119" s="1"/>
  <c r="J17" i="111"/>
  <c r="I23" i="145"/>
  <c r="S25" i="111"/>
  <c r="T17" i="106"/>
  <c r="T14" i="106"/>
  <c r="T16" i="106"/>
  <c r="E13" i="111"/>
  <c r="T15" i="106"/>
  <c r="S19" i="106"/>
  <c r="H25" i="145"/>
  <c r="F128" i="111"/>
  <c r="F130" i="111" s="1"/>
  <c r="E275" i="119"/>
  <c r="E277" i="119" s="1"/>
  <c r="F490" i="119"/>
  <c r="F273" i="119"/>
  <c r="G126" i="111" s="1"/>
  <c r="F480" i="119"/>
  <c r="F468" i="119"/>
  <c r="I127" i="111"/>
  <c r="H127" i="111"/>
  <c r="F457" i="119"/>
  <c r="F272" i="119"/>
  <c r="G125" i="111" s="1"/>
  <c r="X192" i="104"/>
  <c r="E123" i="119"/>
  <c r="E129" i="119" s="1"/>
  <c r="E135" i="119"/>
  <c r="F136" i="119"/>
  <c r="F137" i="119" s="1"/>
  <c r="W192" i="104"/>
  <c r="V192" i="104"/>
  <c r="Z192" i="104"/>
  <c r="Y192" i="104"/>
  <c r="D116" i="119"/>
  <c r="I116" i="119" s="1"/>
  <c r="Y332" i="104"/>
  <c r="X332" i="104"/>
  <c r="Z332" i="104"/>
  <c r="W332" i="104"/>
  <c r="V332" i="104"/>
  <c r="O85" i="137"/>
  <c r="Q85" i="137" s="1"/>
  <c r="S85" i="137" s="1"/>
  <c r="E86" i="137"/>
  <c r="K88" i="137" s="1"/>
  <c r="K90" i="137" s="1"/>
  <c r="T36" i="104"/>
  <c r="E38" i="137"/>
  <c r="E37" i="137"/>
  <c r="E87" i="119"/>
  <c r="E134" i="119" s="1"/>
  <c r="W37" i="104"/>
  <c r="W12" i="104" s="1"/>
  <c r="G11" i="145"/>
  <c r="G13" i="145" s="1"/>
  <c r="V25" i="104"/>
  <c r="V27" i="104" s="1"/>
  <c r="V11" i="104" s="1"/>
  <c r="W167" i="104"/>
  <c r="X167" i="104"/>
  <c r="Y167" i="104"/>
  <c r="Z167" i="104"/>
  <c r="V167" i="104"/>
  <c r="I30" i="145"/>
  <c r="I115" i="119"/>
  <c r="D31" i="145"/>
  <c r="D24" i="145"/>
  <c r="N17" i="111"/>
  <c r="E25" i="111" s="1"/>
  <c r="S12" i="111"/>
  <c r="Z42" i="107"/>
  <c r="X42" i="107"/>
  <c r="M36" i="106"/>
  <c r="M52" i="106"/>
  <c r="W42" i="107"/>
  <c r="V42" i="107"/>
  <c r="Y42" i="107"/>
  <c r="V11" i="107"/>
  <c r="E46" i="112"/>
  <c r="Z11" i="107"/>
  <c r="I46" i="112"/>
  <c r="J41" i="112"/>
  <c r="G13" i="113"/>
  <c r="A15" i="113" s="1"/>
  <c r="J40" i="112"/>
  <c r="E44" i="112"/>
  <c r="J12" i="111"/>
  <c r="J18" i="111"/>
  <c r="N47" i="34"/>
  <c r="N46" i="34"/>
  <c r="I13" i="111"/>
  <c r="W49" i="34"/>
  <c r="W47" i="34"/>
  <c r="L38" i="34"/>
  <c r="Y29" i="34"/>
  <c r="T240" i="104"/>
  <c r="M39" i="34"/>
  <c r="Y10" i="107"/>
  <c r="AA270" i="104"/>
  <c r="AE117" i="104"/>
  <c r="AB270" i="104"/>
  <c r="AB117" i="104"/>
  <c r="AC270" i="104"/>
  <c r="AD270" i="104"/>
  <c r="AE66" i="104"/>
  <c r="AD168" i="104"/>
  <c r="AA168" i="104"/>
  <c r="AE168" i="104"/>
  <c r="AC168" i="104"/>
  <c r="AA17" i="104"/>
  <c r="AC117" i="104"/>
  <c r="AD117" i="104"/>
  <c r="AC219" i="104"/>
  <c r="AE219" i="104"/>
  <c r="AD219" i="104"/>
  <c r="AC17" i="104"/>
  <c r="AB219" i="104"/>
  <c r="AA66" i="104"/>
  <c r="AB66" i="104"/>
  <c r="AD66" i="104"/>
  <c r="AB168" i="104"/>
  <c r="AE17" i="104"/>
  <c r="T354" i="104"/>
  <c r="T303" i="104"/>
  <c r="T37" i="104"/>
  <c r="T138" i="104"/>
  <c r="T87" i="104"/>
  <c r="AD17" i="104"/>
  <c r="S10" i="34"/>
  <c r="Y10" i="104"/>
  <c r="Y17" i="4"/>
  <c r="Y7" i="34" s="1"/>
  <c r="X7" i="34"/>
  <c r="O44" i="34"/>
  <c r="O49" i="34" s="1"/>
  <c r="T18" i="4"/>
  <c r="T6" i="34"/>
  <c r="U15" i="4"/>
  <c r="X34" i="34"/>
  <c r="F98" i="119" l="1"/>
  <c r="S189" i="104" s="1"/>
  <c r="S164" i="104" s="1"/>
  <c r="I119" i="138"/>
  <c r="H119" i="138"/>
  <c r="I19" i="111"/>
  <c r="H88" i="119" s="1"/>
  <c r="I88" i="119" s="1"/>
  <c r="Y328" i="104"/>
  <c r="Y288" i="104"/>
  <c r="I9" i="145"/>
  <c r="H18" i="145"/>
  <c r="I18" i="145" s="1"/>
  <c r="J11" i="111"/>
  <c r="I120" i="119"/>
  <c r="I123" i="119" s="1"/>
  <c r="S16" i="34"/>
  <c r="S53" i="34"/>
  <c r="T19" i="106"/>
  <c r="G128" i="111"/>
  <c r="G130" i="111" s="1"/>
  <c r="J127" i="111"/>
  <c r="I320" i="119"/>
  <c r="F275" i="119"/>
  <c r="F277" i="119" s="1"/>
  <c r="H490" i="119"/>
  <c r="G490" i="119"/>
  <c r="G273" i="119"/>
  <c r="H126" i="111" s="1"/>
  <c r="H273" i="119"/>
  <c r="I126" i="111" s="1"/>
  <c r="G480" i="119"/>
  <c r="H480" i="119"/>
  <c r="G468" i="119"/>
  <c r="H468" i="119"/>
  <c r="I313" i="119"/>
  <c r="I319" i="119"/>
  <c r="I316" i="119"/>
  <c r="I317" i="119"/>
  <c r="I318" i="119"/>
  <c r="R85" i="137"/>
  <c r="G272" i="119"/>
  <c r="H125" i="111" s="1"/>
  <c r="G457" i="119"/>
  <c r="H457" i="119"/>
  <c r="H272" i="119"/>
  <c r="I125" i="111" s="1"/>
  <c r="E136" i="119"/>
  <c r="E137" i="119" s="1"/>
  <c r="H87" i="119"/>
  <c r="H134" i="119" s="1"/>
  <c r="H136" i="119" s="1"/>
  <c r="H137" i="119" s="1"/>
  <c r="Z37" i="104"/>
  <c r="Z12" i="104" s="1"/>
  <c r="S36" i="104"/>
  <c r="D87" i="119"/>
  <c r="D134" i="119" s="1"/>
  <c r="V37" i="104"/>
  <c r="V12" i="104" s="1"/>
  <c r="Z16" i="104"/>
  <c r="W16" i="104"/>
  <c r="Y16" i="104"/>
  <c r="V16" i="104"/>
  <c r="X16" i="104"/>
  <c r="H104" i="119"/>
  <c r="D120" i="119"/>
  <c r="D128" i="119" s="1"/>
  <c r="H11" i="145"/>
  <c r="H13" i="145" s="1"/>
  <c r="D25" i="145"/>
  <c r="I24" i="145"/>
  <c r="I25" i="145" s="1"/>
  <c r="D32" i="145"/>
  <c r="I31" i="145"/>
  <c r="I32" i="145" s="1"/>
  <c r="A25" i="111"/>
  <c r="G101" i="119"/>
  <c r="A46" i="112"/>
  <c r="Y17" i="107"/>
  <c r="X17" i="107"/>
  <c r="W17" i="107"/>
  <c r="Z17" i="107"/>
  <c r="V17" i="107"/>
  <c r="J42" i="112"/>
  <c r="J13" i="111"/>
  <c r="M47" i="34"/>
  <c r="M46" i="34"/>
  <c r="K38" i="34"/>
  <c r="X49" i="34"/>
  <c r="X47" i="34"/>
  <c r="Y226" i="104"/>
  <c r="S240" i="104"/>
  <c r="S303" i="104"/>
  <c r="Y25" i="107"/>
  <c r="S138" i="104"/>
  <c r="S87" i="104"/>
  <c r="S354" i="104"/>
  <c r="L39" i="34"/>
  <c r="S37" i="104"/>
  <c r="Y277" i="104"/>
  <c r="Y314" i="104"/>
  <c r="Y50" i="107"/>
  <c r="Y35" i="107"/>
  <c r="S27" i="34"/>
  <c r="Y163" i="104"/>
  <c r="Y353" i="104"/>
  <c r="Y137" i="104"/>
  <c r="Y112" i="104"/>
  <c r="Y302" i="104"/>
  <c r="Y86" i="104"/>
  <c r="Y265" i="104"/>
  <c r="Y61" i="104"/>
  <c r="Y239" i="104"/>
  <c r="Y35" i="104"/>
  <c r="Y188" i="104"/>
  <c r="Y214" i="104"/>
  <c r="N44" i="34"/>
  <c r="N49" i="34" s="1"/>
  <c r="T8" i="34"/>
  <c r="T20" i="4"/>
  <c r="U16" i="4"/>
  <c r="U5" i="34"/>
  <c r="Y34" i="34"/>
  <c r="E98" i="119" l="1"/>
  <c r="R189" i="104" s="1"/>
  <c r="R164" i="104" s="1"/>
  <c r="J19" i="111"/>
  <c r="A119" i="138"/>
  <c r="A13" i="145"/>
  <c r="A1" i="145" s="1"/>
  <c r="H50" i="25" s="1"/>
  <c r="I128" i="111"/>
  <c r="I130" i="111" s="1"/>
  <c r="A634" i="119"/>
  <c r="H128" i="111"/>
  <c r="H130" i="111" s="1"/>
  <c r="J126" i="111"/>
  <c r="J125" i="111"/>
  <c r="I457" i="119"/>
  <c r="A457" i="119" s="1"/>
  <c r="G275" i="119"/>
  <c r="G277" i="119" s="1"/>
  <c r="I273" i="119"/>
  <c r="H275" i="119"/>
  <c r="H277" i="119" s="1"/>
  <c r="I490" i="119"/>
  <c r="A490" i="119" s="1"/>
  <c r="I480" i="119"/>
  <c r="A480" i="119" s="1"/>
  <c r="I468" i="119"/>
  <c r="A468" i="119" s="1"/>
  <c r="I272" i="119"/>
  <c r="I87" i="119"/>
  <c r="I134" i="119"/>
  <c r="K134" i="119" s="1"/>
  <c r="D123" i="119"/>
  <c r="D129" i="119" s="1"/>
  <c r="D135" i="119"/>
  <c r="A128" i="119"/>
  <c r="R36" i="104"/>
  <c r="G104" i="119"/>
  <c r="I11" i="145"/>
  <c r="F101" i="119"/>
  <c r="T11" i="106"/>
  <c r="L47" i="34"/>
  <c r="L46" i="34"/>
  <c r="Y49" i="34"/>
  <c r="A49" i="34" s="1"/>
  <c r="A1" i="34" s="1"/>
  <c r="H18" i="25" s="1"/>
  <c r="Y47" i="34"/>
  <c r="J38" i="34"/>
  <c r="K39" i="34"/>
  <c r="R138" i="104"/>
  <c r="R87" i="104"/>
  <c r="R303" i="104"/>
  <c r="R354" i="104"/>
  <c r="R240" i="104"/>
  <c r="R37" i="104"/>
  <c r="Z10" i="107"/>
  <c r="Z10" i="104"/>
  <c r="M44" i="34"/>
  <c r="M49" i="34" s="1"/>
  <c r="U18" i="4"/>
  <c r="V15" i="4"/>
  <c r="U6" i="34"/>
  <c r="T10" i="34"/>
  <c r="T53" i="34" s="1"/>
  <c r="AA20" i="4"/>
  <c r="A129" i="119" l="1"/>
  <c r="I102" i="119"/>
  <c r="I100" i="119"/>
  <c r="I97" i="119"/>
  <c r="D98" i="119"/>
  <c r="D301" i="119"/>
  <c r="D300" i="119"/>
  <c r="D299" i="119"/>
  <c r="D298" i="119"/>
  <c r="D297" i="119"/>
  <c r="D304" i="119"/>
  <c r="Z328" i="104"/>
  <c r="Z288" i="104"/>
  <c r="A130" i="111"/>
  <c r="A1" i="111" s="1"/>
  <c r="H29" i="25" s="1"/>
  <c r="J128" i="111"/>
  <c r="A277" i="119"/>
  <c r="A323" i="119"/>
  <c r="I275" i="119"/>
  <c r="I135" i="119"/>
  <c r="D136" i="119"/>
  <c r="D137" i="119" s="1"/>
  <c r="Q36" i="104"/>
  <c r="U40" i="104" s="1"/>
  <c r="F104" i="119"/>
  <c r="E101" i="119"/>
  <c r="N36" i="106"/>
  <c r="N52" i="106"/>
  <c r="K47" i="34"/>
  <c r="K46" i="34"/>
  <c r="Q138" i="104"/>
  <c r="Q140" i="104" s="1"/>
  <c r="Q87" i="104"/>
  <c r="T89" i="104" s="1"/>
  <c r="Q354" i="104"/>
  <c r="R356" i="104" s="1"/>
  <c r="Q37" i="104"/>
  <c r="Q303" i="104"/>
  <c r="R305" i="104" s="1"/>
  <c r="Q240" i="104"/>
  <c r="J39" i="34"/>
  <c r="Z226" i="104"/>
  <c r="Z25" i="107"/>
  <c r="Z277" i="104"/>
  <c r="Z314" i="104"/>
  <c r="Z35" i="107"/>
  <c r="Z50" i="107"/>
  <c r="Z353" i="104"/>
  <c r="Z137" i="104"/>
  <c r="Z112" i="104"/>
  <c r="Z239" i="104"/>
  <c r="Z35" i="104"/>
  <c r="Z302" i="104"/>
  <c r="Z86" i="104"/>
  <c r="Z265" i="104"/>
  <c r="Z61" i="104"/>
  <c r="Z214" i="104"/>
  <c r="Z188" i="104"/>
  <c r="Z163" i="104"/>
  <c r="L44" i="34"/>
  <c r="L49" i="34" s="1"/>
  <c r="U20" i="4"/>
  <c r="U8" i="34"/>
  <c r="T27" i="34"/>
  <c r="T16" i="34"/>
  <c r="V5" i="34"/>
  <c r="V16" i="4"/>
  <c r="D289" i="119" l="1"/>
  <c r="D291" i="119" s="1"/>
  <c r="A291" i="119" s="1"/>
  <c r="D296" i="119"/>
  <c r="D302" i="119" s="1"/>
  <c r="P36" i="104"/>
  <c r="P189" i="104"/>
  <c r="I136" i="119"/>
  <c r="I137" i="119" s="1"/>
  <c r="K135" i="119"/>
  <c r="K136" i="119" s="1"/>
  <c r="K137" i="119" s="1"/>
  <c r="I98" i="119"/>
  <c r="Q189" i="104"/>
  <c r="Q191" i="104" s="1"/>
  <c r="E104" i="119"/>
  <c r="D101" i="119"/>
  <c r="U11" i="106"/>
  <c r="I99" i="119"/>
  <c r="I96" i="119"/>
  <c r="U356" i="104"/>
  <c r="U89" i="104"/>
  <c r="S89" i="104"/>
  <c r="Q89" i="104"/>
  <c r="R89" i="104"/>
  <c r="J47" i="34"/>
  <c r="R40" i="104"/>
  <c r="S40" i="104"/>
  <c r="S356" i="104"/>
  <c r="T356" i="104"/>
  <c r="Q356" i="104"/>
  <c r="J46" i="34"/>
  <c r="P87" i="104"/>
  <c r="P240" i="104"/>
  <c r="P303" i="104"/>
  <c r="R140" i="104"/>
  <c r="U140" i="104"/>
  <c r="S140" i="104"/>
  <c r="T140" i="104"/>
  <c r="Q40" i="104"/>
  <c r="T40" i="104"/>
  <c r="S242" i="104"/>
  <c r="T242" i="104"/>
  <c r="U242" i="104"/>
  <c r="Q242" i="104"/>
  <c r="R242" i="104"/>
  <c r="T305" i="104"/>
  <c r="U305" i="104"/>
  <c r="S305" i="104"/>
  <c r="Q305" i="104"/>
  <c r="P354" i="104"/>
  <c r="P138" i="104"/>
  <c r="AA10" i="107"/>
  <c r="AA10" i="104"/>
  <c r="K44" i="34"/>
  <c r="K49" i="34" s="1"/>
  <c r="V18" i="4"/>
  <c r="V6" i="34"/>
  <c r="W15" i="4"/>
  <c r="U10" i="34"/>
  <c r="U53" i="34" s="1"/>
  <c r="D305" i="119" l="1"/>
  <c r="D307" i="119" s="1"/>
  <c r="A307" i="119" s="1"/>
  <c r="F303" i="119"/>
  <c r="G303" i="119"/>
  <c r="E303" i="119"/>
  <c r="AA328" i="104"/>
  <c r="AA288" i="104"/>
  <c r="R191" i="104"/>
  <c r="T191" i="104"/>
  <c r="Q164" i="104"/>
  <c r="U191" i="104"/>
  <c r="S191" i="104"/>
  <c r="D104" i="119"/>
  <c r="I101" i="119"/>
  <c r="I104" i="119" s="1"/>
  <c r="O36" i="106"/>
  <c r="O52" i="106"/>
  <c r="AA226" i="104"/>
  <c r="AA25" i="107"/>
  <c r="AA277" i="104"/>
  <c r="AA314" i="104"/>
  <c r="AA50" i="107"/>
  <c r="AA35" i="107"/>
  <c r="AA112" i="104"/>
  <c r="AA302" i="104"/>
  <c r="AA86" i="104"/>
  <c r="AA265" i="104"/>
  <c r="AA61" i="104"/>
  <c r="AA239" i="104"/>
  <c r="AA35" i="104"/>
  <c r="AA214" i="104"/>
  <c r="AA188" i="104"/>
  <c r="AA163" i="104"/>
  <c r="AA353" i="104"/>
  <c r="AA137" i="104"/>
  <c r="J44" i="34"/>
  <c r="J49" i="34" s="1"/>
  <c r="V20" i="4"/>
  <c r="V8" i="34"/>
  <c r="U27" i="34"/>
  <c r="U16" i="34"/>
  <c r="W5" i="34"/>
  <c r="W16" i="4"/>
  <c r="R166" i="104" l="1"/>
  <c r="S166" i="104"/>
  <c r="Q166" i="104"/>
  <c r="T166" i="104"/>
  <c r="U166" i="104"/>
  <c r="A109" i="119"/>
  <c r="V11" i="106"/>
  <c r="AB10" i="107"/>
  <c r="V10" i="34"/>
  <c r="AB10" i="104"/>
  <c r="X15" i="4"/>
  <c r="W18" i="4"/>
  <c r="W6" i="34"/>
  <c r="AB328" i="104" l="1"/>
  <c r="AB288" i="104"/>
  <c r="V27" i="34"/>
  <c r="V53" i="34"/>
  <c r="A1" i="119"/>
  <c r="H49" i="25" s="1"/>
  <c r="P52" i="106"/>
  <c r="P36" i="106"/>
  <c r="AB226" i="104"/>
  <c r="AB25" i="107"/>
  <c r="AB277" i="104"/>
  <c r="AB314" i="104"/>
  <c r="V16" i="34"/>
  <c r="AB50" i="107"/>
  <c r="AB35" i="107"/>
  <c r="AB302" i="104"/>
  <c r="AB86" i="104"/>
  <c r="AB265" i="104"/>
  <c r="AB61" i="104"/>
  <c r="AB239" i="104"/>
  <c r="AB35" i="104"/>
  <c r="AB214" i="104"/>
  <c r="AB188" i="104"/>
  <c r="AB163" i="104"/>
  <c r="AB112" i="104"/>
  <c r="AB353" i="104"/>
  <c r="AB137" i="104"/>
  <c r="W20" i="4"/>
  <c r="W8" i="34"/>
  <c r="X5" i="34"/>
  <c r="X16" i="4"/>
  <c r="W11" i="106" l="1"/>
  <c r="AC10" i="107"/>
  <c r="W10" i="34"/>
  <c r="AC10" i="104"/>
  <c r="X6" i="34"/>
  <c r="Y15" i="4"/>
  <c r="X18" i="4"/>
  <c r="AC328" i="104" l="1"/>
  <c r="AC288" i="104"/>
  <c r="W27" i="34"/>
  <c r="W53" i="34"/>
  <c r="Q52" i="106"/>
  <c r="Q36" i="106"/>
  <c r="AC226" i="104"/>
  <c r="AC25" i="107"/>
  <c r="AC277" i="104"/>
  <c r="AC314" i="104"/>
  <c r="AC50" i="107"/>
  <c r="AC35" i="107"/>
  <c r="W16" i="34"/>
  <c r="AC265" i="104"/>
  <c r="AC61" i="104"/>
  <c r="AC239" i="104"/>
  <c r="AC35" i="104"/>
  <c r="AC214" i="104"/>
  <c r="AC188" i="104"/>
  <c r="AC163" i="104"/>
  <c r="AC353" i="104"/>
  <c r="AC137" i="104"/>
  <c r="AC112" i="104"/>
  <c r="AC302" i="104"/>
  <c r="AC86" i="104"/>
  <c r="X20" i="4"/>
  <c r="X8" i="34"/>
  <c r="Y5" i="34"/>
  <c r="Y16" i="4"/>
  <c r="X11" i="106" l="1"/>
  <c r="AD10" i="107"/>
  <c r="X10" i="34"/>
  <c r="AD10" i="104"/>
  <c r="Y6" i="34"/>
  <c r="Y18" i="4"/>
  <c r="AD328" i="104" l="1"/>
  <c r="AD288" i="104"/>
  <c r="X27" i="34"/>
  <c r="X53" i="34"/>
  <c r="R36" i="106"/>
  <c r="R52" i="106"/>
  <c r="AD226" i="104"/>
  <c r="X16" i="34"/>
  <c r="AD25" i="107"/>
  <c r="AD277" i="104"/>
  <c r="AD314" i="104"/>
  <c r="AD50" i="107"/>
  <c r="AD35" i="107"/>
  <c r="AD239" i="104"/>
  <c r="AD35" i="104"/>
  <c r="AD214" i="104"/>
  <c r="AD188" i="104"/>
  <c r="AD137" i="104"/>
  <c r="AD163" i="104"/>
  <c r="AD353" i="104"/>
  <c r="AD112" i="104"/>
  <c r="AD302" i="104"/>
  <c r="AD86" i="104"/>
  <c r="AD265" i="104"/>
  <c r="AD61" i="104"/>
  <c r="Y8" i="34"/>
  <c r="Y20" i="4"/>
  <c r="Y11" i="106" l="1"/>
  <c r="AE10" i="107"/>
  <c r="AE10" i="104"/>
  <c r="Y10" i="34"/>
  <c r="Y53" i="34" s="1"/>
  <c r="AB20" i="4"/>
  <c r="AE328" i="104" l="1"/>
  <c r="AE288" i="104"/>
  <c r="S36" i="106"/>
  <c r="S52" i="106"/>
  <c r="AE226" i="104"/>
  <c r="AE25" i="107"/>
  <c r="AE50" i="107"/>
  <c r="AE35" i="107"/>
  <c r="AE277" i="104"/>
  <c r="AE314" i="104"/>
  <c r="AE214" i="104"/>
  <c r="AE188" i="104"/>
  <c r="AE112" i="104"/>
  <c r="AE163" i="104"/>
  <c r="AE353" i="104"/>
  <c r="AE137" i="104"/>
  <c r="AE35" i="104"/>
  <c r="AE302" i="104"/>
  <c r="AE86" i="104"/>
  <c r="AE265" i="104"/>
  <c r="AE61" i="104"/>
  <c r="AE239" i="104"/>
  <c r="Y16" i="34"/>
  <c r="Y27" i="34"/>
  <c r="N16" i="4" l="1"/>
  <c r="N18" i="4" s="1"/>
  <c r="N20" i="4" s="1"/>
  <c r="T10" i="107" l="1"/>
  <c r="T10" i="104"/>
  <c r="T328" i="104" l="1"/>
  <c r="T288" i="104"/>
  <c r="T226" i="104"/>
  <c r="T25" i="107"/>
  <c r="T50" i="107"/>
  <c r="T35" i="107"/>
  <c r="T277" i="104"/>
  <c r="T314" i="104"/>
  <c r="T302" i="104"/>
  <c r="T86" i="104"/>
  <c r="T265" i="104"/>
  <c r="T61" i="104"/>
  <c r="T239" i="104"/>
  <c r="T35" i="104"/>
  <c r="T188" i="104"/>
  <c r="T112" i="104"/>
  <c r="T214" i="104"/>
  <c r="T24" i="104"/>
  <c r="T163" i="104"/>
  <c r="T353" i="104"/>
  <c r="T137" i="104"/>
  <c r="J16" i="116" l="1"/>
  <c r="J16" i="108" s="1"/>
  <c r="J12" i="116" l="1"/>
  <c r="J12" i="108" s="1"/>
  <c r="F15" i="111" l="1"/>
  <c r="G15" i="111"/>
  <c r="G21" i="111"/>
  <c r="E15" i="111" l="1"/>
  <c r="F21" i="111"/>
  <c r="E21" i="111" l="1"/>
  <c r="H15" i="111" l="1"/>
  <c r="H21" i="111"/>
  <c r="I15" i="111" l="1"/>
  <c r="J14" i="111"/>
  <c r="J15" i="111" l="1"/>
  <c r="I21" i="111"/>
  <c r="J21" i="111" s="1"/>
  <c r="J20" i="111"/>
  <c r="A70" i="113" l="1"/>
  <c r="E20" i="115"/>
  <c r="E22" i="115" s="1"/>
  <c r="F20" i="115" l="1"/>
  <c r="F22" i="115" s="1"/>
  <c r="G20" i="115" l="1"/>
  <c r="G22" i="115" s="1"/>
  <c r="F29" i="117"/>
  <c r="F31" i="117" s="1"/>
  <c r="E29" i="117"/>
  <c r="E31" i="117" s="1"/>
  <c r="F45" i="108" l="1"/>
  <c r="E45" i="108"/>
  <c r="E148" i="138"/>
  <c r="F148" i="138"/>
  <c r="H20" i="115"/>
  <c r="H22" i="115" s="1"/>
  <c r="G29" i="117"/>
  <c r="G31" i="117" s="1"/>
  <c r="G45" i="108" l="1"/>
  <c r="G148" i="138"/>
  <c r="H29" i="117"/>
  <c r="H31" i="117" s="1"/>
  <c r="E11" i="112" l="1"/>
  <c r="H45" i="108"/>
  <c r="A31" i="117"/>
  <c r="A1" i="117" s="1"/>
  <c r="H37" i="25" s="1"/>
  <c r="H148" i="138"/>
  <c r="A59" i="114"/>
  <c r="A1" i="114" s="1"/>
  <c r="H32" i="25" s="1"/>
  <c r="I20" i="115"/>
  <c r="I22" i="115" s="1"/>
  <c r="I29" i="117"/>
  <c r="I31" i="117" s="1"/>
  <c r="I45" i="108" l="1"/>
  <c r="A45" i="108" s="1"/>
  <c r="I148" i="138"/>
  <c r="A22" i="115"/>
  <c r="A1" i="115" s="1"/>
  <c r="H33" i="25" s="1"/>
  <c r="AA40" i="107"/>
  <c r="AA15" i="107" l="1"/>
  <c r="J11" i="117" l="1"/>
  <c r="J10" i="117"/>
  <c r="J172" i="138" l="1"/>
  <c r="J31" i="108"/>
  <c r="J173" i="138"/>
  <c r="J32" i="108"/>
  <c r="J9" i="117"/>
  <c r="J171" i="138" l="1"/>
  <c r="J30" i="108"/>
  <c r="J15" i="117" l="1"/>
  <c r="J36" i="108" l="1"/>
  <c r="J177" i="138"/>
  <c r="J12" i="117" l="1"/>
  <c r="J174" i="138" l="1"/>
  <c r="J33" i="108"/>
  <c r="J13" i="117"/>
  <c r="J175" i="138" l="1"/>
  <c r="J34" i="108"/>
  <c r="E22" i="113"/>
  <c r="E24" i="113" s="1"/>
  <c r="E90" i="113" l="1"/>
  <c r="E92" i="113" s="1"/>
  <c r="E81" i="113"/>
  <c r="E83" i="113" s="1"/>
  <c r="E25" i="108" l="1"/>
  <c r="F22" i="113"/>
  <c r="F24" i="113" s="1"/>
  <c r="F90" i="113" l="1"/>
  <c r="F92" i="113" s="1"/>
  <c r="F81" i="113"/>
  <c r="F83" i="113" s="1"/>
  <c r="F145" i="112"/>
  <c r="F158" i="112" s="1"/>
  <c r="G22" i="113"/>
  <c r="G24" i="113" s="1"/>
  <c r="F25" i="108" l="1"/>
  <c r="F11" i="112"/>
  <c r="G90" i="113"/>
  <c r="G92" i="113" s="1"/>
  <c r="H22" i="113"/>
  <c r="H24" i="113" s="1"/>
  <c r="G81" i="113"/>
  <c r="G83" i="113" s="1"/>
  <c r="G145" i="112"/>
  <c r="G158" i="112" s="1"/>
  <c r="G25" i="108" l="1"/>
  <c r="G11" i="112"/>
  <c r="H90" i="113"/>
  <c r="H92" i="113" s="1"/>
  <c r="I145" i="112"/>
  <c r="I158" i="112" s="1"/>
  <c r="H81" i="113"/>
  <c r="H83" i="113" s="1"/>
  <c r="I22" i="113"/>
  <c r="I24" i="113" s="1"/>
  <c r="H25" i="108" l="1"/>
  <c r="I11" i="112"/>
  <c r="J22" i="113"/>
  <c r="P11" i="116" s="1"/>
  <c r="I90" i="113"/>
  <c r="I92" i="113" s="1"/>
  <c r="A24" i="113"/>
  <c r="H145" i="112"/>
  <c r="H158" i="112" s="1"/>
  <c r="J144" i="112"/>
  <c r="I81" i="113"/>
  <c r="I83" i="113" s="1"/>
  <c r="A83" i="113" l="1"/>
  <c r="I25" i="108"/>
  <c r="A25" i="108" s="1"/>
  <c r="R11" i="116"/>
  <c r="A158" i="112"/>
  <c r="H11" i="112"/>
  <c r="A11" i="112" s="1"/>
  <c r="A92" i="113"/>
  <c r="J131" i="112"/>
  <c r="AB40" i="107"/>
  <c r="AB15" i="107" s="1"/>
  <c r="J145" i="112"/>
  <c r="S11" i="116" l="1"/>
  <c r="T11" i="116"/>
  <c r="A1" i="112"/>
  <c r="H30" i="25" s="1"/>
  <c r="A1" i="113"/>
  <c r="H31" i="25" s="1"/>
  <c r="J10" i="116"/>
  <c r="J10" i="108" s="1"/>
  <c r="AC40" i="107"/>
  <c r="AC15" i="107" s="1"/>
  <c r="J11" i="116" l="1"/>
  <c r="J11" i="108" s="1"/>
  <c r="AE40" i="107"/>
  <c r="AE15" i="107" s="1"/>
  <c r="AD40" i="107"/>
  <c r="J9" i="116"/>
  <c r="J9" i="108" l="1"/>
  <c r="J22" i="114"/>
  <c r="AD15" i="107"/>
  <c r="AC43" i="107"/>
  <c r="AB43" i="107"/>
  <c r="AA43" i="107"/>
  <c r="AE43" i="107"/>
  <c r="AD43" i="107"/>
  <c r="AB18" i="107" l="1"/>
  <c r="AE18" i="107"/>
  <c r="AA18" i="107"/>
  <c r="AD18" i="107"/>
  <c r="AC18" i="107"/>
  <c r="J9" i="115" l="1"/>
  <c r="J13" i="116"/>
  <c r="J13" i="108" s="1"/>
  <c r="P10" i="116" l="1"/>
  <c r="R10" i="116" s="1"/>
  <c r="J14" i="116"/>
  <c r="J14" i="108" s="1"/>
  <c r="S10" i="116" l="1"/>
  <c r="T10" i="116"/>
  <c r="T14" i="116" s="1"/>
  <c r="T16" i="116" s="1"/>
  <c r="P14" i="116"/>
  <c r="P18" i="116" s="1"/>
  <c r="S16" i="111"/>
  <c r="S17" i="111" s="1"/>
  <c r="A18" i="116" l="1"/>
  <c r="A1" i="116" s="1"/>
  <c r="H36" i="25" s="1"/>
  <c r="R14" i="116"/>
  <c r="R16" i="116" s="1"/>
  <c r="S14" i="116"/>
  <c r="S16" i="116" s="1"/>
  <c r="H36" i="137"/>
  <c r="H37" i="137" l="1"/>
  <c r="K42" i="137" s="1"/>
  <c r="O42" i="137" s="1"/>
  <c r="H38" i="137"/>
  <c r="K41" i="137" s="1"/>
  <c r="O41" i="137" s="1"/>
  <c r="O36" i="137"/>
  <c r="I44" i="112"/>
  <c r="H44" i="112"/>
  <c r="Y28" i="107"/>
  <c r="Y14" i="107"/>
  <c r="Q36" i="137" l="1"/>
  <c r="S36" i="137" s="1"/>
  <c r="R36" i="137"/>
  <c r="J43" i="112"/>
  <c r="J44" i="112"/>
  <c r="Z14" i="107"/>
  <c r="Z28" i="107"/>
  <c r="A263" i="143" l="1"/>
  <c r="Y161" i="141" l="1"/>
  <c r="H499" i="143" l="1"/>
  <c r="I499" i="143" s="1"/>
  <c r="J499" i="143" s="1"/>
  <c r="K499" i="143" s="1"/>
  <c r="H485" i="143"/>
  <c r="I485" i="143" s="1"/>
  <c r="J485" i="143" s="1"/>
  <c r="K485" i="143" s="1"/>
  <c r="H498" i="143"/>
  <c r="I498" i="143" s="1"/>
  <c r="J498" i="143" s="1"/>
  <c r="K498" i="143" s="1"/>
  <c r="H488" i="143" l="1"/>
  <c r="I488" i="143" s="1"/>
  <c r="J488" i="143" s="1"/>
  <c r="K488" i="143" s="1"/>
  <c r="H493" i="143"/>
  <c r="I493" i="143" s="1"/>
  <c r="J493" i="143" s="1"/>
  <c r="K493" i="143" s="1"/>
  <c r="H492" i="143"/>
  <c r="I492" i="143" s="1"/>
  <c r="J492" i="143" s="1"/>
  <c r="K492" i="143" s="1"/>
  <c r="H497" i="143"/>
  <c r="I497" i="143" s="1"/>
  <c r="J497" i="143" s="1"/>
  <c r="K497" i="143" s="1"/>
  <c r="H487" i="143"/>
  <c r="I487" i="143" s="1"/>
  <c r="J487" i="143" s="1"/>
  <c r="K487" i="143" s="1"/>
  <c r="H494" i="143"/>
  <c r="I494" i="143" s="1"/>
  <c r="J494" i="143" s="1"/>
  <c r="K494" i="143" s="1"/>
  <c r="H489" i="143"/>
  <c r="I489" i="143" s="1"/>
  <c r="J489" i="143" s="1"/>
  <c r="K489" i="143" s="1"/>
  <c r="H486" i="143"/>
  <c r="I486" i="143" s="1"/>
  <c r="J486" i="143" s="1"/>
  <c r="K486" i="143" s="1"/>
  <c r="H496" i="143"/>
  <c r="I496" i="143" s="1"/>
  <c r="J496" i="143" s="1"/>
  <c r="K496" i="143" s="1"/>
  <c r="H495" i="143"/>
  <c r="I495" i="143" s="1"/>
  <c r="J495" i="143" s="1"/>
  <c r="K495" i="143" s="1"/>
  <c r="H491" i="143"/>
  <c r="I491" i="143" s="1"/>
  <c r="J491" i="143" s="1"/>
  <c r="K491" i="143" s="1"/>
  <c r="H490" i="143"/>
  <c r="I490" i="143" s="1"/>
  <c r="J490" i="143" s="1"/>
  <c r="K490" i="143" s="1"/>
  <c r="A354" i="143" l="1"/>
  <c r="G464" i="143"/>
  <c r="H464" i="143" s="1"/>
  <c r="I464" i="143" s="1"/>
  <c r="J464" i="143" s="1"/>
  <c r="A501" i="143"/>
  <c r="G473" i="143"/>
  <c r="H473" i="143" s="1"/>
  <c r="I473" i="143" s="1"/>
  <c r="J473" i="143" s="1"/>
  <c r="G472" i="143"/>
  <c r="H472" i="143" s="1"/>
  <c r="I472" i="143" s="1"/>
  <c r="J472" i="143" s="1"/>
  <c r="G475" i="143"/>
  <c r="H475" i="143" s="1"/>
  <c r="I475" i="143" s="1"/>
  <c r="J475" i="143" s="1"/>
  <c r="G474" i="143"/>
  <c r="H474" i="143" s="1"/>
  <c r="I474" i="143" s="1"/>
  <c r="J474" i="143" s="1"/>
  <c r="G467" i="143"/>
  <c r="H467" i="143" s="1"/>
  <c r="I467" i="143" s="1"/>
  <c r="J467" i="143" s="1"/>
  <c r="G470" i="143"/>
  <c r="H470" i="143" s="1"/>
  <c r="I470" i="143" s="1"/>
  <c r="J470" i="143" s="1"/>
  <c r="G460" i="143" l="1"/>
  <c r="H460" i="143" s="1"/>
  <c r="I460" i="143" s="1"/>
  <c r="J460" i="143" s="1"/>
  <c r="G463" i="143"/>
  <c r="H463" i="143" s="1"/>
  <c r="I463" i="143" s="1"/>
  <c r="J463" i="143" s="1"/>
  <c r="G461" i="143"/>
  <c r="H461" i="143" s="1"/>
  <c r="I461" i="143" s="1"/>
  <c r="J461" i="143" s="1"/>
  <c r="F200" i="138"/>
  <c r="G449" i="143"/>
  <c r="H449" i="143" s="1"/>
  <c r="I449" i="143" s="1"/>
  <c r="J449" i="143" s="1"/>
  <c r="G469" i="143"/>
  <c r="H469" i="143" s="1"/>
  <c r="I469" i="143" s="1"/>
  <c r="J469" i="143" s="1"/>
  <c r="G466" i="143"/>
  <c r="H466" i="143" s="1"/>
  <c r="I466" i="143" s="1"/>
  <c r="J466" i="143" s="1"/>
  <c r="G462" i="143"/>
  <c r="H462" i="143" s="1"/>
  <c r="I462" i="143" s="1"/>
  <c r="J462" i="143" s="1"/>
  <c r="G458" i="143"/>
  <c r="H458" i="143" s="1"/>
  <c r="I458" i="143" s="1"/>
  <c r="J458" i="143" s="1"/>
  <c r="G459" i="143"/>
  <c r="H459" i="143" s="1"/>
  <c r="I459" i="143" s="1"/>
  <c r="J459" i="143" s="1"/>
  <c r="G477" i="143"/>
  <c r="H477" i="143" s="1"/>
  <c r="I477" i="143" s="1"/>
  <c r="J477" i="143" s="1"/>
  <c r="A377" i="143" l="1"/>
  <c r="A479" i="143"/>
  <c r="A333" i="143"/>
  <c r="G440" i="143"/>
  <c r="H440" i="143" s="1"/>
  <c r="I440" i="143" s="1"/>
  <c r="J440" i="143" s="1"/>
  <c r="F191" i="138"/>
  <c r="F197" i="138"/>
  <c r="G446" i="143"/>
  <c r="H446" i="143" s="1"/>
  <c r="I446" i="143" s="1"/>
  <c r="J446" i="143" s="1"/>
  <c r="F198" i="138"/>
  <c r="G447" i="143"/>
  <c r="H447" i="143" s="1"/>
  <c r="I447" i="143" s="1"/>
  <c r="J447" i="143" s="1"/>
  <c r="G448" i="143"/>
  <c r="H448" i="143" s="1"/>
  <c r="I448" i="143" s="1"/>
  <c r="J448" i="143" s="1"/>
  <c r="F199" i="138"/>
  <c r="G443" i="143"/>
  <c r="H443" i="143" s="1"/>
  <c r="I443" i="143" s="1"/>
  <c r="J443" i="143" s="1"/>
  <c r="F194" i="138"/>
  <c r="F195" i="138"/>
  <c r="G444" i="143"/>
  <c r="H444" i="143" s="1"/>
  <c r="I444" i="143" s="1"/>
  <c r="J444" i="143" s="1"/>
  <c r="F196" i="138"/>
  <c r="G445" i="143"/>
  <c r="H445" i="143" s="1"/>
  <c r="I445" i="143" s="1"/>
  <c r="J445" i="143" s="1"/>
  <c r="F193" i="138"/>
  <c r="G442" i="143"/>
  <c r="H442" i="143" s="1"/>
  <c r="I442" i="143" s="1"/>
  <c r="J442" i="143" s="1"/>
  <c r="A451" i="143"/>
  <c r="F192" i="138"/>
  <c r="G441" i="143"/>
  <c r="H441" i="143" s="1"/>
  <c r="I441" i="143" s="1"/>
  <c r="J441" i="143" s="1"/>
  <c r="F202" i="138" l="1"/>
  <c r="A202" i="138" s="1"/>
  <c r="A1" i="138" s="1"/>
  <c r="H51" i="25" s="1"/>
  <c r="J253" i="143" l="1"/>
  <c r="J263" i="143" s="1"/>
  <c r="J168" i="144"/>
  <c r="I253" i="143"/>
  <c r="I263" i="143" s="1"/>
  <c r="I168" i="144"/>
  <c r="E272" i="143" l="1"/>
  <c r="E388" i="143"/>
  <c r="F388" i="143" s="1"/>
  <c r="G388" i="143" s="1"/>
  <c r="H388" i="143" s="1"/>
  <c r="I388" i="143" s="1"/>
  <c r="E144" i="144"/>
  <c r="E284" i="143" l="1"/>
  <c r="E400" i="143"/>
  <c r="E156" i="144"/>
  <c r="F400" i="143" l="1"/>
  <c r="G400" i="143" s="1"/>
  <c r="H400" i="143" s="1"/>
  <c r="I400" i="143" s="1"/>
  <c r="E406" i="143"/>
  <c r="A406" i="143" s="1"/>
  <c r="A1" i="143" s="1"/>
  <c r="H52" i="25" s="1"/>
  <c r="H55" i="25" s="1"/>
  <c r="H8" i="25" s="1"/>
  <c r="H10" i="25" s="1"/>
  <c r="B2" i="131" l="1"/>
  <c r="B2" i="143"/>
  <c r="B2" i="108"/>
  <c r="B2" i="122"/>
  <c r="B2" i="109"/>
  <c r="B2" i="4"/>
  <c r="B2" i="144"/>
  <c r="B2" i="28"/>
  <c r="B2" i="134"/>
  <c r="B2" i="137"/>
  <c r="B2" i="107"/>
  <c r="B2" i="105"/>
  <c r="B2" i="127"/>
  <c r="B2" i="117"/>
  <c r="B2" i="132"/>
  <c r="B2" i="130"/>
  <c r="B2" i="119"/>
  <c r="B2" i="126"/>
  <c r="B2" i="121"/>
  <c r="B2" i="115"/>
  <c r="B2" i="111"/>
  <c r="B2" i="116"/>
  <c r="B2" i="125"/>
  <c r="B2" i="124"/>
  <c r="B2" i="133"/>
  <c r="B2" i="106"/>
  <c r="B2" i="123"/>
  <c r="B2" i="140"/>
  <c r="B2" i="138"/>
  <c r="B2" i="112"/>
  <c r="B2" i="110"/>
  <c r="B2" i="145"/>
  <c r="B2" i="129"/>
  <c r="B2" i="114"/>
  <c r="B2" i="141"/>
  <c r="B2" i="135"/>
  <c r="B2" i="104"/>
  <c r="B2" i="128"/>
  <c r="B2" i="34"/>
  <c r="B2" i="25"/>
  <c r="B2" i="120"/>
  <c r="B2" i="142"/>
  <c r="B2"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author>
  </authors>
  <commentList>
    <comment ref="O266" authorId="0" shapeId="0" xr:uid="{00000000-0006-0000-0500-000001000000}">
      <text>
        <r>
          <rPr>
            <b/>
            <sz val="9"/>
            <color indexed="81"/>
            <rFont val="Tahoma"/>
            <family val="2"/>
          </rPr>
          <t>Ryan:</t>
        </r>
        <r>
          <rPr>
            <sz val="9"/>
            <color indexed="81"/>
            <rFont val="Tahoma"/>
            <family val="2"/>
          </rPr>
          <t xml:space="preserve">
At time of SC presentatin RIN data was not up to date</t>
        </r>
      </text>
    </comment>
  </commentList>
</comments>
</file>

<file path=xl/sharedStrings.xml><?xml version="1.0" encoding="utf-8"?>
<sst xmlns="http://schemas.openxmlformats.org/spreadsheetml/2006/main" count="4636" uniqueCount="1784">
  <si>
    <t>General Model Constant</t>
  </si>
  <si>
    <t>Name</t>
  </si>
  <si>
    <t>Mths_In_Mth</t>
  </si>
  <si>
    <t>Mths_In_Qtr</t>
  </si>
  <si>
    <t>Mths_In_Yr</t>
  </si>
  <si>
    <t>Heading 1</t>
  </si>
  <si>
    <t>Ok</t>
  </si>
  <si>
    <t>Error</t>
  </si>
  <si>
    <t>Half</t>
  </si>
  <si>
    <t>Yes</t>
  </si>
  <si>
    <t>No</t>
  </si>
  <si>
    <t>Yes_No</t>
  </si>
  <si>
    <t>Error Checks</t>
  </si>
  <si>
    <t>Days_In_Wk</t>
  </si>
  <si>
    <t>Assumptions</t>
  </si>
  <si>
    <t>Checks</t>
  </si>
  <si>
    <t>Error Message</t>
  </si>
  <si>
    <t>Model Title Message</t>
  </si>
  <si>
    <t>Alert Message</t>
  </si>
  <si>
    <t>Model Message</t>
  </si>
  <si>
    <t>Input</t>
  </si>
  <si>
    <t>Output</t>
  </si>
  <si>
    <t>Cells containing input texts/numbers NOT intended to be changed by model users</t>
  </si>
  <si>
    <t>Cells containing formulae NOT intended to be changed by model users</t>
  </si>
  <si>
    <t>Heading 2</t>
  </si>
  <si>
    <t>Cells containing assumptions intended to be manipulated by model users</t>
  </si>
  <si>
    <t>Level 1 heading NOT intended to be changed by model users</t>
  </si>
  <si>
    <t>Level 2 heading NOT intended to be changed by model users</t>
  </si>
  <si>
    <t>Model Developer:</t>
  </si>
  <si>
    <t>Purpose of the Model:</t>
  </si>
  <si>
    <t>Model Settings</t>
  </si>
  <si>
    <t>Model Checks</t>
  </si>
  <si>
    <t>End</t>
  </si>
  <si>
    <t>Qtrs_In_Yr</t>
  </si>
  <si>
    <t>N/A</t>
  </si>
  <si>
    <t>NA</t>
  </si>
  <si>
    <t>Model Legend:</t>
  </si>
  <si>
    <t>Cells where inputs or outputs are not applicable</t>
  </si>
  <si>
    <t>Cells containing a drop down list for users to select inputs</t>
  </si>
  <si>
    <t>Cells containing a hyperlink to another part of the workbook</t>
  </si>
  <si>
    <t>Cells representing there is an error in the nominated area of the workbook</t>
  </si>
  <si>
    <t>Cells representing there are no errors in the nominated area of the workbook</t>
  </si>
  <si>
    <t>Cells containing a link from external workbooks</t>
  </si>
  <si>
    <t>Drop Down</t>
  </si>
  <si>
    <t>Hyperlink</t>
  </si>
  <si>
    <t>Model Lookups</t>
  </si>
  <si>
    <t>Days_In_Yr</t>
  </si>
  <si>
    <t>Client Lookups</t>
  </si>
  <si>
    <t>Total Errors</t>
  </si>
  <si>
    <t>Table of Contents</t>
  </si>
  <si>
    <t>Appendix</t>
  </si>
  <si>
    <t>Go to Cover Sheet</t>
  </si>
  <si>
    <t>Period Counter</t>
  </si>
  <si>
    <t>Period Start Date</t>
  </si>
  <si>
    <t>Period End Date</t>
  </si>
  <si>
    <t>Model Start Date</t>
  </si>
  <si>
    <t>Periodicity Inputs</t>
  </si>
  <si>
    <t>Time Series Headings</t>
  </si>
  <si>
    <t>Base Year</t>
  </si>
  <si>
    <t>Year</t>
  </si>
  <si>
    <t>Period Type</t>
  </si>
  <si>
    <t>Actual</t>
  </si>
  <si>
    <t>Forecast</t>
  </si>
  <si>
    <t>Regulatory Year</t>
  </si>
  <si>
    <t>Source</t>
  </si>
  <si>
    <t>Unit</t>
  </si>
  <si>
    <t>Basis</t>
  </si>
  <si>
    <t>Timing</t>
  </si>
  <si>
    <t>Real $2018</t>
  </si>
  <si>
    <t>Nominal</t>
  </si>
  <si>
    <t>Real$2018</t>
  </si>
  <si>
    <t>LU_Basis</t>
  </si>
  <si>
    <t>Units</t>
  </si>
  <si>
    <t>Percent</t>
  </si>
  <si>
    <t>Dollars</t>
  </si>
  <si>
    <t>Factor</t>
  </si>
  <si>
    <t>$Millions</t>
  </si>
  <si>
    <t>$000's</t>
  </si>
  <si>
    <t>Millions</t>
  </si>
  <si>
    <t>Thousands</t>
  </si>
  <si>
    <t>LU_Units</t>
  </si>
  <si>
    <t>Start year</t>
  </si>
  <si>
    <t>Mid year</t>
  </si>
  <si>
    <t>End year</t>
  </si>
  <si>
    <t>LU_Timing</t>
  </si>
  <si>
    <t>LU_Timing_Value</t>
  </si>
  <si>
    <t>End_year</t>
  </si>
  <si>
    <t>Mid_year</t>
  </si>
  <si>
    <t>Start_year</t>
  </si>
  <si>
    <t>Service Classification</t>
  </si>
  <si>
    <t>Standard control services</t>
  </si>
  <si>
    <t>Alternative control services</t>
  </si>
  <si>
    <t>Negotiated services</t>
  </si>
  <si>
    <t>Unregulated services</t>
  </si>
  <si>
    <t>Advanced metering infrastructure</t>
  </si>
  <si>
    <t>LU_Service_Long</t>
  </si>
  <si>
    <t>LU_Service_Short</t>
  </si>
  <si>
    <t>SCS</t>
  </si>
  <si>
    <t>ACS</t>
  </si>
  <si>
    <t>NEG</t>
  </si>
  <si>
    <t>UNR</t>
  </si>
  <si>
    <t>Other</t>
  </si>
  <si>
    <t>Metering</t>
  </si>
  <si>
    <t>Public Lighting</t>
  </si>
  <si>
    <t>Connections</t>
  </si>
  <si>
    <t>Fee and Quoted</t>
  </si>
  <si>
    <t>Non Network</t>
  </si>
  <si>
    <t>IT and Communications</t>
  </si>
  <si>
    <t>Motor Vehicles</t>
  </si>
  <si>
    <t>Buildings and Property</t>
  </si>
  <si>
    <t>LU_Non_Network</t>
  </si>
  <si>
    <t>Category Heading</t>
  </si>
  <si>
    <t>Total</t>
  </si>
  <si>
    <t>Calculated</t>
  </si>
  <si>
    <t>Not Applicable</t>
  </si>
  <si>
    <t>Number</t>
  </si>
  <si>
    <t>Check</t>
  </si>
  <si>
    <t>AER / RIN Lookups</t>
  </si>
  <si>
    <t>Km</t>
  </si>
  <si>
    <t>Kilometres</t>
  </si>
  <si>
    <t>Disclaimer:</t>
  </si>
  <si>
    <t>CPI Assumptions</t>
  </si>
  <si>
    <t>Dollar Conversion</t>
  </si>
  <si>
    <r>
      <rPr>
        <b/>
        <sz val="10"/>
        <color theme="1"/>
        <rFont val="Helvetica"/>
      </rPr>
      <t>Note</t>
    </r>
    <r>
      <rPr>
        <sz val="10"/>
        <color theme="1"/>
        <rFont val="Helvetica"/>
        <family val="2"/>
      </rPr>
      <t>: CPI movements are based on [December to December] quarter ends</t>
    </r>
  </si>
  <si>
    <t>Real 2015 to Nominal</t>
  </si>
  <si>
    <t>Real 2016 to Nominal</t>
  </si>
  <si>
    <t>Real 2017 to Nominal</t>
  </si>
  <si>
    <t>Real 2018 to Nominal</t>
  </si>
  <si>
    <t>Real 2019 to Nominal</t>
  </si>
  <si>
    <t>Real 2020 to Nominal</t>
  </si>
  <si>
    <t>Real 2021 to Nominal</t>
  </si>
  <si>
    <t>Real 2022 to Nominal</t>
  </si>
  <si>
    <t>Real 2023 to Nominal</t>
  </si>
  <si>
    <t>Real 2024 to Nominal</t>
  </si>
  <si>
    <t>PWC</t>
  </si>
  <si>
    <t>Overheads</t>
  </si>
  <si>
    <t>Corporate Overheads</t>
  </si>
  <si>
    <t>Network Overheads</t>
  </si>
  <si>
    <t>LU_Overheads</t>
  </si>
  <si>
    <t>[Spare 1]</t>
  </si>
  <si>
    <t>[Spare 2]</t>
  </si>
  <si>
    <r>
      <rPr>
        <b/>
        <sz val="10"/>
        <color theme="1"/>
        <rFont val="Helvetica"/>
      </rPr>
      <t>Note</t>
    </r>
    <r>
      <rPr>
        <sz val="10"/>
        <color theme="1"/>
        <rFont val="Helvetica"/>
        <family val="2"/>
      </rPr>
      <t>: [Required to adjust between mid year and end of year cash flow timing]</t>
    </r>
  </si>
  <si>
    <t>CPI Assumptions and Associated Indexes</t>
  </si>
  <si>
    <t>Opex View 1</t>
  </si>
  <si>
    <t>LU_Opex_View_1</t>
  </si>
  <si>
    <t>Vegetation Management</t>
  </si>
  <si>
    <t>Maintenance</t>
  </si>
  <si>
    <t>Emergency Response</t>
  </si>
  <si>
    <t>Real $2019</t>
  </si>
  <si>
    <t>Real$2019</t>
  </si>
  <si>
    <t>This model is confidential information of, and is owned by, Power and Water Corporation ABN 15 947 352 360 (PWC).  It may not be disclosed to, or used or relied on by, any person without the consent of PWC.
PWC has not verified the inputs or the outputs of this model and makes no representation or warranty as to the completeness, accuracy, reliability or appropriateness of the model, its inputs and outputs (including any forward looking statements) or how it functions.  To the extent permitted by law, any person using or relying on this model or its outputs does so at their own risk and agrees that PWC will not be liable to any person for any loss or damage of any kind arising out of or in any way connected with the use of this model (including negligence).   The references to PWC in this disclaimer includes their respective directors, officers, employees, contractors, advisers or agents.</t>
  </si>
  <si>
    <t>Real 2018 to Real 2019</t>
  </si>
  <si>
    <t>General Model Inputs and Calculations</t>
  </si>
  <si>
    <t>Main Model Worksheets</t>
  </si>
  <si>
    <t>Real 2014 to Nominal</t>
  </si>
  <si>
    <t>ACS Metering</t>
  </si>
  <si>
    <t>ABS/RBA</t>
  </si>
  <si>
    <t>Gifted Assets</t>
  </si>
  <si>
    <t>Capitalised overheads</t>
  </si>
  <si>
    <t>Million</t>
  </si>
  <si>
    <t>Dollar Basis</t>
  </si>
  <si>
    <t>LU_Dollar_Basis</t>
  </si>
  <si>
    <t>Dollar Basis:</t>
  </si>
  <si>
    <t>RY13</t>
  </si>
  <si>
    <t>RY12</t>
  </si>
  <si>
    <t>RY11</t>
  </si>
  <si>
    <t>RY10</t>
  </si>
  <si>
    <t>.</t>
  </si>
  <si>
    <t>RY09</t>
  </si>
  <si>
    <t>Real 2009 to Nominal</t>
  </si>
  <si>
    <t>Real 2010 to Nominal</t>
  </si>
  <si>
    <t>Real 2011 to Nominal</t>
  </si>
  <si>
    <t>Real 2012 to Nominal</t>
  </si>
  <si>
    <t>Real 2013 to Nominal</t>
  </si>
  <si>
    <t>UC Allowance</t>
  </si>
  <si>
    <t>The purpose of this model is to provide tables and charts outputs which are required as part of the Power and Water Corporation - Determination 2019-24.</t>
  </si>
  <si>
    <t>Proposal Outputs - Capex</t>
  </si>
  <si>
    <t>Total Capex Summary</t>
  </si>
  <si>
    <t>Period</t>
  </si>
  <si>
    <t>Total Capex Summary - Nominal</t>
  </si>
  <si>
    <t>Avg: 15-19</t>
  </si>
  <si>
    <t>Avg: 20-24</t>
  </si>
  <si>
    <t>Avg: 10-14</t>
  </si>
  <si>
    <t>Capex Summary</t>
  </si>
  <si>
    <t>Chart Name:</t>
  </si>
  <si>
    <t>Units:</t>
  </si>
  <si>
    <t>Full Chart Title:</t>
  </si>
  <si>
    <t>Total Capex Summary - Real $2019</t>
  </si>
  <si>
    <t>Font:</t>
  </si>
  <si>
    <t>Calibri</t>
  </si>
  <si>
    <t>Font Size:</t>
  </si>
  <si>
    <t>Corporate Chart Formats</t>
  </si>
  <si>
    <t>Colour Palette</t>
  </si>
  <si>
    <t>Black</t>
  </si>
  <si>
    <t>Chart Attributes</t>
  </si>
  <si>
    <t>Legend</t>
  </si>
  <si>
    <t>Labels</t>
  </si>
  <si>
    <t>Centre</t>
  </si>
  <si>
    <t>Main Line Format</t>
  </si>
  <si>
    <t>Solid Line - Non Smoothed</t>
  </si>
  <si>
    <t>Sub Line Format</t>
  </si>
  <si>
    <t>Dotted Line - Non Smoothed</t>
  </si>
  <si>
    <t>Bar Borders</t>
  </si>
  <si>
    <t>On - White</t>
  </si>
  <si>
    <t>0, 0, 0</t>
  </si>
  <si>
    <t>Whole number</t>
  </si>
  <si>
    <t>Vertical Axis Format</t>
  </si>
  <si>
    <t>Horizontal Axis Format</t>
  </si>
  <si>
    <t>Text Direction - Horizontal or 270%</t>
  </si>
  <si>
    <t>Gap Width</t>
  </si>
  <si>
    <t>Chart Border</t>
  </si>
  <si>
    <t>None</t>
  </si>
  <si>
    <t>Title 14, Axis 12, Legend 10</t>
  </si>
  <si>
    <t>Bottom, Aligned to H Axis</t>
  </si>
  <si>
    <t>Actuals/Estimate</t>
  </si>
  <si>
    <t>Connection Capex - Direct Escalated</t>
  </si>
  <si>
    <t>Replacement Capex - Direct Escalated</t>
  </si>
  <si>
    <t>Augmentation Capex - Direct Escalated</t>
  </si>
  <si>
    <t>Non Network IT Capex - Direct Escalated</t>
  </si>
  <si>
    <t>Non Network Other Capex - Direct Escalated</t>
  </si>
  <si>
    <t>Capitalised Overheads - Escalated</t>
  </si>
  <si>
    <t>Revenue Summary</t>
  </si>
  <si>
    <t>SCS Revenue</t>
  </si>
  <si>
    <t>ACS Revenue</t>
  </si>
  <si>
    <t>Escalation</t>
  </si>
  <si>
    <t>Opex Summary</t>
  </si>
  <si>
    <t>Actuals</t>
  </si>
  <si>
    <t>Actuals - SCS</t>
  </si>
  <si>
    <t>Actuals - ACS</t>
  </si>
  <si>
    <t>Actuals - Total</t>
  </si>
  <si>
    <t>Other Property</t>
  </si>
  <si>
    <t>Other Fleet</t>
  </si>
  <si>
    <t>Actuals/Estimate (RIN)</t>
  </si>
  <si>
    <t>ICT</t>
  </si>
  <si>
    <t>Assumed ACS opex</t>
  </si>
  <si>
    <t>0. Overview</t>
  </si>
  <si>
    <t>2019-20</t>
  </si>
  <si>
    <t>2020-21</t>
  </si>
  <si>
    <t>2021-22</t>
  </si>
  <si>
    <t>2022-23</t>
  </si>
  <si>
    <t>2023-24</t>
  </si>
  <si>
    <t>Annual revenue requirement (unsmoothed)</t>
  </si>
  <si>
    <t>Distribution asset rental</t>
  </si>
  <si>
    <t>5. What PWC has delivered</t>
  </si>
  <si>
    <t xml:space="preserve">Table 5 1 – SCS Allowed and Actual Revenues 2014-15 to 2017-18 </t>
  </si>
  <si>
    <t>$M, Real 2018-19</t>
  </si>
  <si>
    <t>2014-15</t>
  </si>
  <si>
    <t>2015-16</t>
  </si>
  <si>
    <t>2016-17</t>
  </si>
  <si>
    <t>2017-18</t>
  </si>
  <si>
    <t>2018-19</t>
  </si>
  <si>
    <t xml:space="preserve">UC Determination – Allowed </t>
  </si>
  <si>
    <t xml:space="preserve">Smoothed revenue </t>
  </si>
  <si>
    <r>
      <t>P</t>
    </r>
    <r>
      <rPr>
        <vertAlign val="superscript"/>
        <sz val="10"/>
        <color theme="1"/>
        <rFont val="Goudy Old Style"/>
        <family val="1"/>
      </rPr>
      <t xml:space="preserve">0 </t>
    </r>
    <r>
      <rPr>
        <sz val="10"/>
        <color theme="1"/>
        <rFont val="Goudy Old Style"/>
        <family val="1"/>
      </rPr>
      <t xml:space="preserve">/ X factor </t>
    </r>
  </si>
  <si>
    <t xml:space="preserve">Ministerial Direction – Allowed </t>
  </si>
  <si>
    <r>
      <t>P</t>
    </r>
    <r>
      <rPr>
        <vertAlign val="superscript"/>
        <sz val="10"/>
        <color theme="1"/>
        <rFont val="Goudy Old Style"/>
        <family val="1"/>
      </rPr>
      <t xml:space="preserve">0 </t>
    </r>
    <r>
      <rPr>
        <sz val="10"/>
        <color theme="1"/>
        <rFont val="Goudy Old Style"/>
        <family val="1"/>
      </rPr>
      <t>/ X factor (%)</t>
    </r>
  </si>
  <si>
    <t xml:space="preserve">Actual </t>
  </si>
  <si>
    <t xml:space="preserve">Revenue </t>
  </si>
  <si>
    <t>$</t>
  </si>
  <si>
    <t xml:space="preserve">Residential </t>
  </si>
  <si>
    <t xml:space="preserve">Change </t>
  </si>
  <si>
    <t>Small business</t>
  </si>
  <si>
    <t>Large business</t>
  </si>
  <si>
    <t>Change</t>
  </si>
  <si>
    <t>Minutes</t>
  </si>
  <si>
    <t>Average</t>
  </si>
  <si>
    <t xml:space="preserve">Urban </t>
  </si>
  <si>
    <t>Short rural</t>
  </si>
  <si>
    <t>Long rural</t>
  </si>
  <si>
    <t>9. Demand forecasts</t>
  </si>
  <si>
    <t xml:space="preserve">Table 9 1 – System-wide maximum demand, energy consumption and customer connection forecasts, 2019-20 to 2023-24 </t>
  </si>
  <si>
    <t>PoE 10 Maximum Demand (MW)</t>
  </si>
  <si>
    <t>PoE 50 Maximum Demand (MW)</t>
  </si>
  <si>
    <t>Energy consumption (GWh)</t>
  </si>
  <si>
    <t>Customer connections</t>
  </si>
  <si>
    <t xml:space="preserve">Table 9 2 – Darwin-Katherine maximum demand, energy consumption and customer connection forecasts, 2019-20 to 2023-24 </t>
  </si>
  <si>
    <t xml:space="preserve">Table 9 3 – Alice Springs maximum demand, energy consumption and customer connection forecasts, 2019-20 to 2023-24 </t>
  </si>
  <si>
    <t xml:space="preserve">Table 9 4 – Tennant Creek maximum demand, energy consumption and customer connection forecasts, 2019-20 to 2023-24 </t>
  </si>
  <si>
    <t>10. Capex forecasts</t>
  </si>
  <si>
    <t xml:space="preserve">Table 10 1 – Actual and estimated capex 2014-15 to 2018-19 </t>
  </si>
  <si>
    <t>Estimate</t>
  </si>
  <si>
    <t>Gross capex</t>
  </si>
  <si>
    <t>UC Determination</t>
  </si>
  <si>
    <t xml:space="preserve">Less UC Determination – metering </t>
  </si>
  <si>
    <t>Adjusted UC Determination</t>
  </si>
  <si>
    <t>Variance (Actual – Determination)</t>
  </si>
  <si>
    <t>Replacement</t>
  </si>
  <si>
    <t>Augmentation</t>
  </si>
  <si>
    <t xml:space="preserve">Connections (including gifted assets) </t>
  </si>
  <si>
    <t>Non-Network ICT</t>
  </si>
  <si>
    <t xml:space="preserve">Non-Network Other </t>
  </si>
  <si>
    <t>Total gross capex</t>
  </si>
  <si>
    <t>Gifted assets</t>
  </si>
  <si>
    <t xml:space="preserve">Table 10 5 – Forecast replacement capex 2019-20 to 2023-24 </t>
  </si>
  <si>
    <t>Replacement capex</t>
  </si>
  <si>
    <t>Augmentation capex</t>
  </si>
  <si>
    <t>11. Opex forecasts</t>
  </si>
  <si>
    <t xml:space="preserve">Table 11 1 – Forecast opex 2019-20 to 2023-24 </t>
  </si>
  <si>
    <t xml:space="preserve">Total  </t>
  </si>
  <si>
    <t xml:space="preserve">Table 11 2 – Actual and estimated opex compared to UC Determination 2014-15 to 2018-19 </t>
  </si>
  <si>
    <t xml:space="preserve">Base </t>
  </si>
  <si>
    <t>Base Year Adjustments</t>
  </si>
  <si>
    <t>Step Changes</t>
  </si>
  <si>
    <t>Output Growth</t>
  </si>
  <si>
    <t>Price Growth</t>
  </si>
  <si>
    <t xml:space="preserve">Productivity Growth </t>
  </si>
  <si>
    <t>Debt raising costs</t>
  </si>
  <si>
    <t>Base year</t>
  </si>
  <si>
    <t>Adjusted base year</t>
  </si>
  <si>
    <t xml:space="preserve">12. Regulatory Asset Base and Depreciation </t>
  </si>
  <si>
    <t>Asset type</t>
  </si>
  <si>
    <t>Standard lives</t>
  </si>
  <si>
    <t xml:space="preserve">Remaining lives </t>
  </si>
  <si>
    <t>Opening RAB</t>
  </si>
  <si>
    <t>Inflation on RAB</t>
  </si>
  <si>
    <t>Plus capex (excl. funding)</t>
  </si>
  <si>
    <t>Plus funding costs</t>
  </si>
  <si>
    <t>Less customer contributions</t>
  </si>
  <si>
    <t>Less disposals</t>
  </si>
  <si>
    <t>Closing RAB</t>
  </si>
  <si>
    <t xml:space="preserve">Real straight-line depreciation </t>
  </si>
  <si>
    <t>Less indexation of RAB</t>
  </si>
  <si>
    <t>Regulatory depreciation</t>
  </si>
  <si>
    <t xml:space="preserve">13. Rate of return, inflation and debt and equity raising costs </t>
  </si>
  <si>
    <t>Table 13-1:  Proposed rate of return, inflation and debt and equity raising cost parameters</t>
  </si>
  <si>
    <t>Value</t>
  </si>
  <si>
    <t xml:space="preserve">Return on equity </t>
  </si>
  <si>
    <t>Return on debt</t>
  </si>
  <si>
    <t xml:space="preserve">Inflation </t>
  </si>
  <si>
    <t>Leverage</t>
  </si>
  <si>
    <t>Gamma</t>
  </si>
  <si>
    <t>Corporate tax rate</t>
  </si>
  <si>
    <t>Nominal vanilla WACC</t>
  </si>
  <si>
    <t>Table 13 2 – Forecast SCS return on capital 2019-20 to 2023-24</t>
  </si>
  <si>
    <t>Return on capital</t>
  </si>
  <si>
    <t xml:space="preserve">14. Estimated cost of corporate income tax </t>
  </si>
  <si>
    <t xml:space="preserve">Table 14 1 – Forecast estimated cost of corporate income tax 2019-20 to 2023-24 </t>
  </si>
  <si>
    <t>Estimated cost of corporate income tax</t>
  </si>
  <si>
    <t xml:space="preserve">Table 14-2:  Opening and closing SCS TAB for 2019-20 to 2023-24 </t>
  </si>
  <si>
    <t>Opening TAB</t>
  </si>
  <si>
    <t>Less tax depreciation</t>
  </si>
  <si>
    <t>Closing TAB</t>
  </si>
  <si>
    <t xml:space="preserve">17. Annual revenue requirements, X-factors </t>
  </si>
  <si>
    <t xml:space="preserve">Table 17 1 – SCS total revenue requirement 2019-20 to 2023-24 </t>
  </si>
  <si>
    <t>$M, Nominal</t>
  </si>
  <si>
    <t xml:space="preserve">Regulatory depreciation </t>
  </si>
  <si>
    <t>Opex (including Debt Raising)</t>
  </si>
  <si>
    <t>Corporate income tax</t>
  </si>
  <si>
    <t>X factors</t>
  </si>
  <si>
    <t>18. Metering services</t>
  </si>
  <si>
    <t>Opening ACS metering RAB</t>
  </si>
  <si>
    <t>Plus capex (Excl. Funding)</t>
  </si>
  <si>
    <t>Closing ACS metering RAB</t>
  </si>
  <si>
    <t>42, 61, 111</t>
  </si>
  <si>
    <t>117, 132, 47</t>
  </si>
  <si>
    <t>Teal</t>
  </si>
  <si>
    <t>Emerald</t>
  </si>
  <si>
    <t>Sky</t>
  </si>
  <si>
    <t>Cobalt</t>
  </si>
  <si>
    <t>Plum</t>
  </si>
  <si>
    <t>Earth</t>
  </si>
  <si>
    <t>Crimson</t>
  </si>
  <si>
    <t>Sunset</t>
  </si>
  <si>
    <t>Canary</t>
  </si>
  <si>
    <t>0, 171, 158</t>
  </si>
  <si>
    <t>0, 113, 67</t>
  </si>
  <si>
    <t>75, 176, 228</t>
  </si>
  <si>
    <t>0, 97, 172</t>
  </si>
  <si>
    <t>83, 67, 104</t>
  </si>
  <si>
    <t>140, 27, 16</t>
  </si>
  <si>
    <t>199, 45, 44</t>
  </si>
  <si>
    <t>239, 125, 23</t>
  </si>
  <si>
    <t>255, 211, 57</t>
  </si>
  <si>
    <t>Blue</t>
  </si>
  <si>
    <t>Olive</t>
  </si>
  <si>
    <t>White</t>
  </si>
  <si>
    <t>255, 255, 255</t>
  </si>
  <si>
    <t>Charts &amp; Tables-&gt;</t>
  </si>
  <si>
    <t>Cover</t>
  </si>
  <si>
    <t>Proposal Outputs - Opex</t>
  </si>
  <si>
    <t>Proposal Outputs - Revenue</t>
  </si>
  <si>
    <t xml:space="preserve">Maximum allowed revenue requirement (smoothed)      </t>
  </si>
  <si>
    <t>Real 2014 to Real 2019</t>
  </si>
  <si>
    <t>Overall rate of change</t>
  </si>
  <si>
    <t>Inter relationships</t>
  </si>
  <si>
    <t>Equity raising costs</t>
  </si>
  <si>
    <t xml:space="preserve">Augmentation </t>
  </si>
  <si>
    <t xml:space="preserve">Replacement </t>
  </si>
  <si>
    <t xml:space="preserve">Non-Network </t>
  </si>
  <si>
    <t>Capitalised overheads (SCS)</t>
  </si>
  <si>
    <t>Connections (incl gifted assets)</t>
  </si>
  <si>
    <t>Figure 2 2 – Hierarchy of capex documents and models</t>
  </si>
  <si>
    <t>Issue</t>
  </si>
  <si>
    <t>Assumption</t>
  </si>
  <si>
    <t>Our capex forecasts are based on legislative and regulatory instruments applicable to PWC and as in force on 1 July 2017.</t>
  </si>
  <si>
    <t>Our capex forecasts will maintain, but will not improve, our security of supply and network reliability, consistent with clause 6.5.7 of the NER.</t>
  </si>
  <si>
    <t>Our capex forecasts reflect the service classification in the AER’s Framework and Approach paper.</t>
  </si>
  <si>
    <t>Our capex forecasts are required to meet the maximum demand, customer and connection growth forecasts prepared by the Australian Energy Market Operator (AEMO).  As the independent market operator, AEMO forecasts are reasonable and credible.</t>
  </si>
  <si>
    <t xml:space="preserve">Our capex forecasts reflect PWC’s proposed new connections policy that complies with Chapter 5A of the NT NER. </t>
  </si>
  <si>
    <t>Our capex forecasts reflect the cost allocation method that has been approved by the AER, and our regulatory capitalisation policy.</t>
  </si>
  <si>
    <t>The unit rates that PWC has applied in developing its capex forecasts are representative of the costs that we will incur in the next period.</t>
  </si>
  <si>
    <t xml:space="preserve">The cost escalations that PWC has applied in developing its capex forecasts are representative of the increased costs that we will incur in the next period.  </t>
  </si>
  <si>
    <t xml:space="preserve">The inflation that PWC has applied in developing its capex forecasts is representative of the inflation-related costs that we will incur in the next period and is consistent with the AER-preferred inflation forecasting method.  </t>
  </si>
  <si>
    <t>Our capex forecasts for 2019-24 assume that we will deliver our forecast capex program for 2017-18 and 2018-19 in the current regulatory control period.</t>
  </si>
  <si>
    <r>
      <t>1.</t>
    </r>
    <r>
      <rPr>
        <sz val="7"/>
        <rFont val="Times New Roman"/>
        <family val="1"/>
      </rPr>
      <t xml:space="preserve">      </t>
    </r>
    <r>
      <rPr>
        <sz val="10"/>
        <rFont val="Goudy Old Style"/>
        <family val="1"/>
      </rPr>
      <t xml:space="preserve">Company structure and ownership arrangements </t>
    </r>
  </si>
  <si>
    <r>
      <t>2.</t>
    </r>
    <r>
      <rPr>
        <sz val="7"/>
        <rFont val="Times New Roman"/>
        <family val="1"/>
      </rPr>
      <t xml:space="preserve">      </t>
    </r>
    <r>
      <rPr>
        <sz val="10"/>
        <rFont val="Goudy Old Style"/>
        <family val="1"/>
      </rPr>
      <t xml:space="preserve">Regulatory obligations and requirements </t>
    </r>
  </si>
  <si>
    <r>
      <t>3.</t>
    </r>
    <r>
      <rPr>
        <sz val="7"/>
        <rFont val="Times New Roman"/>
        <family val="1"/>
      </rPr>
      <t xml:space="preserve">      </t>
    </r>
    <r>
      <rPr>
        <sz val="10"/>
        <rFont val="Goudy Old Style"/>
        <family val="1"/>
      </rPr>
      <t>Security of supply and network reliability</t>
    </r>
  </si>
  <si>
    <r>
      <t>4.</t>
    </r>
    <r>
      <rPr>
        <sz val="7"/>
        <rFont val="Times New Roman"/>
        <family val="1"/>
      </rPr>
      <t xml:space="preserve">      </t>
    </r>
    <r>
      <rPr>
        <sz val="10"/>
        <rFont val="Goudy Old Style"/>
        <family val="1"/>
      </rPr>
      <t>Service classification</t>
    </r>
  </si>
  <si>
    <r>
      <t>5.</t>
    </r>
    <r>
      <rPr>
        <sz val="7"/>
        <rFont val="Times New Roman"/>
        <family val="1"/>
      </rPr>
      <t xml:space="preserve">      </t>
    </r>
    <r>
      <rPr>
        <sz val="10"/>
        <rFont val="Goudy Old Style"/>
        <family val="1"/>
      </rPr>
      <t>Maximum demand, customer and connection growth</t>
    </r>
  </si>
  <si>
    <r>
      <t>6.</t>
    </r>
    <r>
      <rPr>
        <sz val="7"/>
        <rFont val="Times New Roman"/>
        <family val="1"/>
      </rPr>
      <t xml:space="preserve">      </t>
    </r>
    <r>
      <rPr>
        <sz val="10"/>
        <rFont val="Goudy Old Style"/>
        <family val="1"/>
      </rPr>
      <t xml:space="preserve">Connections policy </t>
    </r>
  </si>
  <si>
    <r>
      <t>7.</t>
    </r>
    <r>
      <rPr>
        <sz val="7"/>
        <rFont val="Times New Roman"/>
        <family val="1"/>
      </rPr>
      <t xml:space="preserve">      </t>
    </r>
    <r>
      <rPr>
        <sz val="10"/>
        <rFont val="Goudy Old Style"/>
        <family val="1"/>
      </rPr>
      <t>Cost allocation and capitalisation</t>
    </r>
  </si>
  <si>
    <r>
      <t>8.</t>
    </r>
    <r>
      <rPr>
        <sz val="7"/>
        <rFont val="Times New Roman"/>
        <family val="1"/>
      </rPr>
      <t xml:space="preserve">      </t>
    </r>
    <r>
      <rPr>
        <sz val="10"/>
        <rFont val="Goudy Old Style"/>
        <family val="1"/>
      </rPr>
      <t>Unit rates</t>
    </r>
  </si>
  <si>
    <r>
      <t>9.</t>
    </r>
    <r>
      <rPr>
        <sz val="7"/>
        <rFont val="Times New Roman"/>
        <family val="1"/>
      </rPr>
      <t xml:space="preserve">      </t>
    </r>
    <r>
      <rPr>
        <sz val="10"/>
        <rFont val="Goudy Old Style"/>
        <family val="1"/>
      </rPr>
      <t xml:space="preserve">Cost escalations </t>
    </r>
  </si>
  <si>
    <r>
      <t>10.</t>
    </r>
    <r>
      <rPr>
        <sz val="7"/>
        <rFont val="Times New Roman"/>
        <family val="1"/>
      </rPr>
      <t xml:space="preserve">   </t>
    </r>
    <r>
      <rPr>
        <sz val="10"/>
        <rFont val="Goudy Old Style"/>
        <family val="1"/>
      </rPr>
      <t>Inflation</t>
    </r>
  </si>
  <si>
    <r>
      <t>11.</t>
    </r>
    <r>
      <rPr>
        <sz val="7"/>
        <rFont val="Times New Roman"/>
        <family val="1"/>
      </rPr>
      <t xml:space="preserve">   </t>
    </r>
    <r>
      <rPr>
        <sz val="10"/>
        <rFont val="Goudy Old Style"/>
        <family val="1"/>
      </rPr>
      <t>Current period capex program</t>
    </r>
  </si>
  <si>
    <t>2009-10</t>
  </si>
  <si>
    <t>2010-11</t>
  </si>
  <si>
    <t>2011-12</t>
  </si>
  <si>
    <t>2012-13</t>
  </si>
  <si>
    <t>2013-14</t>
  </si>
  <si>
    <t>Net gross capex</t>
  </si>
  <si>
    <t xml:space="preserve">Total net capex  </t>
  </si>
  <si>
    <t>Expenditure Type</t>
  </si>
  <si>
    <t>Scoped</t>
  </si>
  <si>
    <t>Programmed</t>
  </si>
  <si>
    <t>Pooled</t>
  </si>
  <si>
    <t>Benchmarked</t>
  </si>
  <si>
    <t xml:space="preserve">1.  Replacement </t>
  </si>
  <si>
    <t>ü</t>
  </si>
  <si>
    <t>2.  Augmentation</t>
  </si>
  <si>
    <t>3.  Connections</t>
  </si>
  <si>
    <t>4.  Non-Network IT</t>
  </si>
  <si>
    <t>5.  Non-Network Other</t>
  </si>
  <si>
    <t>a.  Buildings / Property</t>
  </si>
  <si>
    <t>b.  Fleet</t>
  </si>
  <si>
    <t>c.  Tools and Equipment</t>
  </si>
  <si>
    <t>Project / program</t>
  </si>
  <si>
    <t>Description</t>
  </si>
  <si>
    <t xml:space="preserve">Doc. ref. </t>
  </si>
  <si>
    <t>BNI 1</t>
  </si>
  <si>
    <t>BNI 2</t>
  </si>
  <si>
    <t>BNI 3</t>
  </si>
  <si>
    <t>BNI 4</t>
  </si>
  <si>
    <t>BNI 5</t>
  </si>
  <si>
    <t>BNI 6</t>
  </si>
  <si>
    <t>BNI 7</t>
  </si>
  <si>
    <t>BNI 8</t>
  </si>
  <si>
    <t>BNI 9</t>
  </si>
  <si>
    <t>BNI 10</t>
  </si>
  <si>
    <t>BNI 11</t>
  </si>
  <si>
    <t>BNI 12</t>
  </si>
  <si>
    <t>BNI 13</t>
  </si>
  <si>
    <t>BNI 14</t>
  </si>
  <si>
    <t>BNI 15</t>
  </si>
  <si>
    <t>BNI 16</t>
  </si>
  <si>
    <t>BNI 17</t>
  </si>
  <si>
    <t>BNI 18</t>
  </si>
  <si>
    <t>BNI 19</t>
  </si>
  <si>
    <t>BNI 20</t>
  </si>
  <si>
    <t>BNI 21</t>
  </si>
  <si>
    <t>BNI 22</t>
  </si>
  <si>
    <t>BNI 23</t>
  </si>
  <si>
    <t>BNI 24</t>
  </si>
  <si>
    <t>BNI 25</t>
  </si>
  <si>
    <t>BNI 26</t>
  </si>
  <si>
    <t>BNI 27</t>
  </si>
  <si>
    <t>BNI 28</t>
  </si>
  <si>
    <t>BNI 29</t>
  </si>
  <si>
    <t>BNI 30</t>
  </si>
  <si>
    <t>BNI 31</t>
  </si>
  <si>
    <t>BNI 32</t>
  </si>
  <si>
    <t>BNI 33</t>
  </si>
  <si>
    <t>BNI 34</t>
  </si>
  <si>
    <t>BNI 35</t>
  </si>
  <si>
    <t>A-BNI 1</t>
  </si>
  <si>
    <t>A-BNI 2</t>
  </si>
  <si>
    <t>A-BNI 3</t>
  </si>
  <si>
    <t>A-BNI 4</t>
  </si>
  <si>
    <t>A-BNI 5</t>
  </si>
  <si>
    <t>A-BNI 6</t>
  </si>
  <si>
    <t>A-BNI 7</t>
  </si>
  <si>
    <t>A-BNI 8</t>
  </si>
  <si>
    <t>A-BNI 9</t>
  </si>
  <si>
    <t>A-BNI 10</t>
  </si>
  <si>
    <t>A-BNI 11</t>
  </si>
  <si>
    <t>A-BNI 12</t>
  </si>
  <si>
    <t>A-BNI 13</t>
  </si>
  <si>
    <t>A-BNI 14</t>
  </si>
  <si>
    <t>Connections capex (including gifted assets)</t>
  </si>
  <si>
    <t>Category</t>
  </si>
  <si>
    <t>Key driver</t>
  </si>
  <si>
    <t>ICT asset extensions</t>
  </si>
  <si>
    <t>Extend existing ICT assets to broaden their functionality.</t>
  </si>
  <si>
    <t>ICT asset replacement</t>
  </si>
  <si>
    <t>Replace an existing ICT asset with its modern equivalent where the asset has reached the end of its economic life.</t>
  </si>
  <si>
    <t>ICT capability growth</t>
  </si>
  <si>
    <t>Acquire, develop and implement new ICT assets to meet a business purpose or capacity requirement.</t>
  </si>
  <si>
    <t>Expenditure Forecasting Method</t>
  </si>
  <si>
    <r>
      <t>•</t>
    </r>
    <r>
      <rPr>
        <sz val="7"/>
        <rFont val="Times New Roman"/>
        <family val="1"/>
      </rPr>
      <t xml:space="preserve">        </t>
    </r>
    <r>
      <rPr>
        <sz val="10"/>
        <rFont val="Goudy Old Style"/>
        <family val="1"/>
      </rPr>
      <t>Method 1 – Scoped Capex</t>
    </r>
  </si>
  <si>
    <r>
      <t>•</t>
    </r>
    <r>
      <rPr>
        <sz val="7"/>
        <rFont val="Times New Roman"/>
        <family val="1"/>
      </rPr>
      <t xml:space="preserve">        </t>
    </r>
    <r>
      <rPr>
        <sz val="10"/>
        <rFont val="Goudy Old Style"/>
        <family val="1"/>
      </rPr>
      <t xml:space="preserve">Method 1 – Scoped Capex </t>
    </r>
  </si>
  <si>
    <r>
      <t>•</t>
    </r>
    <r>
      <rPr>
        <sz val="7"/>
        <rFont val="Times New Roman"/>
        <family val="1"/>
      </rPr>
      <t xml:space="preserve">        </t>
    </r>
    <r>
      <rPr>
        <sz val="10"/>
        <rFont val="Goudy Old Style"/>
        <family val="1"/>
      </rPr>
      <t>Method 2 – Programmed Capex</t>
    </r>
  </si>
  <si>
    <r>
      <t>•</t>
    </r>
    <r>
      <rPr>
        <sz val="7"/>
        <rFont val="Times New Roman"/>
        <family val="1"/>
      </rPr>
      <t xml:space="preserve">        </t>
    </r>
    <r>
      <rPr>
        <sz val="10"/>
        <rFont val="Goudy Old Style"/>
        <family val="1"/>
      </rPr>
      <t>Method 3 – Pooled Capex</t>
    </r>
  </si>
  <si>
    <t>Network Operations</t>
  </si>
  <si>
    <t>Remediate the Core</t>
  </si>
  <si>
    <t>ICT Application &amp; Infrastructure Refresh</t>
  </si>
  <si>
    <t>Customer Service</t>
  </si>
  <si>
    <t>Enterprise</t>
  </si>
  <si>
    <t>Drivers</t>
  </si>
  <si>
    <t>Fleet</t>
  </si>
  <si>
    <t>The size of our vehicle fleet is commensurate with the services that we must provide.  Darwin-Katherine is a harsh tropical environment and Alice Springs and Tennant Creek are harsh desert environments.  It is essential to have a reliable, well-maintained fleet for the safety, reliability, quality and security of the supply of our services.</t>
  </si>
  <si>
    <t>Buildings and property</t>
  </si>
  <si>
    <t>Tools and equipment</t>
  </si>
  <si>
    <t>The tools and equipment that we require are commensurate with our need to construct, repair and maintain our distribution system.  They are therefore essential to the safety, reliability, quality and security of the supply of our services.</t>
  </si>
  <si>
    <r>
      <t>•</t>
    </r>
    <r>
      <rPr>
        <sz val="7"/>
        <rFont val="Times New Roman"/>
        <family val="1"/>
      </rPr>
      <t xml:space="preserve">        </t>
    </r>
    <r>
      <rPr>
        <sz val="10"/>
        <rFont val="Goudy Old Style"/>
        <family val="1"/>
      </rPr>
      <t xml:space="preserve">Method </t>
    </r>
    <r>
      <rPr>
        <sz val="11"/>
        <rFont val="Goudy Old Style"/>
        <family val="1"/>
      </rPr>
      <t>2 – Programmed capex</t>
    </r>
  </si>
  <si>
    <r>
      <t>•</t>
    </r>
    <r>
      <rPr>
        <sz val="7"/>
        <rFont val="Times New Roman"/>
        <family val="1"/>
      </rPr>
      <t xml:space="preserve">        </t>
    </r>
    <r>
      <rPr>
        <sz val="11"/>
        <rFont val="Goudy Old Style"/>
        <family val="1"/>
      </rPr>
      <t>Method 3 – Pooled capex</t>
    </r>
  </si>
  <si>
    <t>Figure 1 1 – Our regulatory proposal and accompanying documentation</t>
  </si>
  <si>
    <t xml:space="preserve">3 1 – Our electricity distribution service area </t>
  </si>
  <si>
    <t xml:space="preserve">Table 3 1 – Key result areas </t>
  </si>
  <si>
    <t>Key Result Area</t>
  </si>
  <si>
    <t>Goals</t>
  </si>
  <si>
    <t>Key strategies</t>
  </si>
  <si>
    <t>Health and Safety</t>
  </si>
  <si>
    <t>A proactive safety culture across the corporation based on accountability, trust and ethical behaviour</t>
  </si>
  <si>
    <t>People and Culture</t>
  </si>
  <si>
    <t>A high performing, diverse workforce that has the capability to drive business effectiveness.</t>
  </si>
  <si>
    <t>Financial performance</t>
  </si>
  <si>
    <t>A financially robust and commercially sustainable organisation with a strong capital discipline framework and delivering appropriate returns to our shareholders.</t>
  </si>
  <si>
    <t>Operational performance</t>
  </si>
  <si>
    <t>An efficient provider of services supported by strong asset management, governance and protection of the environment.</t>
  </si>
  <si>
    <t xml:space="preserve">Customer </t>
  </si>
  <si>
    <t>A customer centric organisation achieving the respect and trust of all our customers and stakeholders across all parts of the business in delivering our services.</t>
  </si>
  <si>
    <r>
      <t>1.1</t>
    </r>
    <r>
      <rPr>
        <sz val="7"/>
        <rFont val="Times New Roman"/>
        <family val="1"/>
      </rPr>
      <t xml:space="preserve">    </t>
    </r>
    <r>
      <rPr>
        <sz val="10"/>
        <rFont val="Goudy Old Style"/>
        <family val="1"/>
      </rPr>
      <t xml:space="preserve">Move to a proactive safety culture in line with best practice. </t>
    </r>
  </si>
  <si>
    <r>
      <t>2.1</t>
    </r>
    <r>
      <rPr>
        <sz val="7"/>
        <rFont val="Times New Roman"/>
        <family val="1"/>
      </rPr>
      <t xml:space="preserve">   </t>
    </r>
    <r>
      <rPr>
        <sz val="10"/>
        <rFont val="Goudy Old Style"/>
        <family val="1"/>
      </rPr>
      <t>Improve employee engagement to deliver organisational goals.</t>
    </r>
  </si>
  <si>
    <r>
      <t>2.2</t>
    </r>
    <r>
      <rPr>
        <sz val="7"/>
        <rFont val="Times New Roman"/>
        <family val="1"/>
      </rPr>
      <t xml:space="preserve">   </t>
    </r>
    <r>
      <rPr>
        <sz val="10"/>
        <rFont val="Goudy Old Style"/>
        <family val="1"/>
      </rPr>
      <t>Strengthen capability in leadership, empowerment and accountability.</t>
    </r>
  </si>
  <si>
    <r>
      <t>2.3</t>
    </r>
    <r>
      <rPr>
        <sz val="7"/>
        <rFont val="Times New Roman"/>
        <family val="1"/>
      </rPr>
      <t xml:space="preserve">   </t>
    </r>
    <r>
      <rPr>
        <sz val="10"/>
        <rFont val="Goudy Old Style"/>
        <family val="1"/>
      </rPr>
      <t>Align the organisation in its delivery of goals and strategies.</t>
    </r>
  </si>
  <si>
    <r>
      <t>2.4</t>
    </r>
    <r>
      <rPr>
        <sz val="7"/>
        <rFont val="Times New Roman"/>
        <family val="1"/>
      </rPr>
      <t xml:space="preserve">   </t>
    </r>
    <r>
      <rPr>
        <sz val="10"/>
        <rFont val="Goudy Old Style"/>
        <family val="1"/>
      </rPr>
      <t>Build regional and indigenous capability and opportunities.</t>
    </r>
  </si>
  <si>
    <r>
      <t>3.1</t>
    </r>
    <r>
      <rPr>
        <sz val="7"/>
        <rFont val="Times New Roman"/>
        <family val="1"/>
      </rPr>
      <t xml:space="preserve">   </t>
    </r>
    <r>
      <rPr>
        <sz val="10"/>
        <rFont val="Goudy Old Style"/>
        <family val="1"/>
      </rPr>
      <t>Lift the level of commercial focus, financial capability and transparency across the organisation.</t>
    </r>
  </si>
  <si>
    <r>
      <t>3.2</t>
    </r>
    <r>
      <rPr>
        <sz val="7"/>
        <rFont val="Times New Roman"/>
        <family val="1"/>
      </rPr>
      <t xml:space="preserve">   </t>
    </r>
    <r>
      <rPr>
        <sz val="10"/>
        <rFont val="Goudy Old Style"/>
        <family val="1"/>
      </rPr>
      <t>Improve the focus on gross margins and capital efficiency.</t>
    </r>
  </si>
  <si>
    <r>
      <t>3.3</t>
    </r>
    <r>
      <rPr>
        <sz val="7"/>
        <rFont val="Times New Roman"/>
        <family val="1"/>
      </rPr>
      <t xml:space="preserve">   </t>
    </r>
    <r>
      <rPr>
        <sz val="10"/>
        <rFont val="Goudy Old Style"/>
        <family val="1"/>
      </rPr>
      <t>Prudently manage debt levels and other key financial metrics benchmarked against similar organisations.</t>
    </r>
  </si>
  <si>
    <r>
      <t>4.1</t>
    </r>
    <r>
      <rPr>
        <sz val="7"/>
        <rFont val="Times New Roman"/>
        <family val="1"/>
      </rPr>
      <t xml:space="preserve">   </t>
    </r>
    <r>
      <rPr>
        <sz val="10"/>
        <rFont val="Goudy Old Style"/>
        <family val="1"/>
      </rPr>
      <t>Identify and adopt best practice methodologies across the organisation and leverage synergies across the multi-utility business.</t>
    </r>
  </si>
  <si>
    <r>
      <t>4.2</t>
    </r>
    <r>
      <rPr>
        <sz val="7"/>
        <rFont val="Times New Roman"/>
        <family val="1"/>
      </rPr>
      <t xml:space="preserve">   </t>
    </r>
    <r>
      <rPr>
        <sz val="10"/>
        <rFont val="Goudy Old Style"/>
        <family val="1"/>
      </rPr>
      <t>Rationalise and enhance systems and processes to support efficient business operations.</t>
    </r>
  </si>
  <si>
    <r>
      <t>4.3</t>
    </r>
    <r>
      <rPr>
        <sz val="7"/>
        <rFont val="Times New Roman"/>
        <family val="1"/>
      </rPr>
      <t xml:space="preserve">   </t>
    </r>
    <r>
      <rPr>
        <sz val="10"/>
        <rFont val="Goudy Old Style"/>
        <family val="1"/>
      </rPr>
      <t>Ensure prudent, effective risk and governance practices.</t>
    </r>
  </si>
  <si>
    <r>
      <t>5.1</t>
    </r>
    <r>
      <rPr>
        <sz val="7"/>
        <rFont val="Times New Roman"/>
        <family val="1"/>
      </rPr>
      <t xml:space="preserve">   </t>
    </r>
    <r>
      <rPr>
        <sz val="10"/>
        <rFont val="Goudy Old Style"/>
        <family val="1"/>
      </rPr>
      <t>Clearly understand our customer and stakeholder needs and commit to delivering on those expectations.</t>
    </r>
  </si>
  <si>
    <r>
      <t>5.2</t>
    </r>
    <r>
      <rPr>
        <sz val="7"/>
        <rFont val="Times New Roman"/>
        <family val="1"/>
      </rPr>
      <t xml:space="preserve">   </t>
    </r>
    <r>
      <rPr>
        <sz val="10"/>
        <rFont val="Goudy Old Style"/>
        <family val="1"/>
      </rPr>
      <t>Improve the customer experience by aligning core systems and processes.</t>
    </r>
  </si>
  <si>
    <t>Figure 4 1 – Key relevant legislative and regulatory instruments</t>
  </si>
  <si>
    <t xml:space="preserve">1. About this regulatory proposal </t>
  </si>
  <si>
    <t xml:space="preserve">2. Next steps and stakeholders’ feedback </t>
  </si>
  <si>
    <t>Insert</t>
  </si>
  <si>
    <t/>
  </si>
  <si>
    <t>3. About PWC</t>
  </si>
  <si>
    <t>4. Regulatory base line</t>
  </si>
  <si>
    <t>CBD</t>
  </si>
  <si>
    <t xml:space="preserve">Grade of Telephone Service % </t>
  </si>
  <si>
    <t>Total number of calls</t>
  </si>
  <si>
    <t>6. What stakeholders are saying</t>
  </si>
  <si>
    <t>Location</t>
  </si>
  <si>
    <t>Number of Groups</t>
  </si>
  <si>
    <t>Date</t>
  </si>
  <si>
    <t>Darwin Metropolitan Area</t>
  </si>
  <si>
    <t>Palmerston and Darwin Rural Areas</t>
  </si>
  <si>
    <t>Katherine Area</t>
  </si>
  <si>
    <t>Alice Springs Area</t>
  </si>
  <si>
    <t>Tennant Creek Area</t>
  </si>
  <si>
    <t>Topic</t>
  </si>
  <si>
    <t>Research</t>
  </si>
  <si>
    <t>How we have responded</t>
  </si>
  <si>
    <t>Reliability and responsiveness</t>
  </si>
  <si>
    <t>(Deliberative Forums)</t>
  </si>
  <si>
    <t xml:space="preserve">Overall around two-thirds (65%) scored it on the acceptable side (7 or more out of 10). </t>
  </si>
  <si>
    <t>Submit a capex plan that maintains average performance whilst making targeted investments to improve service outcomes for our worst-served customers.</t>
  </si>
  <si>
    <t>Costs and charges – mass market customers (&lt;750MWh)</t>
  </si>
  <si>
    <t>During the session, customers were presented with our proposed cost reflective demand pricing, which was to:</t>
  </si>
  <si>
    <t>We have adjusted the Peak times to 12pm to 9pm, weekdays to better align with the actual peak periods.  This change has been tested at the Large Energy Users forum.</t>
  </si>
  <si>
    <t>Customers were presented with our proposed metering strategy and were asked how acceptable it is to:</t>
  </si>
  <si>
    <t>Customer funded initiatives</t>
  </si>
  <si>
    <t>Customers were presented with a number of different options, which were raised through phase 1 engagement (focus groups and interviews).  Customer were asked:</t>
  </si>
  <si>
    <t>Not pursue any new discretionary user funded initiatives in our regulatory proposal and cost forecasts.</t>
  </si>
  <si>
    <t>Fund our future engagement program be realising opex savings elsewhere in the business.</t>
  </si>
  <si>
    <t>(Large Users Forum &gt;750 MWh)</t>
  </si>
  <si>
    <t>A special forum was held with customers consuming above 750MWh per annum centred on pricing impact and tariff structures.  Customers were presented and asked to provide feedback on:</t>
  </si>
  <si>
    <t>Move to cost reflective tariff for large users by:</t>
  </si>
  <si>
    <t>7. What PWC will deliver</t>
  </si>
  <si>
    <t>8. Response to F&amp;A paper</t>
  </si>
  <si>
    <t xml:space="preserve">Table 8 1 – Our proposed service classification </t>
  </si>
  <si>
    <t xml:space="preserve">Service group/Activities included </t>
  </si>
  <si>
    <r>
      <t>2014</t>
    </r>
    <r>
      <rPr>
        <b/>
        <sz val="10"/>
        <color rgb="FFFFFFFF"/>
        <rFont val="Times New Roman"/>
        <family val="1"/>
      </rPr>
      <t>−</t>
    </r>
    <r>
      <rPr>
        <b/>
        <sz val="10"/>
        <color rgb="FFFFFFFF"/>
        <rFont val="Goudy Old Style"/>
        <family val="1"/>
      </rPr>
      <t>19 classification</t>
    </r>
  </si>
  <si>
    <r>
      <t>2019</t>
    </r>
    <r>
      <rPr>
        <b/>
        <sz val="10"/>
        <color rgb="FFFFFFFF"/>
        <rFont val="Times New Roman"/>
        <family val="1"/>
      </rPr>
      <t>−</t>
    </r>
    <r>
      <rPr>
        <b/>
        <sz val="10"/>
        <color rgb="FFFFFFFF"/>
        <rFont val="Goudy Old Style"/>
        <family val="1"/>
      </rPr>
      <t>24 classification</t>
    </r>
  </si>
  <si>
    <t>Common distribution services</t>
  </si>
  <si>
    <t xml:space="preserve">Common distribution services </t>
  </si>
  <si>
    <t>Ancillary services</t>
  </si>
  <si>
    <t>Design related services</t>
  </si>
  <si>
    <t>Connection application related services</t>
  </si>
  <si>
    <t>Access permits, oversight and facilitation</t>
  </si>
  <si>
    <t>Notices of arrangement and completion notices</t>
  </si>
  <si>
    <t>Network related property services</t>
  </si>
  <si>
    <t>Site establishment services</t>
  </si>
  <si>
    <t>Network safety services</t>
  </si>
  <si>
    <t>Network tariff change request</t>
  </si>
  <si>
    <t>Services provided in relation to a Retailer of Last Resort (ROLR) event</t>
  </si>
  <si>
    <t xml:space="preserve">Planned Interruption – Customer requested </t>
  </si>
  <si>
    <t xml:space="preserve">Attendance at customers' premises to perform a statutory right where access is prevented. </t>
  </si>
  <si>
    <t xml:space="preserve">Provision of training to third parties for network related access </t>
  </si>
  <si>
    <t>Metering services</t>
  </si>
  <si>
    <t>Type 1 to 6 metering services[1]</t>
  </si>
  <si>
    <t>Type 7 metering services</t>
  </si>
  <si>
    <t>Customer requested provision of additional metering/consumption data</t>
  </si>
  <si>
    <t>Connection services</t>
  </si>
  <si>
    <t xml:space="preserve">Connection services </t>
  </si>
  <si>
    <t>Reconnections/Disconnections</t>
  </si>
  <si>
    <t xml:space="preserve">Unregulated distribution services </t>
  </si>
  <si>
    <t>Unclassified</t>
  </si>
  <si>
    <t>Our forecasts reflect the service classification in the AER’s F&amp;A paper.</t>
  </si>
  <si>
    <t>Our forecasts are required to meet the maximum demand, customer and connection growth forecasts prepared by AEMO.  As the independent market operator, AEMO’s forecasts are reasonable and credible.</t>
  </si>
  <si>
    <t>Our capex forecasts for 2019-20 to 2023-24 assume that we will deliver our forecast capex program for 2017-18 and 2018-19.</t>
  </si>
  <si>
    <t xml:space="preserve">1.  Repex  </t>
  </si>
  <si>
    <t>2.  Augex</t>
  </si>
  <si>
    <t>Table 11 3 – Key opex assumptions</t>
  </si>
  <si>
    <t>Our opex forecasts reflect PWC’s current company structure and ownership arrangements.</t>
  </si>
  <si>
    <t>Our opex forecasts are based on legislative and regulatory instruments applicable to PWC and as in force on 1 July 2017.</t>
  </si>
  <si>
    <t>Our opex forecasts reflect the service classification in the AER’s F&amp;A paper.</t>
  </si>
  <si>
    <t>Our opex forecasts are required to meet the maximum demand, customer and connection growth forecasts prepared by AEMO.  As the independent market operator AEMO forecasts are reasonable and credible.</t>
  </si>
  <si>
    <t>Our opex forecasts reflect the cost allocation method that has been approved by the AER, and our regulatory capitalisation policy.</t>
  </si>
  <si>
    <t xml:space="preserve">Our adjusted (including for efficiencies) 2016-17 opex provides a reasonable basis for our opex forecasts and is representative of our requirements to sustainably provide our services.  </t>
  </si>
  <si>
    <t xml:space="preserve">The cost escalations that we have applied in developing our opex forecasts are representative of the increased costs that we will incur in the next period.  </t>
  </si>
  <si>
    <t xml:space="preserve">The inflation that we have has applied in developing our opex forecasts is representative of the inflation-related costs that we will incur in the next period and is consistent with the AER-preferred inflation forecasting method.  </t>
  </si>
  <si>
    <r>
      <t>3.</t>
    </r>
    <r>
      <rPr>
        <sz val="7"/>
        <rFont val="Times New Roman"/>
        <family val="1"/>
      </rPr>
      <t xml:space="preserve">      </t>
    </r>
    <r>
      <rPr>
        <sz val="10"/>
        <rFont val="Goudy Old Style"/>
        <family val="1"/>
      </rPr>
      <t>Network reliability</t>
    </r>
  </si>
  <si>
    <r>
      <t>6.</t>
    </r>
    <r>
      <rPr>
        <sz val="7"/>
        <rFont val="Times New Roman"/>
        <family val="1"/>
      </rPr>
      <t xml:space="preserve">      </t>
    </r>
    <r>
      <rPr>
        <sz val="10"/>
        <rFont val="Goudy Old Style"/>
        <family val="1"/>
      </rPr>
      <t>Cost allocation and capitalisation</t>
    </r>
  </si>
  <si>
    <r>
      <t>7.</t>
    </r>
    <r>
      <rPr>
        <sz val="7"/>
        <rFont val="Times New Roman"/>
        <family val="1"/>
      </rPr>
      <t xml:space="preserve">      </t>
    </r>
    <r>
      <rPr>
        <sz val="10"/>
        <rFont val="Goudy Old Style"/>
        <family val="1"/>
      </rPr>
      <t>Efficient opex base year</t>
    </r>
  </si>
  <si>
    <r>
      <t>8.</t>
    </r>
    <r>
      <rPr>
        <sz val="7"/>
        <rFont val="Times New Roman"/>
        <family val="1"/>
      </rPr>
      <t xml:space="preserve">      </t>
    </r>
    <r>
      <rPr>
        <sz val="10"/>
        <rFont val="Goudy Old Style"/>
        <family val="1"/>
      </rPr>
      <t xml:space="preserve">Cost escalations </t>
    </r>
  </si>
  <si>
    <r>
      <t>9.</t>
    </r>
    <r>
      <rPr>
        <sz val="7"/>
        <rFont val="Times New Roman"/>
        <family val="1"/>
      </rPr>
      <t xml:space="preserve">      </t>
    </r>
    <r>
      <rPr>
        <sz val="10"/>
        <rFont val="Goudy Old Style"/>
        <family val="1"/>
      </rPr>
      <t>Inflation</t>
    </r>
  </si>
  <si>
    <t>Efficiency adjustment</t>
  </si>
  <si>
    <t>Table 12 1:  RAB values</t>
  </si>
  <si>
    <t>(SKM valuation)</t>
  </si>
  <si>
    <t>(Utilities Commission)</t>
  </si>
  <si>
    <t xml:space="preserve">(Proposal) </t>
  </si>
  <si>
    <t>Original</t>
  </si>
  <si>
    <t>Corrected</t>
  </si>
  <si>
    <t>ACS metering</t>
  </si>
  <si>
    <t xml:space="preserve">Table 12 2:  Forecast regulatory depreciation for 2019-20 to 2023-24 </t>
  </si>
  <si>
    <t>Table 12 3:  Asset class descriptions and opening value as at 1 July 2014</t>
  </si>
  <si>
    <t>Substations</t>
  </si>
  <si>
    <t>Assets contained within zone, terminal or switching substation facilities. These are facilities which typically defined by the presence of HV switchgear and Power Transformers. In Maximo these assets would be defined by the ZSS service. Assets also include capacitor banks, instrument transformers, auxiliary supplies, battery systems, cables and conductors, buildings, climate control, fire systems etc.</t>
  </si>
  <si>
    <t>Distribution lines</t>
  </si>
  <si>
    <t>Transmission lines</t>
  </si>
  <si>
    <t>LV services</t>
  </si>
  <si>
    <t>LV service is the final cable or conductor dedicated to connecting a customer into the LV networks. This is usually a cable from a pillar to the customer's metering box, or a conductor from a nearby pole to a connection box mounted on the customer's roof. This includes the connection hardware such as Clamps and Overhead Service Protection Devices (fuses and circuit breakers).</t>
  </si>
  <si>
    <t>Distribution substations</t>
  </si>
  <si>
    <t>Distribution facilities which transform voltage from HV distribution levels (22kV or 11kV) to LV. This includes other associated assets such as LV switchgear, earthing, equipment enclosures, footings, locks, signage etc. Where the facility is indoors, this category includes costs associated with maintaining the room's fixtures and fittings including cable tunnels. HV switchgear is excluded - this is covered in the distribution switchgear category.</t>
  </si>
  <si>
    <t>Distribution switchgear</t>
  </si>
  <si>
    <t>Assets which perform switching at distribution voltage levels (22kV or 11kV). This includes switching facilities such as switching stations, RMUs, modular switchgear, air-break switches, gas-break switches, reclosers, fusesavers, EDOs and links.</t>
  </si>
  <si>
    <t>Protection</t>
  </si>
  <si>
    <t>This category includes protection relays and protection panels (including auxiliary relays, test blocks and panel wiring) in substation facilities. Recloser protection components are excluded - these are considered part of the recloser device.</t>
  </si>
  <si>
    <t>SCADA</t>
  </si>
  <si>
    <t>This category includes RTUs and RTU panels in substation facilities, as well as the EMS hardware and software in the control centres. Distribution SCADA components are excluded - these are considered part of the distribution device.</t>
  </si>
  <si>
    <t>Communications</t>
  </si>
  <si>
    <t>This category includes comms equipment in substation facilities and comms facilities, including antennas, radios, multiplexors, battery systems, comms cable, pilot wires. Distribution comms components are excluded - these are considered part of the distribution device.</t>
  </si>
  <si>
    <t>Land and easements</t>
  </si>
  <si>
    <t>Property</t>
  </si>
  <si>
    <t>IT and communications</t>
  </si>
  <si>
    <t>Motor vehicles</t>
  </si>
  <si>
    <t>Plant and equipment</t>
  </si>
  <si>
    <t>Sub-total</t>
  </si>
  <si>
    <t>Mechanical meters</t>
  </si>
  <si>
    <t>Mechanical meters used for the provision of regulated metering services.</t>
  </si>
  <si>
    <t>Electronic meters</t>
  </si>
  <si>
    <t>Electronic meters used for the provision of regulated metering services.</t>
  </si>
  <si>
    <t>Metering communications</t>
  </si>
  <si>
    <t>Communications equipment to remotely access regulated meters, including:  modems, antennae, sim cards.</t>
  </si>
  <si>
    <t>Metering dedicated CTs and VTs</t>
  </si>
  <si>
    <t>Current transformers and voltage transformers that are solely associated with the provision of metering services.</t>
  </si>
  <si>
    <t>Metering non network other</t>
  </si>
  <si>
    <t>Expenditure associated with the provision of metering services that does not fall into another category.</t>
  </si>
  <si>
    <t>Metering non network IT and communications</t>
  </si>
  <si>
    <t>IT and communications equipment associated with the provision of metering services, excluding assets classified as “Metering Communications”.</t>
  </si>
  <si>
    <t>Table 12 5:  Opening and closing SCS RAB for 2019-20 to 2023-24</t>
  </si>
  <si>
    <t xml:space="preserve">Table 12 6:  Forecast SCS regulatory depreciation for 2019-20 to 2023-24 </t>
  </si>
  <si>
    <t>%</t>
  </si>
  <si>
    <t>2024-25</t>
  </si>
  <si>
    <t>2025-26</t>
  </si>
  <si>
    <t>2026-27</t>
  </si>
  <si>
    <t>RBA forecast</t>
  </si>
  <si>
    <t>Mid-point of inflation target range</t>
  </si>
  <si>
    <t>Inflation forecasts</t>
  </si>
  <si>
    <t>Geometric average</t>
  </si>
  <si>
    <t xml:space="preserve">15. Incentive schemes </t>
  </si>
  <si>
    <t xml:space="preserve">16. Pass through events </t>
  </si>
  <si>
    <t>Table 18 1 – ACS metering services total revenue requirement 2019-20 to 2023-24</t>
  </si>
  <si>
    <t>Table 18 2 – Opening and closing ACS metering RAB for 2019-20 to 2023-24</t>
  </si>
  <si>
    <t>19. Fee-based and Quoted ACS</t>
  </si>
  <si>
    <t>20. Public lighting</t>
  </si>
  <si>
    <t xml:space="preserve">21. Indicative prices and bill impacts </t>
  </si>
  <si>
    <t xml:space="preserve">22. Negotiating Framework </t>
  </si>
  <si>
    <t xml:space="preserve">NT NER Clause 6.7.5(c) - minimum requirements for a Negotiating Framework  </t>
  </si>
  <si>
    <t>Relevant clause in Negotiating Framework</t>
  </si>
  <si>
    <t xml:space="preserve">The negotiating framework for a Distribution Network Service Provider must specify: </t>
  </si>
  <si>
    <t xml:space="preserve">(1)  a requirement for the provider and a Service Applicant to negotiate in good faith the terms and conditions of access to a negotiated distribution service; and </t>
  </si>
  <si>
    <t xml:space="preserve">(2)  a requirement for the provider to provide all such commercial information a Service Applicant may reasonably require to enable that applicant to engage in effective negotiation with the provider for the provision of the negotiated distribution service, including the cost information described in subparagraph (3); and </t>
  </si>
  <si>
    <t xml:space="preserve">(3)  a requirement for the provider: </t>
  </si>
  <si>
    <t xml:space="preserve">(i)  to identify and inform a Service Applicant of the reasonable costs and/or the increase or decrease in costs (as appropriate) of providing the negotiated distribution service; and </t>
  </si>
  <si>
    <t xml:space="preserve">(ii)  to demonstrate to a Service Applicant that the charges for providing the negotiated distribution service reflect those costs and/or the cost increment or decrement (as appropriate); and </t>
  </si>
  <si>
    <t xml:space="preserve">(iii)  to have appropriate arrangements for assessment and review of the charges and the basis on which they are made; and </t>
  </si>
  <si>
    <t>6.3(c)(i)</t>
  </si>
  <si>
    <t>6.3(c)(ii)</t>
  </si>
  <si>
    <t xml:space="preserve">(4)  a requirement for a Service Applicant to provide all commercial information the provider may reasonably require to enable the provider to engage in effective negotiation with that applicant for the provision of the negotiated distribution service; and </t>
  </si>
  <si>
    <t xml:space="preserve">(5)  a requirement that negotiations with a Service Applicant for the provision of the negotiated distribution service be commenced and finalised within specified periods and a requirement that each party to the negotiations must make reasonable endeavours to adhere to the specified time limits; and </t>
  </si>
  <si>
    <t xml:space="preserve">(6)  a process for dispute resolution which provides that all disputes as to the terms and conditions of access for the provision of negotiated distribution services are to be dealt with in accordance with the relevant provisions of the Law and the Rules for dispute resolution; and </t>
  </si>
  <si>
    <t xml:space="preserve">(7)  the arrangements for payment by a Service Applicant of the provider's reasonable direct expenses incurred in processing the application to provide the negotiated distribution service; and </t>
  </si>
  <si>
    <t xml:space="preserve">(8)  a requirement that the Distribution Network Service Provider determine the potential impact on other Distribution Network Users of the provision of the negotiated distribution service; and </t>
  </si>
  <si>
    <t xml:space="preserve">(9)  a requirement that the Distribution Network Service Provider must notify and consult with any affected Distribution Network Users and ensure that the provision of negotiated distribution services does not result in non-compliance with obligations in relation to other Distribution Network Users under the Rules; and </t>
  </si>
  <si>
    <t>(10)  a requirement that the Distribution Network Service Provider publish the results of negotiations on its website.</t>
  </si>
  <si>
    <t xml:space="preserve">23. Confidentiality </t>
  </si>
  <si>
    <t xml:space="preserve">24. Certifications </t>
  </si>
  <si>
    <t>25. Abbreviations</t>
  </si>
  <si>
    <t>Abbreviations</t>
  </si>
  <si>
    <t>AEMC</t>
  </si>
  <si>
    <t>Australian Energy Market Commission</t>
  </si>
  <si>
    <t>AEMO</t>
  </si>
  <si>
    <t>Australian Energy Market Operator</t>
  </si>
  <si>
    <t>AER</t>
  </si>
  <si>
    <t>Australian Energy Regulator</t>
  </si>
  <si>
    <t>Augex</t>
  </si>
  <si>
    <t>The AER’s Augex model</t>
  </si>
  <si>
    <t>Bp</t>
  </si>
  <si>
    <t>basis points</t>
  </si>
  <si>
    <t>bppa</t>
  </si>
  <si>
    <t>basis points per annum</t>
  </si>
  <si>
    <t>BST</t>
  </si>
  <si>
    <t>Base-Step-Trend</t>
  </si>
  <si>
    <t>CAC</t>
  </si>
  <si>
    <t>Customer Advisory Council</t>
  </si>
  <si>
    <t>Capex</t>
  </si>
  <si>
    <t>Capital expenditure</t>
  </si>
  <si>
    <t>CAPM</t>
  </si>
  <si>
    <t>Capital Asset Pricing Model</t>
  </si>
  <si>
    <t>CEO</t>
  </si>
  <si>
    <t xml:space="preserve">Chief Executive Officer </t>
  </si>
  <si>
    <t>CESS</t>
  </si>
  <si>
    <t>Capital Expenditure Sharing Scheme</t>
  </si>
  <si>
    <t>CPI</t>
  </si>
  <si>
    <t>Consumer price index</t>
  </si>
  <si>
    <t>DMIA</t>
  </si>
  <si>
    <t>Demand management incentive allowance</t>
  </si>
  <si>
    <t>DMIS</t>
  </si>
  <si>
    <t>Demand management incentive scheme</t>
  </si>
  <si>
    <t>DNSP</t>
  </si>
  <si>
    <t>Distribution network service provider</t>
  </si>
  <si>
    <t>DRP</t>
  </si>
  <si>
    <t>Debt risk premium</t>
  </si>
  <si>
    <t>DUOS</t>
  </si>
  <si>
    <t>Distribution use of system</t>
  </si>
  <si>
    <t>EBSS</t>
  </si>
  <si>
    <t>Efficiency Benefit Sharing Scheme</t>
  </si>
  <si>
    <t>GSL</t>
  </si>
  <si>
    <t>Guaranteed Service Level</t>
  </si>
  <si>
    <t>GWh</t>
  </si>
  <si>
    <t>Gigawatt Hour</t>
  </si>
  <si>
    <t>Information and Communications Technology</t>
  </si>
  <si>
    <t>M</t>
  </si>
  <si>
    <t>MRP</t>
  </si>
  <si>
    <t>Market risk premium</t>
  </si>
  <si>
    <t>MTFP</t>
  </si>
  <si>
    <t>Multilateral Total Factor Productivity</t>
  </si>
  <si>
    <t>MVA</t>
  </si>
  <si>
    <t>Mega Volt Ampere</t>
  </si>
  <si>
    <t>MW</t>
  </si>
  <si>
    <t>megawatt</t>
  </si>
  <si>
    <t>NECF</t>
  </si>
  <si>
    <t xml:space="preserve">National Energy Customer Framework </t>
  </si>
  <si>
    <t>NEL</t>
  </si>
  <si>
    <t>National Electricity Law</t>
  </si>
  <si>
    <t>NEM</t>
  </si>
  <si>
    <t>National Energy Market</t>
  </si>
  <si>
    <t>NEO</t>
  </si>
  <si>
    <t>National Electricity Objective</t>
  </si>
  <si>
    <t>NER (or Rules)</t>
  </si>
  <si>
    <t>National Electricity Rules</t>
  </si>
  <si>
    <t>NT NER (or NT Rules)</t>
  </si>
  <si>
    <t>Northern Territory National Electricity Rules</t>
  </si>
  <si>
    <t>Opex</t>
  </si>
  <si>
    <t>Operating expenditure</t>
  </si>
  <si>
    <t>PFP</t>
  </si>
  <si>
    <t>Partial Factor Productivity</t>
  </si>
  <si>
    <t>PoE</t>
  </si>
  <si>
    <t>Probability of Exceedance</t>
  </si>
  <si>
    <t>PTRM</t>
  </si>
  <si>
    <t>The AER’s Post-Tax Revenue Model</t>
  </si>
  <si>
    <t>PV</t>
  </si>
  <si>
    <t xml:space="preserve">Photovoltaic </t>
  </si>
  <si>
    <t>Repex</t>
  </si>
  <si>
    <t>The AER’s Repex model</t>
  </si>
  <si>
    <t>RFM</t>
  </si>
  <si>
    <t>The AER’s Roll-Forward Model</t>
  </si>
  <si>
    <t>RIN</t>
  </si>
  <si>
    <t>Regulatory Information Notice</t>
  </si>
  <si>
    <t>RIT-D</t>
  </si>
  <si>
    <t xml:space="preserve">Regulatory Investment Test – Distribution </t>
  </si>
  <si>
    <t>ROE</t>
  </si>
  <si>
    <t>SAIDI</t>
  </si>
  <si>
    <t>System average interruption duration index</t>
  </si>
  <si>
    <t>SAIFI</t>
  </si>
  <si>
    <t>System average interruption frequency index</t>
  </si>
  <si>
    <t xml:space="preserve">Supervisory control and data acquisition </t>
  </si>
  <si>
    <t>SFA</t>
  </si>
  <si>
    <t>Stochastic frontier analysis</t>
  </si>
  <si>
    <t>STPIS</t>
  </si>
  <si>
    <t>Service Target Performance Incentive Scheme</t>
  </si>
  <si>
    <t>TFP</t>
  </si>
  <si>
    <t>Total Factor Productivity</t>
  </si>
  <si>
    <t>VCR</t>
  </si>
  <si>
    <t xml:space="preserve">Value of Customer Reliability </t>
  </si>
  <si>
    <t>WACC</t>
  </si>
  <si>
    <t xml:space="preserve">Weighted average cost of capital </t>
  </si>
  <si>
    <t>WPI</t>
  </si>
  <si>
    <t>Wage Price Index</t>
  </si>
  <si>
    <t>Check - DRC</t>
  </si>
  <si>
    <t>Check - ERC</t>
  </si>
  <si>
    <t>Check - source - Excluding metering</t>
  </si>
  <si>
    <t>Check - PTRM - Excl metering/ERC</t>
  </si>
  <si>
    <t>Check - RIN vs RFM</t>
  </si>
  <si>
    <t>Check - Source</t>
  </si>
  <si>
    <t>Check - PTRM</t>
  </si>
  <si>
    <t>Check - PoE10</t>
  </si>
  <si>
    <t>Check - PoE50</t>
  </si>
  <si>
    <t>Less straight-line depreciation</t>
  </si>
  <si>
    <t>Actual / Estimates (excl Metering)</t>
  </si>
  <si>
    <t>Actual / Estimated (excl Metering)</t>
  </si>
  <si>
    <t>Plus final year adjustments</t>
  </si>
  <si>
    <t xml:space="preserve">Table 12 4:  Opening and closing SCS and ACS RAB for 2014-15 to 2018-19 </t>
  </si>
  <si>
    <t>Real 2018-19</t>
  </si>
  <si>
    <t>Total Period 2</t>
  </si>
  <si>
    <t>Total Period 1</t>
  </si>
  <si>
    <t>Total Opex ($M)</t>
  </si>
  <si>
    <t>Opex per Customer ($)</t>
  </si>
  <si>
    <t>Capex per Customer ($)</t>
  </si>
  <si>
    <t>Gross Capex ($M)</t>
  </si>
  <si>
    <t>Opex per Cust. (w/out efficiency) ($)</t>
  </si>
  <si>
    <t>RAB</t>
  </si>
  <si>
    <t>Table 4 – ACS metering capex and RAB 2019-20 to 2023-24</t>
  </si>
  <si>
    <t>Table 3 – ACS metering services total revenue requirement 2019-20 to 2023-24</t>
  </si>
  <si>
    <t>Table 1 – SCS total revenue requirement 2019-20 to 2023-24</t>
  </si>
  <si>
    <t>Table 2 – SCS capex and RAB 2019-20 to 2023-24</t>
  </si>
  <si>
    <t>Next steps</t>
  </si>
  <si>
    <t>Table 6 2 – Customer engagement feedback</t>
  </si>
  <si>
    <t xml:space="preserve">Table 6 1 – Focus group meetings </t>
  </si>
  <si>
    <t>What they told us</t>
  </si>
  <si>
    <t>During the sessions, customers were presented with our draft five-year proposal to the AER, which was to:</t>
  </si>
  <si>
    <t>Almost half of customers (46%) found this proposed plan to be completely acceptable (10 out of 10).</t>
  </si>
  <si>
    <t>Introduce demand charges for all customers who have an advanced meter and who will not see a bill impact under the Pricing Order</t>
  </si>
  <si>
    <t>Advanced metering roll out</t>
  </si>
  <si>
    <t>Respondents showed a strong interest in the customer benefits of advanced metering</t>
  </si>
  <si>
    <t>Roll out advanced meters to all future customers on a new and replacement basis.</t>
  </si>
  <si>
    <t xml:space="preserve">Pricing for large energy customers </t>
  </si>
  <si>
    <r>
      <t>Communication Preferences</t>
    </r>
    <r>
      <rPr>
        <b/>
        <sz val="11"/>
        <color rgb="FFFFFFFF"/>
        <rFont val="Goudy Old Style"/>
        <family val="1"/>
      </rPr>
      <t xml:space="preserve"> </t>
    </r>
  </si>
  <si>
    <t>Customers were asked about their communication preferences at both the Large User and Deliberative forums:</t>
  </si>
  <si>
    <t>We will look to redesign the Power and Water App to include push notifications, and invest in an Outage Management system to enable SMS notifications.</t>
  </si>
  <si>
    <r>
      <t>·</t>
    </r>
    <r>
      <rPr>
        <sz val="7"/>
        <rFont val="Times New Roman"/>
        <family val="1"/>
      </rPr>
      <t xml:space="preserve">        </t>
    </r>
    <r>
      <rPr>
        <sz val="10"/>
        <rFont val="Goudy Old Style"/>
        <family val="1"/>
      </rPr>
      <t>maintain current reliability and responsiveness levels for the majority of customers (at a system level), and</t>
    </r>
  </si>
  <si>
    <r>
      <t>·</t>
    </r>
    <r>
      <rPr>
        <sz val="7"/>
        <rFont val="Times New Roman"/>
        <family val="1"/>
      </rPr>
      <t xml:space="preserve">        </t>
    </r>
    <r>
      <rPr>
        <sz val="10"/>
        <rFont val="Goudy Old Style"/>
        <family val="1"/>
      </rPr>
      <t>focus on improving reliability for poor performing rural and urban areas (e.g. Lovegrove in Alice Springs, Virginia and Stuart Park in Darwin) at a cost equivalent to approx. $1.70 extra per customer, per year.</t>
    </r>
  </si>
  <si>
    <r>
      <t>1.</t>
    </r>
    <r>
      <rPr>
        <sz val="7"/>
        <rFont val="Times New Roman"/>
        <family val="1"/>
      </rPr>
      <t xml:space="preserve">      </t>
    </r>
    <r>
      <rPr>
        <sz val="10"/>
        <rFont val="Goudy Old Style"/>
        <family val="1"/>
      </rPr>
      <t>Most respondents found this proposal acceptable with (45% rating the acceptability as 7 or more) while just under a third (30%) rated its acceptability as 3 or less.</t>
    </r>
  </si>
  <si>
    <r>
      <t>1.</t>
    </r>
    <r>
      <rPr>
        <sz val="7"/>
        <rFont val="Times New Roman"/>
        <family val="1"/>
      </rPr>
      <t xml:space="preserve">      </t>
    </r>
    <r>
      <rPr>
        <sz val="10"/>
        <rFont val="Goudy Old Style"/>
        <family val="1"/>
      </rPr>
      <t>shift peak times from 6am to 6pm 7 days a week, to 12pm to 6pm 5 days per week, and introduce demand charge to all customer segments with appropriate metering.</t>
    </r>
  </si>
  <si>
    <r>
      <t>2.</t>
    </r>
    <r>
      <rPr>
        <sz val="7"/>
        <rFont val="Times New Roman"/>
        <family val="1"/>
      </rPr>
      <t xml:space="preserve">      </t>
    </r>
    <r>
      <rPr>
        <sz val="10"/>
        <rFont val="Goudy Old Style"/>
        <family val="1"/>
      </rPr>
      <t>87.5% of customers understood that they would not be impacted.</t>
    </r>
  </si>
  <si>
    <r>
      <t>2.</t>
    </r>
    <r>
      <rPr>
        <sz val="7"/>
        <rFont val="Times New Roman"/>
        <family val="1"/>
      </rPr>
      <t xml:space="preserve">      </t>
    </r>
    <r>
      <rPr>
        <sz val="10"/>
        <rFont val="Goudy Old Style"/>
        <family val="1"/>
      </rPr>
      <t>customers were asked if they understood the impact of the proposed changes with the Pricing Order in place.</t>
    </r>
  </si>
  <si>
    <r>
      <t>3.</t>
    </r>
    <r>
      <rPr>
        <sz val="7"/>
        <rFont val="Times New Roman"/>
        <family val="1"/>
      </rPr>
      <t xml:space="preserve">      </t>
    </r>
    <r>
      <rPr>
        <sz val="10"/>
        <rFont val="Goudy Old Style"/>
        <family val="1"/>
      </rPr>
      <t>Over half (54%) indicated that they would ‘definitely’ or ‘probably’ shift some of their electricity usage if the Pricing Order was amended by the NT Government and there were financial incentives to do so.</t>
    </r>
  </si>
  <si>
    <r>
      <t>3.</t>
    </r>
    <r>
      <rPr>
        <sz val="7"/>
        <rFont val="Times New Roman"/>
        <family val="1"/>
      </rPr>
      <t xml:space="preserve">      </t>
    </r>
    <r>
      <rPr>
        <sz val="10"/>
        <rFont val="Goudy Old Style"/>
        <family val="1"/>
      </rPr>
      <t>customers were asked to indicate the “likelihood” of shifting load to outside the proposed peak periods, if the Pricing Order was to be amended.</t>
    </r>
  </si>
  <si>
    <r>
      <t>1.</t>
    </r>
    <r>
      <rPr>
        <sz val="7"/>
        <rFont val="Times New Roman"/>
        <family val="1"/>
      </rPr>
      <t xml:space="preserve">      </t>
    </r>
    <r>
      <rPr>
        <sz val="10"/>
        <rFont val="Goudy Old Style"/>
        <family val="1"/>
      </rPr>
      <t>roll out advanced meters to all new customers, and</t>
    </r>
  </si>
  <si>
    <r>
      <t>1.</t>
    </r>
    <r>
      <rPr>
        <sz val="7"/>
        <rFont val="Times New Roman"/>
        <family val="1"/>
      </rPr>
      <t xml:space="preserve">      </t>
    </r>
    <r>
      <rPr>
        <sz val="10"/>
        <rFont val="Goudy Old Style"/>
        <family val="1"/>
      </rPr>
      <t xml:space="preserve">89% of customers agreed with our proposal to have advanced meters rolled out to new customers, and </t>
    </r>
  </si>
  <si>
    <r>
      <t>2.</t>
    </r>
    <r>
      <rPr>
        <sz val="7"/>
        <rFont val="Times New Roman"/>
        <family val="1"/>
      </rPr>
      <t xml:space="preserve">      </t>
    </r>
    <r>
      <rPr>
        <sz val="10"/>
        <rFont val="Goudy Old Style"/>
        <family val="1"/>
      </rPr>
      <t>Replace old accumulation meters when they fail or reach the end of their normal life rather than straight away.</t>
    </r>
  </si>
  <si>
    <r>
      <t>2.</t>
    </r>
    <r>
      <rPr>
        <sz val="7"/>
        <rFont val="Times New Roman"/>
        <family val="1"/>
      </rPr>
      <t xml:space="preserve">      </t>
    </r>
    <r>
      <rPr>
        <sz val="10"/>
        <rFont val="Goudy Old Style"/>
        <family val="1"/>
      </rPr>
      <t xml:space="preserve">85% agreed to replace existing meters at the end of their life. </t>
    </r>
  </si>
  <si>
    <r>
      <t>1.</t>
    </r>
    <r>
      <rPr>
        <sz val="7"/>
        <rFont val="Times New Roman"/>
        <family val="1"/>
      </rPr>
      <t xml:space="preserve">      </t>
    </r>
    <r>
      <rPr>
        <sz val="10"/>
        <rFont val="Goudy Old Style"/>
        <family val="1"/>
      </rPr>
      <t>71% of responses did not support us providing in home energy audits.</t>
    </r>
  </si>
  <si>
    <r>
      <t>1.</t>
    </r>
    <r>
      <rPr>
        <sz val="7"/>
        <rFont val="Times New Roman"/>
        <family val="1"/>
      </rPr>
      <t xml:space="preserve">      </t>
    </r>
    <r>
      <rPr>
        <sz val="10"/>
        <rFont val="Goudy Old Style"/>
        <family val="1"/>
      </rPr>
      <t>How acceptable to you is our offering in-home energy audits for households experiencing financial difficulty to help identify ways they can reduce their energy costs</t>
    </r>
  </si>
  <si>
    <r>
      <t>2.</t>
    </r>
    <r>
      <rPr>
        <sz val="7"/>
        <rFont val="Times New Roman"/>
        <family val="1"/>
      </rPr>
      <t xml:space="preserve">      </t>
    </r>
    <r>
      <rPr>
        <sz val="10"/>
        <rFont val="Goudy Old Style"/>
        <family val="1"/>
      </rPr>
      <t>85% did not support an ongoing customer funded engagement program, believing it should be BAU.</t>
    </r>
  </si>
  <si>
    <r>
      <t>2.</t>
    </r>
    <r>
      <rPr>
        <sz val="7"/>
        <rFont val="Times New Roman"/>
        <family val="1"/>
      </rPr>
      <t xml:space="preserve">      </t>
    </r>
    <r>
      <rPr>
        <sz val="10"/>
        <rFont val="Goudy Old Style"/>
        <family val="1"/>
      </rPr>
      <t xml:space="preserve">How acceptable to you is our proposed engagement program, and </t>
    </r>
  </si>
  <si>
    <r>
      <t>3.</t>
    </r>
    <r>
      <rPr>
        <sz val="7"/>
        <rFont val="Times New Roman"/>
        <family val="1"/>
      </rPr>
      <t xml:space="preserve">      </t>
    </r>
    <r>
      <rPr>
        <sz val="10"/>
        <rFont val="Goudy Old Style"/>
        <family val="1"/>
      </rPr>
      <t xml:space="preserve">52% of customer responded “no” to moving power lines underground &amp; 22% responded as “unsure”.   </t>
    </r>
  </si>
  <si>
    <r>
      <t>3.</t>
    </r>
    <r>
      <rPr>
        <sz val="7"/>
        <rFont val="Times New Roman"/>
        <family val="1"/>
      </rPr>
      <t xml:space="preserve">      </t>
    </r>
    <r>
      <rPr>
        <sz val="10"/>
        <rFont val="Goudy Old Style"/>
        <family val="1"/>
      </rPr>
      <t>Given the cost per kilometre (approx. $1m/KM) do you want to see more overhead power lines moved underground?</t>
    </r>
  </si>
  <si>
    <r>
      <t>1.</t>
    </r>
    <r>
      <rPr>
        <sz val="7"/>
        <rFont val="Times New Roman"/>
        <family val="1"/>
      </rPr>
      <t xml:space="preserve">      </t>
    </r>
    <r>
      <rPr>
        <sz val="10"/>
        <rFont val="Goudy Old Style"/>
        <family val="1"/>
      </rPr>
      <t xml:space="preserve">Customers indicated a preference for our “Fully Cost Reflective” tariff option, with 57% marking this as their preference.   </t>
    </r>
  </si>
  <si>
    <r>
      <t>1.</t>
    </r>
    <r>
      <rPr>
        <sz val="7"/>
        <rFont val="Times New Roman"/>
        <family val="1"/>
      </rPr>
      <t xml:space="preserve">      </t>
    </r>
    <r>
      <rPr>
        <sz val="10"/>
        <rFont val="Goudy Old Style"/>
        <family val="1"/>
      </rPr>
      <t>Their preferred pricing option</t>
    </r>
  </si>
  <si>
    <r>
      <t>2.</t>
    </r>
    <r>
      <rPr>
        <sz val="7"/>
        <rFont val="Times New Roman"/>
        <family val="1"/>
      </rPr>
      <t xml:space="preserve">      </t>
    </r>
    <r>
      <rPr>
        <sz val="10"/>
        <rFont val="Goudy Old Style"/>
        <family val="1"/>
      </rPr>
      <t>Customer showed strong support for our proposed approach with 50% of respondents providing a score of 7 or higher out 10, and 21% providing a score of 5 out of 10.</t>
    </r>
  </si>
  <si>
    <r>
      <t>·</t>
    </r>
    <r>
      <rPr>
        <sz val="7"/>
        <rFont val="Times New Roman"/>
        <family val="1"/>
      </rPr>
      <t xml:space="preserve">         </t>
    </r>
    <r>
      <rPr>
        <sz val="10"/>
        <rFont val="Goudy Old Style"/>
        <family val="1"/>
      </rPr>
      <t>Holding large user revenue constant to align our revenue with our share of costs</t>
    </r>
  </si>
  <si>
    <r>
      <t>2.</t>
    </r>
    <r>
      <rPr>
        <sz val="7"/>
        <rFont val="Times New Roman"/>
        <family val="1"/>
      </rPr>
      <t xml:space="preserve">      </t>
    </r>
    <r>
      <rPr>
        <sz val="10"/>
        <rFont val="Goudy Old Style"/>
        <family val="1"/>
      </rPr>
      <t>How acceptable our approach is to them, and</t>
    </r>
  </si>
  <si>
    <r>
      <t>4.</t>
    </r>
    <r>
      <rPr>
        <sz val="7"/>
        <rFont val="Times New Roman"/>
        <family val="1"/>
      </rPr>
      <t xml:space="preserve">      </t>
    </r>
    <r>
      <rPr>
        <sz val="10"/>
        <rFont val="Goudy Old Style"/>
        <family val="1"/>
      </rPr>
      <t>50% of respondents clearly understood the impact of the pricing options. The rest partially understood with feedback from some that they needed to understand the end retail impact.</t>
    </r>
  </si>
  <si>
    <r>
      <t>·</t>
    </r>
    <r>
      <rPr>
        <sz val="7"/>
        <rFont val="Times New Roman"/>
        <family val="1"/>
      </rPr>
      <t xml:space="preserve">         </t>
    </r>
    <r>
      <rPr>
        <sz val="10"/>
        <rFont val="Goudy Old Style"/>
        <family val="1"/>
      </rPr>
      <t>Adjusting peak periods to reflect current peak times within the network</t>
    </r>
  </si>
  <si>
    <r>
      <t>3.</t>
    </r>
    <r>
      <rPr>
        <sz val="7"/>
        <rFont val="Times New Roman"/>
        <family val="1"/>
      </rPr>
      <t xml:space="preserve">      </t>
    </r>
    <r>
      <rPr>
        <sz val="10"/>
        <rFont val="Goudy Old Style"/>
        <family val="1"/>
      </rPr>
      <t>If they understood the impact of the pricing options.</t>
    </r>
  </si>
  <si>
    <r>
      <t>·</t>
    </r>
    <r>
      <rPr>
        <sz val="7"/>
        <rFont val="Times New Roman"/>
        <family val="1"/>
      </rPr>
      <t xml:space="preserve">         </t>
    </r>
    <r>
      <rPr>
        <sz val="10"/>
        <rFont val="Goudy Old Style"/>
        <family val="1"/>
      </rPr>
      <t xml:space="preserve">Having excess KVAr (Power Factor) charges for customers in breach from 2021, and </t>
    </r>
  </si>
  <si>
    <r>
      <t>·</t>
    </r>
    <r>
      <rPr>
        <sz val="7"/>
        <rFont val="Times New Roman"/>
        <family val="1"/>
      </rPr>
      <t xml:space="preserve">         </t>
    </r>
    <r>
      <rPr>
        <sz val="10"/>
        <rFont val="Goudy Old Style"/>
        <family val="1"/>
      </rPr>
      <t>Having flat rate demand and energy charges, not declining block.</t>
    </r>
  </si>
  <si>
    <r>
      <t>1.</t>
    </r>
    <r>
      <rPr>
        <sz val="7"/>
        <rFont val="Times New Roman"/>
        <family val="1"/>
      </rPr>
      <t xml:space="preserve">      </t>
    </r>
    <r>
      <rPr>
        <sz val="10"/>
        <rFont val="Goudy Old Style"/>
        <family val="1"/>
      </rPr>
      <t>66% of customers selected SMS or the Power and Water App as their preferred option for unplanned outages.</t>
    </r>
  </si>
  <si>
    <t>Our forecasts reflect Power and Water’s current company structure and ownership arrangements.</t>
  </si>
  <si>
    <t xml:space="preserve">Our forecasts reflect Power and Water’s proposed new connections policy that complies with Chapter 5A of the NT NER. </t>
  </si>
  <si>
    <t xml:space="preserve">The cost escalations that Power and Water has applied in developing its forecasts are representative of the increased costs that we will incur in the next period.  </t>
  </si>
  <si>
    <t xml:space="preserve">Table 11 12 – Forecast opex – Base-Step-Trend 2019-20 to 2023-24 </t>
  </si>
  <si>
    <t>Number of Customers (#)</t>
  </si>
  <si>
    <t>Peak demand (MW)</t>
  </si>
  <si>
    <t>% change</t>
  </si>
  <si>
    <t>Period 1</t>
  </si>
  <si>
    <t>Period 2</t>
  </si>
  <si>
    <t>Alternative Control Services Metering Overview</t>
  </si>
  <si>
    <t>Table 2‑1 – Our proposed ACS Metering Service classification</t>
  </si>
  <si>
    <t>Table 1: CBA scenarios</t>
  </si>
  <si>
    <t>Network areas</t>
  </si>
  <si>
    <t>Darwin-Katherine</t>
  </si>
  <si>
    <t>Alice Springs</t>
  </si>
  <si>
    <t>Tennant Creek</t>
  </si>
  <si>
    <t>Metering capex</t>
  </si>
  <si>
    <t>Non-network capex</t>
  </si>
  <si>
    <t>Total ACS Metering Service capex</t>
  </si>
  <si>
    <t>Efficient Base Year</t>
  </si>
  <si>
    <t>$’000 Real 2018-19</t>
  </si>
  <si>
    <t>Productivity Growth</t>
  </si>
  <si>
    <t>Metering Dedicated CTs and VTs - Remote read</t>
  </si>
  <si>
    <t>Metering Dedicated CTs and VTs</t>
  </si>
  <si>
    <t>Net (Cost) / Benefit</t>
  </si>
  <si>
    <t>Price Growth Rate (%)</t>
  </si>
  <si>
    <t>Output Growth Rate (%)</t>
  </si>
  <si>
    <t>Productivity Growth Rate (%)</t>
  </si>
  <si>
    <t>Net Tax Allowance</t>
  </si>
  <si>
    <t>Revenue Adjustments</t>
  </si>
  <si>
    <t>Operating Expenditure</t>
  </si>
  <si>
    <t>Return of Capital</t>
  </si>
  <si>
    <t>Return on Capital</t>
  </si>
  <si>
    <t>Various</t>
  </si>
  <si>
    <t>Return on Asset</t>
  </si>
  <si>
    <t>Depreciation</t>
  </si>
  <si>
    <t>Ministerial Direction - Adjusted</t>
  </si>
  <si>
    <t>UC-NPD-PWC-NTRM.xls</t>
  </si>
  <si>
    <t>Ministerial Direction</t>
  </si>
  <si>
    <t>2014 NPD - NTRM - MODIFIED FOR TREASURERS FURTHER DIRECTION (June 2014).XLSM</t>
  </si>
  <si>
    <t>Working</t>
  </si>
  <si>
    <t>Return on Capital (MD)</t>
  </si>
  <si>
    <t>Step 1 | Annual Allowed Revenue ($million, $nominal, per year)</t>
  </si>
  <si>
    <t>UC Determination (SCS + ACS metering)</t>
  </si>
  <si>
    <t>PWC Proposal (SCS only)</t>
  </si>
  <si>
    <t>2014-19 Period</t>
  </si>
  <si>
    <t>2019-24 Period</t>
  </si>
  <si>
    <t>Smoothed Revenue - SCS only</t>
  </si>
  <si>
    <t>Step 3 | Determine Smoothed Revenue Forecasts Excluding ACS Metering ($million, $nominal, per year)</t>
  </si>
  <si>
    <t>UC Determination (SCS only)</t>
  </si>
  <si>
    <t>SCI 2017-18</t>
  </si>
  <si>
    <t>Note:</t>
  </si>
  <si>
    <t xml:space="preserve">Land includes expenditure related to real chattels (e.g. interests in land such as a lease) but excludes expenditure related personal chattels (e.g. furniture) that should be reported under non-network other expenditure.
An electricity easement is the right held by PWC to control the use of land near above-ground and underground power lines and substations.
</t>
  </si>
  <si>
    <t>Expenditure directly attributable to non-network buildings and property assets including: the replacement, installation, operation and maintenance of non-network buildings, fittings and fixtures.</t>
  </si>
  <si>
    <t>All non-network expenditure directly attributable to IT and communications assets including replacement, installation, operation, maintenance, licensing, and leasing costs but excluding all costs associated with SCADA and network control expenditure that exist beyond gateway devices (routers, bridges etc.) at corporate offices.</t>
  </si>
  <si>
    <t>Expenditure directly attributable to motor vehicles including:  purchase, replacement, operation and maintenance of motor vehicles assets registered for use on public roads, excluding mobile plant and equipment.</t>
  </si>
  <si>
    <t>Expenditure directly attributable to the replacement, installation, maintenance and operation of non-network assets, excluding motor vehicle assets, building and property assets and IT and communications assets</t>
  </si>
  <si>
    <t>Meters capable of providing credit or prepayment metering services via tokens.</t>
  </si>
  <si>
    <t>RAB indexation</t>
  </si>
  <si>
    <t>1 Jul 14 to 30 Jun 19</t>
  </si>
  <si>
    <t>1 Jul 13 to 30 Jun 19</t>
  </si>
  <si>
    <t>Values taken from the RFM</t>
  </si>
  <si>
    <t>Add customer contributions</t>
  </si>
  <si>
    <t>Plus net capex (without capcons)</t>
  </si>
  <si>
    <t>Check - PTRM - ARR</t>
  </si>
  <si>
    <t>Check - PTRM - Smoothed</t>
  </si>
  <si>
    <t>Total net capex (including Equity Raising)</t>
  </si>
  <si>
    <t>(1) Values hardcoded</t>
  </si>
  <si>
    <t>Less capital contributions</t>
  </si>
  <si>
    <t>Total gross capex (excluding Equity Raising)</t>
  </si>
  <si>
    <t>Total net capex (excluding Equity Raising)</t>
  </si>
  <si>
    <t>Connections capex 
(including customer contributions)</t>
  </si>
  <si>
    <t>Check - UC allowance</t>
  </si>
  <si>
    <t>Check - Actuals</t>
  </si>
  <si>
    <t>Table 13-4:  Proposed inflation forecast</t>
  </si>
  <si>
    <t>Financial year</t>
  </si>
  <si>
    <t>Average period</t>
  </si>
  <si>
    <t>Data source</t>
  </si>
  <si>
    <t>1 July 2009 – 30 June 2010</t>
  </si>
  <si>
    <t>RBA</t>
  </si>
  <si>
    <t>1 July 2010 – 30 June 2011</t>
  </si>
  <si>
    <t>1 July 2011 – 30 June 2012</t>
  </si>
  <si>
    <t>1 July 2012 – 30 June 2013</t>
  </si>
  <si>
    <t>1 July 2013 – 30 June 2014</t>
  </si>
  <si>
    <t>1 July 2014 – 30 June 2015</t>
  </si>
  <si>
    <t>1 July 2015 – 30 June 2016</t>
  </si>
  <si>
    <t>1 July 2016 – 30 June 2017</t>
  </si>
  <si>
    <r>
      <t>1 July 2017 – 31 August 2017</t>
    </r>
    <r>
      <rPr>
        <vertAlign val="superscript"/>
        <sz val="10"/>
        <color rgb="FF000000"/>
        <rFont val="Goudy Old Style"/>
        <family val="1"/>
      </rPr>
      <t>(a)</t>
    </r>
  </si>
  <si>
    <r>
      <t>1 – 30 June 2017</t>
    </r>
    <r>
      <rPr>
        <vertAlign val="superscript"/>
        <sz val="10"/>
        <color rgb="FF000000"/>
        <rFont val="Goudy Old Style"/>
        <family val="1"/>
      </rPr>
      <t>(b)</t>
    </r>
  </si>
  <si>
    <t>Simple average of RBA and Bloomberg</t>
  </si>
  <si>
    <t>Trailing average</t>
  </si>
  <si>
    <t>Table 13-3:  Return on debt trailing average</t>
  </si>
  <si>
    <t xml:space="preserve">Table 21 1 – 2019-20 for High Voltage Connected Customers with consumption above 750 MWh per year (excluding GST) </t>
  </si>
  <si>
    <t>$ Month per NMI</t>
  </si>
  <si>
    <t>$/kVA</t>
  </si>
  <si>
    <t>¢/kWh</t>
  </si>
  <si>
    <r>
      <t>peak</t>
    </r>
    <r>
      <rPr>
        <b/>
        <vertAlign val="superscript"/>
        <sz val="10"/>
        <color rgb="FFFFFFFF"/>
        <rFont val="Goudy Old Style"/>
        <family val="1"/>
      </rPr>
      <t>1</t>
    </r>
  </si>
  <si>
    <r>
      <t>off peak</t>
    </r>
    <r>
      <rPr>
        <b/>
        <vertAlign val="superscript"/>
        <sz val="10"/>
        <color rgb="FFFFFFFF"/>
        <rFont val="Goudy Old Style"/>
        <family val="1"/>
      </rPr>
      <t>1</t>
    </r>
  </si>
  <si>
    <t>System Availability Charge</t>
  </si>
  <si>
    <t>Plus charges related to monthly demand</t>
  </si>
  <si>
    <t>Plus charges related to energy metered</t>
  </si>
  <si>
    <t>Table 21 2 – 2019-20 for Low Voltage Connected Customers with consumption above 750 MWh per year (excluding GST)</t>
  </si>
  <si>
    <t>$ month per NMI</t>
  </si>
  <si>
    <t>Energy Charges</t>
  </si>
  <si>
    <t>(¢/kWh)</t>
  </si>
  <si>
    <t>LV Smart Meter</t>
  </si>
  <si>
    <t>Unmetered Supply</t>
  </si>
  <si>
    <t>($/W)</t>
  </si>
  <si>
    <t>Demand Charges</t>
  </si>
  <si>
    <t>($/kVA)</t>
  </si>
  <si>
    <t xml:space="preserve">kVar Charge </t>
  </si>
  <si>
    <t>($kVar)</t>
  </si>
  <si>
    <t>&gt;40 MWh HV</t>
  </si>
  <si>
    <t>Table 21 3 – 2019-20 Customers with consumption below 750 MWh per year (excluding GST)</t>
  </si>
  <si>
    <t>Table 21 4 – ACS Metering Tariffs (excluding GST)</t>
  </si>
  <si>
    <t xml:space="preserve">Customer Type </t>
  </si>
  <si>
    <r>
      <t>Network Bill</t>
    </r>
    <r>
      <rPr>
        <b/>
        <vertAlign val="superscript"/>
        <sz val="10"/>
        <color rgb="FFFFFFFF"/>
        <rFont val="Goudy Old Style"/>
        <family val="1"/>
      </rPr>
      <t>+</t>
    </r>
  </si>
  <si>
    <t>Bill Movement</t>
  </si>
  <si>
    <t>2018-19*</t>
  </si>
  <si>
    <t>Industrial #
(1,000,000 kWh pa)</t>
  </si>
  <si>
    <t>Revenue adjustments</t>
  </si>
  <si>
    <t>Days per year</t>
  </si>
  <si>
    <t>* Leap year</t>
  </si>
  <si>
    <t>2019-20*</t>
  </si>
  <si>
    <t>2023-24*</t>
  </si>
  <si>
    <t>(¢/day)</t>
  </si>
  <si>
    <t xml:space="preserve">As a result of the regulatory framework used for the 2009-14 Regulatory Period, the UC did not explicitly set an capital expenditure allowance for the period.
Under 2009-14 regulatory regime the UC established PO required revenue to which it applied a X factor derived using a Total Factor Productivity (TFP) approach. See page 43 of the 2009 determination. 
</t>
  </si>
  <si>
    <t>Metering share of revenue</t>
  </si>
  <si>
    <t>2014-19 average:</t>
  </si>
  <si>
    <t>2019-24 average:</t>
  </si>
  <si>
    <t>Difference:</t>
  </si>
  <si>
    <t>Return on Debt Transition Attachment</t>
  </si>
  <si>
    <t>Establishing the Opening RAB Attachment</t>
  </si>
  <si>
    <t>Establishing the Opening TAB Attachment</t>
  </si>
  <si>
    <t>Distribution Lines</t>
  </si>
  <si>
    <t>Transmission Lines</t>
  </si>
  <si>
    <t>LV Services</t>
  </si>
  <si>
    <t>Distribution Substations</t>
  </si>
  <si>
    <t>Distribution Switchgear</t>
  </si>
  <si>
    <t>Land and Easements</t>
  </si>
  <si>
    <t>Plants and Equipment</t>
  </si>
  <si>
    <t>Metering Non-Network Other</t>
  </si>
  <si>
    <t>Table 2.1: Proposed RAB asset classes and associated definitions</t>
  </si>
  <si>
    <t>Table 2.2: High level impact of remapping from original asset classes to new asset classes</t>
  </si>
  <si>
    <t>Original RAB Asset Class – UC Final Decision</t>
  </si>
  <si>
    <t>Impacted Proposed RAB Asset Classes</t>
  </si>
  <si>
    <t>Transmission terminal station</t>
  </si>
  <si>
    <t>Substations, Distribution switchgear, Protection, SCADA, Communications</t>
  </si>
  <si>
    <t>Zone substation and Major Switching Stations</t>
  </si>
  <si>
    <t>Substations, Protection, SCADA</t>
  </si>
  <si>
    <t>Secondary systems - Control, communications &amp; Protection</t>
  </si>
  <si>
    <t>Substations, Protection, SCADA, Communications</t>
  </si>
  <si>
    <t>Non-network - IT and Communications Capex</t>
  </si>
  <si>
    <t>Substations, IT and Communications, Plant and equipment</t>
  </si>
  <si>
    <t>Non-network - Plant &amp; Equipment</t>
  </si>
  <si>
    <t>Distribution lines, Distribution substations, Property, Motor vehicles, Plant and equipment</t>
  </si>
  <si>
    <t>Mechanical meters, Electronic meters</t>
  </si>
  <si>
    <t>Distribution mains</t>
  </si>
  <si>
    <t>Substations, Distribution lines, Transmission lines, LV services, Distribution substations, Distribution switchgear</t>
  </si>
  <si>
    <t>Land</t>
  </si>
  <si>
    <t>Table 2.3: Optimised depreciated replacement cost by proposed asset class</t>
  </si>
  <si>
    <t>A$k as at 30 June 2013</t>
  </si>
  <si>
    <t>Original 2013 Valuation</t>
  </si>
  <si>
    <t>Adjustment</t>
  </si>
  <si>
    <t>Updated 2017 Valuation</t>
  </si>
  <si>
    <t>-</t>
  </si>
  <si>
    <t>Metering Non-Network IT &amp; Communications</t>
  </si>
  <si>
    <t>Total RAB Asset class</t>
  </si>
  <si>
    <t>System Capex - Network</t>
  </si>
  <si>
    <t>Non System Capex </t>
  </si>
  <si>
    <t>SKM Worksheet</t>
  </si>
  <si>
    <t>Asset value</t>
  </si>
  <si>
    <t>Zone substation details</t>
  </si>
  <si>
    <t>Zone substation Switchyard Infrastructure &amp; Protection Asset details</t>
  </si>
  <si>
    <t>Zone substation Establishment details</t>
  </si>
  <si>
    <t>Terminal station details</t>
  </si>
  <si>
    <t>Terminal Substation Switchyard Infrastructure &amp; Protection Asset details</t>
  </si>
  <si>
    <t>Terminal Substation Establishment details</t>
  </si>
  <si>
    <t>Transmission Overhead Lines details</t>
  </si>
  <si>
    <t>Transmission Underground details</t>
  </si>
  <si>
    <t>Distribution Transformers details</t>
  </si>
  <si>
    <t>Distribution Overhead Lines details</t>
  </si>
  <si>
    <t>Distribution Underground Lines details</t>
  </si>
  <si>
    <t>Cable Tunnel details</t>
  </si>
  <si>
    <t>Distribution Equipment details</t>
  </si>
  <si>
    <t>Communications &amp; SCADA</t>
  </si>
  <si>
    <t>Services</t>
  </si>
  <si>
    <t>Metering details</t>
  </si>
  <si>
    <t>Strategic Spares details</t>
  </si>
  <si>
    <t>Land Valuation details</t>
  </si>
  <si>
    <t>Non Network – IT &amp; Communications</t>
  </si>
  <si>
    <t>Non Network - Plant &amp; Equipment</t>
  </si>
  <si>
    <t>Work in Progress</t>
  </si>
  <si>
    <t>Total RAB Asset Class</t>
  </si>
  <si>
    <t>Table 2.4: Mapping of SKM asset categories to our proposed asset classes</t>
  </si>
  <si>
    <t>Table 3.1: Remaining and standard lives by new asset class as at 30 June 2013</t>
  </si>
  <si>
    <t>UC Asset Class</t>
  </si>
  <si>
    <t>Standard life (Years)</t>
  </si>
  <si>
    <t>Asset age (Years)</t>
  </si>
  <si>
    <t>Remaining life (Years)</t>
  </si>
  <si>
    <t>(a) The asset lives are expressed at an aggregated level for each asset classes.</t>
  </si>
  <si>
    <t>A$ as at 30 June 2013</t>
  </si>
  <si>
    <t>Non System Capex</t>
  </si>
  <si>
    <t>Old RAB asset class</t>
  </si>
  <si>
    <t>Weighted Average Life</t>
  </si>
  <si>
    <t>Weighted Average Age</t>
  </si>
  <si>
    <t>Weighted Average Remaining Years</t>
  </si>
  <si>
    <t>Table 3.3: Calculation of asset lives by proposed asset class as at 30 June 2013</t>
  </si>
  <si>
    <t>Table 3.4: Standard asset lives as at 30 June 2013 for ACS metering asset classes</t>
  </si>
  <si>
    <t>Proposed RAB Asset Classes</t>
  </si>
  <si>
    <t>Rationale</t>
  </si>
  <si>
    <t>Standard life</t>
  </si>
  <si>
    <t>SKM Model Metering standard life – RAB allocation method</t>
  </si>
  <si>
    <t>Aligns with past AER decisions, information from PWC’s current supplier and information from potential future suppliers</t>
  </si>
  <si>
    <t>Based on Secure inboard modems, and on the practical experience of the Intercell company with respect to their modems</t>
  </si>
  <si>
    <t>Metering non-network other</t>
  </si>
  <si>
    <t>Based on the combination of property, fleet, equipment and other standard lives</t>
  </si>
  <si>
    <t>Metering non-network IT &amp; communications</t>
  </si>
  <si>
    <t>PWC uses a public communications carrier for its ‘comms network’. The standard life represents the average life of 3G or 4G network equivalents</t>
  </si>
  <si>
    <t>Plant and Equipment</t>
  </si>
  <si>
    <t>Sub-total SCS TAB</t>
  </si>
  <si>
    <t>Total TAB</t>
  </si>
  <si>
    <t>Sub-total ACS metering TAB</t>
  </si>
  <si>
    <t>Ratio</t>
  </si>
  <si>
    <t>AGN (Albury)</t>
  </si>
  <si>
    <t>Multinet</t>
  </si>
  <si>
    <t>AGN (VIC)</t>
  </si>
  <si>
    <t>Energex</t>
  </si>
  <si>
    <t>United Energy</t>
  </si>
  <si>
    <t>AGN (SA)</t>
  </si>
  <si>
    <t>TransGrid</t>
  </si>
  <si>
    <t>Ergon</t>
  </si>
  <si>
    <t>AusNet Services</t>
  </si>
  <si>
    <t>SA Power Networks</t>
  </si>
  <si>
    <t>CitiPower</t>
  </si>
  <si>
    <t>Powercor</t>
  </si>
  <si>
    <t>Directlink</t>
  </si>
  <si>
    <t>Essential Energy</t>
  </si>
  <si>
    <t>TasNetworks</t>
  </si>
  <si>
    <t>Endeavour</t>
  </si>
  <si>
    <t>Decision</t>
  </si>
  <si>
    <t>A$m, in dollars as per decision</t>
  </si>
  <si>
    <t>2014-19</t>
  </si>
  <si>
    <t>2016-21</t>
  </si>
  <si>
    <t>ActewAGL (Gas)</t>
  </si>
  <si>
    <t>Ausgrid (Distribution)</t>
  </si>
  <si>
    <t>Ausgrid (Transmission)</t>
  </si>
  <si>
    <t>ActewAGL (Distribution)</t>
  </si>
  <si>
    <t>ActewAGL (Transmission)</t>
  </si>
  <si>
    <t>Jemena (Gas)</t>
  </si>
  <si>
    <t>Jemena (Electricity)</t>
  </si>
  <si>
    <t>2016-20</t>
  </si>
  <si>
    <t>2013-17</t>
  </si>
  <si>
    <t>2015-20</t>
  </si>
  <si>
    <t>TAB asset class (SCS and ACS Metering)</t>
  </si>
  <si>
    <t>TAB contribution (%)</t>
  </si>
  <si>
    <t>RAB contribution (%)</t>
  </si>
  <si>
    <t>Difference (%)</t>
  </si>
  <si>
    <t>Comment</t>
  </si>
  <si>
    <t>Date placed in service</t>
  </si>
  <si>
    <t>Linked directly from the tax asset register</t>
  </si>
  <si>
    <t>Days is service up to 30 June 2014</t>
  </si>
  <si>
    <t>Years in service up to 30 June 2014</t>
  </si>
  <si>
    <t>Calculated based on Days is service up to 30 June 2014 divided by 365 days</t>
  </si>
  <si>
    <t>LU Match Criteria</t>
  </si>
  <si>
    <t>A column calculating the row applicable for where the description field is located in the unique list of description categories with TAB asset class and ATO lives allocated.</t>
  </si>
  <si>
    <t>Calculated based on the valuation date less the data placed in service.
The valuation date is an assumption in cell L1 which is set to 30 June 2014.</t>
  </si>
  <si>
    <t>Calculation element</t>
  </si>
  <si>
    <t>Asset number</t>
  </si>
  <si>
    <t>TAB asset class</t>
  </si>
  <si>
    <t>Calculated based on the LU Match Criteria and the allocation made in “LU_Desc_ATO”</t>
  </si>
  <si>
    <t>Closing balance TAB – 30 June 2014</t>
  </si>
  <si>
    <t>Linked directly from the applied ATO tax lives shown in column H of the ‘LU_Desc_ATO’ sheet</t>
  </si>
  <si>
    <t>Remaining life</t>
  </si>
  <si>
    <t>A written down value (WDV) calculation with the following logic:
·      If the remaining life for the asset is zero , then the closing balance is set to zero;
·      If the standard life is ‘n/a’, then the closing balance is set to the historical cost;
·      Otherwise, the WDV of the asset is calculated based on asset cost [Historical Cost, column G of “Input_TAR”] minus (asset cost / standard life x Years in Service up to 30 June 2014).
This approach assumes straight-line accumulated depreciation – or the prime cost method – based on ATO asset lives and years of service.</t>
  </si>
  <si>
    <t>A calculation based on Standard life less Years in service up to 30 June 2014.
If the Years in service up to 30 June 2014 is greater than the Standard life value the formula avoids negative Remaining lives by setting the value to zero.
The remaining life is set to ‘n/a’ where the standard life is ‘n/a’</t>
  </si>
  <si>
    <t>Table 3.1: Remaining and standard lives by new asset class as at 30 June 2014</t>
  </si>
  <si>
    <t>Table 2.3: Opening TAB values for standard control services as at 30 June 2014</t>
  </si>
  <si>
    <t>Table 2.2: Description of the calculation of TAB opening values</t>
  </si>
  <si>
    <t>Table 2.4: Comparison of TAB to RAB ratios by peer network</t>
  </si>
  <si>
    <t>Table 2.5: Difference between TAB and RAB contributions by asset class</t>
  </si>
  <si>
    <t>Tariff Structure Statement</t>
  </si>
  <si>
    <t xml:space="preserve">Figure 1 – AER service classification </t>
  </si>
  <si>
    <t>Table 1 Service classification comparison across regulatory control periods</t>
  </si>
  <si>
    <t>Figure 2 – Our role in your energy supply</t>
  </si>
  <si>
    <t xml:space="preserve">Table 2 Proposed tariff classes  </t>
  </si>
  <si>
    <t>Tariff class</t>
  </si>
  <si>
    <t>Description of tariffs</t>
  </si>
  <si>
    <t>LV &lt;750 MWh</t>
  </si>
  <si>
    <t>LV &gt;750 MWh</t>
  </si>
  <si>
    <t>HV</t>
  </si>
  <si>
    <t>Table 3 Low Voltage &lt;750 MWh charging parameters</t>
  </si>
  <si>
    <t xml:space="preserve">Tariff </t>
  </si>
  <si>
    <t>SAC c/day</t>
  </si>
  <si>
    <t>Peak Demand $kVa</t>
  </si>
  <si>
    <t>Off Peak Demand $kVa</t>
  </si>
  <si>
    <t>$/W</t>
  </si>
  <si>
    <t xml:space="preserve">1. Residential </t>
  </si>
  <si>
    <t>×</t>
  </si>
  <si>
    <t>2. Non-residential</t>
  </si>
  <si>
    <t>3. LV Smart Meter</t>
  </si>
  <si>
    <t>4a. Unmetered Streetlights</t>
  </si>
  <si>
    <t>4b. Unmetered Traffic Lights</t>
  </si>
  <si>
    <t>Table 4 LV &gt;750 MWh charging parameters</t>
  </si>
  <si>
    <t>Tariff</t>
  </si>
  <si>
    <t>SAC $/month</t>
  </si>
  <si>
    <t>Anytime kWh c/kwh</t>
  </si>
  <si>
    <t>Peak Energy c/kwh</t>
  </si>
  <si>
    <t>Off Peak Energy c/kwh</t>
  </si>
  <si>
    <t>kVAr $kVAr</t>
  </si>
  <si>
    <t>Table 5 HV Charging Parameters</t>
  </si>
  <si>
    <t>HV &gt;750 MWh</t>
  </si>
  <si>
    <t>Table 6 Stand-alone and avoidable cost</t>
  </si>
  <si>
    <t>Revenue and cost measures</t>
  </si>
  <si>
    <t>LV&lt; 750 MWh</t>
  </si>
  <si>
    <t>LV&gt;750 MWh</t>
  </si>
  <si>
    <t>Stand-alone cost</t>
  </si>
  <si>
    <t>2019/20 tariff revenues</t>
  </si>
  <si>
    <t>Avoidable cost</t>
  </si>
  <si>
    <t>Table 7 Long-run marginal cost estimates</t>
  </si>
  <si>
    <t>LRMC</t>
  </si>
  <si>
    <t xml:space="preserve">LV&lt; 750 MWh </t>
  </si>
  <si>
    <t>Basis of charging</t>
  </si>
  <si>
    <t>Indicative
2019-20 charge</t>
  </si>
  <si>
    <t>1 Phase Meters (including Prepayment)</t>
  </si>
  <si>
    <t>3 Phase Meters</t>
  </si>
  <si>
    <t>Per Meter Charges $/day ($nominal)</t>
  </si>
  <si>
    <t>$/day</t>
  </si>
  <si>
    <t>Meter service</t>
  </si>
  <si>
    <t>$/kVA per month</t>
  </si>
  <si>
    <t>$/hour</t>
  </si>
  <si>
    <t>Table 21 5 – Movement in customers’ network bills 2018-19 to 2019-20 (excluding GST)</t>
  </si>
  <si>
    <t>Check - Capex forecast</t>
  </si>
  <si>
    <t>A-BNI 15</t>
  </si>
  <si>
    <t>Non-Network Other</t>
  </si>
  <si>
    <t xml:space="preserve">Figure 9 1 – System-wide maximum demand and energy consumption forecasts, 2014-15 to 2023-24 </t>
  </si>
  <si>
    <t xml:space="preserve">Figure 9 2 – Customer connection forecast, 2014-15 to 2023-24 </t>
  </si>
  <si>
    <t>Graph Data</t>
  </si>
  <si>
    <t>Check - Consumption</t>
  </si>
  <si>
    <t>Customers</t>
  </si>
  <si>
    <t>GSL payments ($)</t>
  </si>
  <si>
    <t>Note: excludes the balancing item reported in the RIN</t>
  </si>
  <si>
    <t>$/request</t>
  </si>
  <si>
    <t>Table 13 Quoted services (excluding GST)</t>
  </si>
  <si>
    <t xml:space="preserve">Table 14 ACS Metering Tariffs </t>
  </si>
  <si>
    <t>Tariff Structure Statement Overview</t>
  </si>
  <si>
    <t>Customers consuming &gt;750MWh pa connected to the LV network</t>
  </si>
  <si>
    <t>Consumption</t>
  </si>
  <si>
    <t>Access</t>
  </si>
  <si>
    <t>Energy</t>
  </si>
  <si>
    <t>Demand*</t>
  </si>
  <si>
    <t>Power factor</t>
  </si>
  <si>
    <t>LV &lt;750MWh pa</t>
  </si>
  <si>
    <t>Residential Accumulation Meter</t>
  </si>
  <si>
    <t>Flat</t>
  </si>
  <si>
    <t>Non-residential Accumulation Meter</t>
  </si>
  <si>
    <t>Smart Meter LV</t>
  </si>
  <si>
    <t>0-750MWh pa</t>
  </si>
  <si>
    <t>Excess kVAr</t>
  </si>
  <si>
    <t xml:space="preserve">Unmetered </t>
  </si>
  <si>
    <t xml:space="preserve">LV &gt;750MWh pa </t>
  </si>
  <si>
    <t>&gt;750MWh pa</t>
  </si>
  <si>
    <t>Large commercial customers or those with unique characteristics will be offered an individually calculated tariff.</t>
  </si>
  <si>
    <t xml:space="preserve"> </t>
  </si>
  <si>
    <t>anytime</t>
  </si>
  <si>
    <t>Comparator networks (A$M as per determination)</t>
  </si>
  <si>
    <t>PowerWater (A$M, as at 30 June 2014, $nominal)</t>
  </si>
  <si>
    <t>Check - Connection capex</t>
  </si>
  <si>
    <t>Note: values include real input cost escalation</t>
  </si>
  <si>
    <t>Type 1 to 6 metering services</t>
  </si>
  <si>
    <t>Scenario (NPV, $m, Real $2018, mid-year, RY18 to RY57)</t>
  </si>
  <si>
    <t xml:space="preserve">Table 5 1 – AEMO customer connection forecasts, 2019-20 to 2023-24 </t>
  </si>
  <si>
    <t xml:space="preserve">Table 5 2 – Forecast Metering Service capex 2019-20 to 2023-24 </t>
  </si>
  <si>
    <t xml:space="preserve">Table 5 3 – Forecast opex – Base-Step-Trend 2019-20 to 2023-24 </t>
  </si>
  <si>
    <t xml:space="preserve">Table 5 4 – Forecast base year opex 2019-20 to 2023-24 </t>
  </si>
  <si>
    <t>Table 5 5 – Forecast step changes 2019-20 to 2023-24</t>
  </si>
  <si>
    <t xml:space="preserve">Table 5 8 – Forecast productivity 2019-20 to 2023-24 </t>
  </si>
  <si>
    <t>Table 5 9 – Opening and closing ACS Metering Services RAB for 2019-20 to 2023-24</t>
  </si>
  <si>
    <t xml:space="preserve">Table 5 10:  Forecast ACS Metering Services regulatory depreciation for 2019-20 to 2023-24 </t>
  </si>
  <si>
    <t>Table 5 11:  Forecast ACS debt and equity raising costs 2019-20 to 2023-24</t>
  </si>
  <si>
    <t xml:space="preserve">Table 5 12 – Forecast estimated cost of corporate income tax 2019-20 to 2023-24 </t>
  </si>
  <si>
    <t>Table 6 1 – ACS Metering Services total revenue requirement 2019-20 to 2023-24</t>
  </si>
  <si>
    <t>Table 7 1 – ACS Metering Tariffs (excluding GST)</t>
  </si>
  <si>
    <t>Figure 5.1 – Existing meter fleet age profile</t>
  </si>
  <si>
    <t>Table 7 2 – ACS metering customer requested fee-based charges(excluding GST)</t>
  </si>
  <si>
    <t>Indicative charge</t>
  </si>
  <si>
    <t>Charge</t>
  </si>
  <si>
    <t>Time period</t>
  </si>
  <si>
    <t>Total net capex</t>
  </si>
  <si>
    <t>Net capex (gross capex less capital contributions and asset disposals)</t>
  </si>
  <si>
    <r>
      <rPr>
        <i/>
        <sz val="10"/>
        <rFont val="Goudy Old Style"/>
        <family val="1"/>
      </rPr>
      <t>Less</t>
    </r>
    <r>
      <rPr>
        <sz val="10"/>
        <rFont val="Goudy Old Style"/>
        <family val="1"/>
      </rPr>
      <t xml:space="preserve"> capital contributions</t>
    </r>
  </si>
  <si>
    <r>
      <rPr>
        <i/>
        <sz val="10"/>
        <rFont val="Goudy Old Style"/>
        <family val="1"/>
      </rPr>
      <t>Less</t>
    </r>
    <r>
      <rPr>
        <sz val="10"/>
        <rFont val="Goudy Old Style"/>
        <family val="1"/>
      </rPr>
      <t xml:space="preserve"> asset disposals</t>
    </r>
  </si>
  <si>
    <t>Check - gross - CA RIN / chapter 10</t>
  </si>
  <si>
    <t>Check - net capex - chapter 10</t>
  </si>
  <si>
    <t>UC</t>
  </si>
  <si>
    <t>Proposal</t>
  </si>
  <si>
    <t>Difference ($)</t>
  </si>
  <si>
    <t>Return on capital (incl tax)</t>
  </si>
  <si>
    <t>Five year total</t>
  </si>
  <si>
    <t>Avg. pa</t>
  </si>
  <si>
    <t>Comparison to UC allowance</t>
  </si>
  <si>
    <t>Updated SKM model asset lives (as per Table 3.2)</t>
  </si>
  <si>
    <t>Table 3.2: Asset lives used in the updated SKM model as at 30 June 2013</t>
  </si>
  <si>
    <t>Figure 3.1: Prevailing versus trailing average return on debt</t>
  </si>
  <si>
    <t>Figure 2.2: Stylised example 2 – trailing average approach to setting the return on debt allowance</t>
  </si>
  <si>
    <t>Figure 2.1: Stylised example 1 – on-the-day approach to setting the return on debt allowance</t>
  </si>
  <si>
    <t>Check - Consistency (unescalated)</t>
  </si>
  <si>
    <t>Check - Consistency (escalated)</t>
  </si>
  <si>
    <t>Total unescalated</t>
  </si>
  <si>
    <t>Total escalated</t>
  </si>
  <si>
    <t>Check - Escalated</t>
  </si>
  <si>
    <t>$M</t>
  </si>
  <si>
    <t>UC Determination (excluding debt raising and any carryover amounts)</t>
  </si>
  <si>
    <t>Adjusted UC Determination (excluding debt raising and any carryover amounts)</t>
  </si>
  <si>
    <t>Actual / Estimated (excluding debt raising)</t>
  </si>
  <si>
    <t>Table 19 1 – Fee-based services</t>
  </si>
  <si>
    <t>Fee-based service</t>
  </si>
  <si>
    <t>Service Description</t>
  </si>
  <si>
    <t>Connections Services</t>
  </si>
  <si>
    <t xml:space="preserve">Meter Servicing </t>
  </si>
  <si>
    <t>Non-standard data services</t>
  </si>
  <si>
    <t>Table 19 2 – Quoted services</t>
  </si>
  <si>
    <t>Quoted service</t>
  </si>
  <si>
    <t>$/kVar</t>
  </si>
  <si>
    <t>Plus charges related to excess Kvar</t>
  </si>
  <si>
    <t>Table 10 2 – Key capex assumptions</t>
  </si>
  <si>
    <t>Table 10 3 – Forecasting methods applied to capex categories</t>
  </si>
  <si>
    <t xml:space="preserve">Table 10 4 – Forecast capex 2019-20 to 2023-24 </t>
  </si>
  <si>
    <t xml:space="preserve">Table 10 6 – Breakdown of forecast Repex 2019-20 to 2023-24 </t>
  </si>
  <si>
    <t>Condition and risk driven</t>
  </si>
  <si>
    <t>Compliance driven</t>
  </si>
  <si>
    <t>Reliability &amp; Quality of Supply driven</t>
  </si>
  <si>
    <t>Total Repex</t>
  </si>
  <si>
    <t xml:space="preserve">Table 10 7 – Forecast augmentation capex 2019-20 to 2023-24 </t>
  </si>
  <si>
    <t>Load driven</t>
  </si>
  <si>
    <t xml:space="preserve">Table 10 9 – Forecast connections capex including customer contributions 2019-20 to 2023-24 </t>
  </si>
  <si>
    <t xml:space="preserve">Table 10 10 – Forecast Non-Network ICT capex 2019-20 to 2023-24 </t>
  </si>
  <si>
    <t xml:space="preserve">Table 10 8 – Breakdown of forecast Augex 2019-20 to 2023-24  </t>
  </si>
  <si>
    <t xml:space="preserve">Table 10 11 – Breakdown of forecast Non-network ICT capex 2019-20 to 2023-24 </t>
  </si>
  <si>
    <t>Table 10 12 – Forecast Non-network Other capex 2019-20 to 2023-24</t>
  </si>
  <si>
    <t>Table 10 13 – Forecast capitalised overheads 2019-20 to 2023-24</t>
  </si>
  <si>
    <t>Our opex forecasts will maintain, but will not improve, our security of supply and network reliability, consistent with clause 6.5.7 of the NT NER.</t>
  </si>
  <si>
    <t xml:space="preserve">Table 11 5 – Forecast step changes 2019-20 to 2023-24 </t>
  </si>
  <si>
    <t>%, Real</t>
  </si>
  <si>
    <t xml:space="preserve">Table 11 6 – Forecast price growth 2019-20 to 2023-24 </t>
  </si>
  <si>
    <t xml:space="preserve">Table 11 7 – Forecast output growth 2019-20 to 2023-24 </t>
  </si>
  <si>
    <t xml:space="preserve">Table 11 8 – Forecast productivity 2019-20 to 2023-24 </t>
  </si>
  <si>
    <t xml:space="preserve">Table 11 10 – Forecast debt raising costs 2019-20 to 2023-24 </t>
  </si>
  <si>
    <t>Table 11 9 – DMIA</t>
  </si>
  <si>
    <t>Table 13-4:  Forecast SCS debt and equity raising costs 2019-20 to 2023-24</t>
  </si>
  <si>
    <t xml:space="preserve">Figure 17.1 – SCS revenue requirement for 2019-24 compared Utilities Commission’s allowance for 2014-19 </t>
  </si>
  <si>
    <t>Gross Connections capex (excluding gifted assets and cash contributions)</t>
  </si>
  <si>
    <t>Gross Connections capex (including gifted assets and excluding cash contributions)</t>
  </si>
  <si>
    <t>Check - Forecast</t>
  </si>
  <si>
    <t>Cash Contributions</t>
  </si>
  <si>
    <t>Table 1.3 – Gross connection capex (incl Gifted Assets) - 2014-15 to 2018-19</t>
  </si>
  <si>
    <t>Table 1.2 – Cash contribution forecast - 2019-20 to 2023-24</t>
  </si>
  <si>
    <t>Table 1.1 – Gross connection capex forecast - 2019-20 to 2023-24</t>
  </si>
  <si>
    <t>Actual / Forecast</t>
  </si>
  <si>
    <t>Variance</t>
  </si>
  <si>
    <t>PWC Revised Proposal</t>
  </si>
  <si>
    <t>Adjustment made in UC Determination</t>
  </si>
  <si>
    <t>&lt;= Table 9.6, UC Final Decision</t>
  </si>
  <si>
    <t>&lt;= Table 9.7, UC Final Decision</t>
  </si>
  <si>
    <t>Table 1.4 – Gross connection capex (excl Gifted Assets) - 2014-15 to 2018-19</t>
  </si>
  <si>
    <t>$M, Real 2013-14, Capital contributions</t>
  </si>
  <si>
    <t>&lt;= Table 9.1, PWC Revised Proposal</t>
  </si>
  <si>
    <t>Cash contributions</t>
  </si>
  <si>
    <t>Contributed assets</t>
  </si>
  <si>
    <t>Total capital contributions</t>
  </si>
  <si>
    <t>$M, Real 2013-14, User Initiated Capex (excluding Gifted Assets)</t>
  </si>
  <si>
    <t>&lt;= Values may not add due to rounding, but match those in the UC's Final Determination NTRM</t>
  </si>
  <si>
    <t>$M, Real 2018-19, unescalated</t>
  </si>
  <si>
    <t>Services:</t>
  </si>
  <si>
    <t>IP12</t>
  </si>
  <si>
    <t>Check - RAB</t>
  </si>
  <si>
    <t>Check - Net capex</t>
  </si>
  <si>
    <t>(2) Demand and consumption forecasts for 2017-18 onwards were prepared before 2016-17 actuals were known</t>
  </si>
  <si>
    <t>(1) Connection number forecasts for 2017-18 onwards were prepared before 2016-17 actuals were known</t>
  </si>
  <si>
    <t>Figure 10 1 – Historical and forecast capex – Real 2018-19</t>
  </si>
  <si>
    <t>Figure 10.2 – Forecast replacement capex 2019-20 to 2023-24 – Real 2018-19</t>
  </si>
  <si>
    <t>Figure 10.3 – Forecast augmentation capex 2019-20 to 2023-24 – Real 2018-19</t>
  </si>
  <si>
    <t>Figure 10 4 – Forecast connections capex and customer contributions 2019-20 to 2023-24 – Real 2018-19</t>
  </si>
  <si>
    <t>Figure 10 5 – Forecast Non-Network ICT capex 2019-20 to 2023-24 – Real 2018-19</t>
  </si>
  <si>
    <t>Figure 11 1 – Historical and forecast opex – Real 2018-19</t>
  </si>
  <si>
    <t>Figure 11.2: Forecast period opex – Real 2018-19</t>
  </si>
  <si>
    <t>Total (incl. Debt Raising Costs)</t>
  </si>
  <si>
    <t>Customer Overview</t>
  </si>
  <si>
    <t>(1) Maximum demand is the coincident weather adjusted system annual maximum demand at the 50% POE level at zone substation</t>
  </si>
  <si>
    <t>(2) Actual customer numbers for 2014-15 to 2016-17 are the values provided to AEMO to prepare its forecast - this may differ from the values reporting in the EB RIN templates</t>
  </si>
  <si>
    <t>Check - Cross-reference</t>
  </si>
  <si>
    <t>&lt;- Excludes gifted assets and balancing item</t>
  </si>
  <si>
    <t>Capex overview</t>
  </si>
  <si>
    <t>Table 5 2 – Typical network bill impacts 2013-14 to 2016-17 (excluding GST)</t>
  </si>
  <si>
    <t>Table 5 3 – SAIDI 2014-15 to 2016-17</t>
  </si>
  <si>
    <t>Table 5 4 – SAIFI 2014-15 to 2016-17</t>
  </si>
  <si>
    <t>Table 5 5 – Other Customer performance measures 2014-15 to 2016-17</t>
  </si>
  <si>
    <t>HV &lt;750 MWh</t>
  </si>
  <si>
    <t>Unmetered Supply 12hr operation</t>
  </si>
  <si>
    <t>Unmetered Supply 12-24hr operation</t>
  </si>
  <si>
    <t>×*</t>
  </si>
  <si>
    <t>Table 10 LV &gt;750 MWh per annum indicative tariffs (2019-20)</t>
  </si>
  <si>
    <t>Table 12 Fee-based services</t>
  </si>
  <si>
    <t>Table 11 HV &gt;750 MWh per annum indicative tariffs (2019-20)</t>
  </si>
  <si>
    <t>Table 8 – Movement in customers’ network bills 2018-19 to 2019-20</t>
  </si>
  <si>
    <t>Indicative 2019-20 charge</t>
  </si>
  <si>
    <t>Metering service provision charges (for Types 1 – 6 meters)</t>
  </si>
  <si>
    <t>Table 15 Customer requested fee-based meter-related services</t>
  </si>
  <si>
    <t>Table 16 Customers consuming less than 750MWh per annum indicative tariffs</t>
  </si>
  <si>
    <t>Table 17 Low Voltage &gt;750 MWh Indicative tariffs</t>
  </si>
  <si>
    <t>Table 18 High Voltage &gt;750 MWh Indicative tariffs</t>
  </si>
  <si>
    <t>Table 19 Indicative ACS Metering tariffs</t>
  </si>
  <si>
    <t>Table 20 Customer requested fee-based meter-related services</t>
  </si>
  <si>
    <t>Table 21 Indicative fee-based service charges</t>
  </si>
  <si>
    <t>Table 22 Indicative quoted service charges</t>
  </si>
  <si>
    <t>Notes: *Demand charges are measured as maximum kVA per month in the peak window from 12 noon to 9:00pm on weekdays.</t>
  </si>
  <si>
    <r>
      <t>$/kVA
peak</t>
    </r>
    <r>
      <rPr>
        <b/>
        <vertAlign val="superscript"/>
        <sz val="10"/>
        <rFont val="Goudy Old Style"/>
        <family val="1"/>
      </rPr>
      <t>2</t>
    </r>
  </si>
  <si>
    <r>
      <t>$/kVA
off peak</t>
    </r>
    <r>
      <rPr>
        <b/>
        <vertAlign val="superscript"/>
        <sz val="10"/>
        <rFont val="Goudy Old Style"/>
        <family val="1"/>
      </rPr>
      <t>2</t>
    </r>
  </si>
  <si>
    <t>¢/kWh
anytime</t>
  </si>
  <si>
    <r>
      <t>Dollars per month per NMI</t>
    </r>
    <r>
      <rPr>
        <b/>
        <vertAlign val="superscript"/>
        <sz val="10"/>
        <rFont val="Goudy Old Style"/>
        <family val="1"/>
      </rPr>
      <t>1</t>
    </r>
  </si>
  <si>
    <t>[1] National Meter Identifier which is allocated to each customer’s connection.</t>
  </si>
  <si>
    <t>[2] Peak and off-peak periods for demand charges will be as determined from time to time. The peak period rates currently apply to usage between 12 noon and 9.00 pm on any weekday, including public holidays. Off-peak period rates apply at other times</t>
  </si>
  <si>
    <t>Indicative tariffs for HV customers with consumption above 750 MWh per year</t>
  </si>
  <si>
    <t>Indicative tariffs for LV customers with consumption above 750 MWh per year</t>
  </si>
  <si>
    <t>[2] Peak and off-peak periods for demand charges will be as determined from time to time. The peak period rates currently apply to usage between 12 noon am and 9.00 pm on any weekday, including public holidays from 1 October through 31 March. Off-peak period rates apply at other times.</t>
  </si>
  <si>
    <t>[Un-numbered] Figure 1 – Your Bill and Our Share of it</t>
  </si>
  <si>
    <t>[Un-numbered] Figure 2 – Our Tariff Structure Statement</t>
  </si>
  <si>
    <t>[Un-numbered] Figure 3 – Our Customer Engagement</t>
  </si>
  <si>
    <t>[Un-numbered] Figure 4 – Our Tariff Classes</t>
  </si>
  <si>
    <t>[Un-numbered] Table 1 - Our Tariff Classes</t>
  </si>
  <si>
    <t>[Un-numbered] Figure 5 – Shortening our peak charging window</t>
  </si>
  <si>
    <t>[Un-numbered] Table 3 HV Charging Parameters</t>
  </si>
  <si>
    <t>[Un-numbered] Table 4 LV &gt;750 Indicative tariffs</t>
  </si>
  <si>
    <t>[Un-numbered] Table 6 – Movement in customers’ network bills 2018-19 to 2019-20 (excluding GST)</t>
  </si>
  <si>
    <t>Table 2-1 – Capex forecast ($M, Real 2018-19, SCS)</t>
  </si>
  <si>
    <t>Table 3-2 – Actual capex for previous regulatory period ($M, Real 2018-19, SCS)</t>
  </si>
  <si>
    <t>Table 3-1 – UC allowances ($M, Real 2018-19, SCS)</t>
  </si>
  <si>
    <t>Corporate assets</t>
  </si>
  <si>
    <t>Table 3-3 – Actual and estimated capex for the current regulatory period – excluding metering ($M, Real 2018-19, SCS)</t>
  </si>
  <si>
    <t>UC allowance</t>
  </si>
  <si>
    <t>Actual / estimated</t>
  </si>
  <si>
    <t>Variance ($)</t>
  </si>
  <si>
    <t>Variance (%)</t>
  </si>
  <si>
    <t>2014-15
Actual</t>
  </si>
  <si>
    <t>2015-16
Actual</t>
  </si>
  <si>
    <t>2016-17
Actual</t>
  </si>
  <si>
    <t>2017-18
Estimate</t>
  </si>
  <si>
    <t>2018-19
Estimate</t>
  </si>
  <si>
    <t>Figure 4-1 – Asset Management Framework</t>
  </si>
  <si>
    <t>Figure 2 1 – Capital expenditure categories</t>
  </si>
  <si>
    <t>Figure 4-2 – Project Classification Matrix</t>
  </si>
  <si>
    <t>Table 4-1 – Overview of governance gateways</t>
  </si>
  <si>
    <t>Gateway</t>
  </si>
  <si>
    <t>Purpose</t>
  </si>
  <si>
    <t>Project type</t>
  </si>
  <si>
    <t>Typical elements</t>
  </si>
  <si>
    <t>Target cost accuracy</t>
  </si>
  <si>
    <t>PBC – Preliminary Business Case</t>
  </si>
  <si>
    <t>BNI – Business Need Identification</t>
  </si>
  <si>
    <t>BC – Business Case</t>
  </si>
  <si>
    <t>FBC – Final Business Case</t>
  </si>
  <si>
    <t>OE – Over expenditure</t>
  </si>
  <si>
    <t>PIR –Post Implementation Review</t>
  </si>
  <si>
    <t>Demonstrate that benefits have been delivered through the investment and to inform continual improvement</t>
  </si>
  <si>
    <t>After completion of the Delivery Phase</t>
  </si>
  <si>
    <t>A and Programs, B&amp;C if an OE occurred</t>
  </si>
  <si>
    <t>Confirm delivery benefits Project performance summary Improvement recommendations</t>
  </si>
  <si>
    <t>n/a</t>
  </si>
  <si>
    <t>+/- 5%</t>
  </si>
  <si>
    <t>+/- 10%</t>
  </si>
  <si>
    <t>+/- 35%</t>
  </si>
  <si>
    <t>+/- 20%</t>
  </si>
  <si>
    <t>To demonstrate the need to invest and the supporting logic</t>
  </si>
  <si>
    <t>To demonstrate a robust development, analysis and selection of options</t>
  </si>
  <si>
    <t>To demonstrate that sufficient project development prior to going to market</t>
  </si>
  <si>
    <t>To ensure VFM has been achieved through the market engagement process</t>
  </si>
  <si>
    <t>To govern any expenditure (or proposed) over that approved</t>
  </si>
  <si>
    <t>During Delivery Phase</t>
  </si>
  <si>
    <t>End of Commitment Phase</t>
  </si>
  <si>
    <t>All Projects and Programs</t>
  </si>
  <si>
    <t>Quantification and reasons for cost over-run Substitution recommendation</t>
  </si>
  <si>
    <t>Procurement recommendation Updated cost estimate</t>
  </si>
  <si>
    <t>A, B</t>
  </si>
  <si>
    <t>A, B, C</t>
  </si>
  <si>
    <t>End of Project Development Phase</t>
  </si>
  <si>
    <t>During the Project Development Phase</t>
  </si>
  <si>
    <t>During the Investment Planning Phase</t>
  </si>
  <si>
    <t>Base cost estimate
Clear investment logic
Quantitative measures of success
Primary Investment Driver
Key milestones</t>
  </si>
  <si>
    <t>Full options analysis (cost and non-cost)
Draft Project Risk register
Scope and requirements definition for preferred option</t>
  </si>
  <si>
    <t>Table 5-1 – Forecasting methods applied to capex categories</t>
  </si>
  <si>
    <t>Figure 5-1 – Overview of capex forecasting process</t>
  </si>
  <si>
    <t>Table 5-2 – Key capex assumptions</t>
  </si>
  <si>
    <t>Figure 6-1 – Repex key supporting documents</t>
  </si>
  <si>
    <t>Table 6-1 – Repex forecast ($M, Real 2018-19)</t>
  </si>
  <si>
    <t>Table 6-2 – Condition and safety-driven programs, 2019-20 to 2023-24 ($M, Real 2018-19)</t>
  </si>
  <si>
    <t>Asset Category</t>
  </si>
  <si>
    <t>Poles</t>
  </si>
  <si>
    <t>OH conductors</t>
  </si>
  <si>
    <t>UG cables</t>
  </si>
  <si>
    <t>Transformers</t>
  </si>
  <si>
    <t>Switchgear</t>
  </si>
  <si>
    <t xml:space="preserve">Table 6-3 – Comparison of AER repex model and bottom-up forecast ($M, Real 2018-19) </t>
  </si>
  <si>
    <t>DNSP repex forecast</t>
  </si>
  <si>
    <t>Repex model - study 1</t>
  </si>
  <si>
    <t>Repex model - study 2</t>
  </si>
  <si>
    <t>Repex model - study 3</t>
  </si>
  <si>
    <t>2.5.1 Our demand over the coming regulatory control period - Customer Numbers and Peak Demand - Period on Period - 2014-15 to 2023-24</t>
  </si>
  <si>
    <t>2.5.2 Our customers and load patterns - System hourly demand curves</t>
  </si>
  <si>
    <t>2.5.3 Future demand trends</t>
  </si>
  <si>
    <t>3.2 Preference testing</t>
  </si>
  <si>
    <t>5.1 Charging parameters</t>
  </si>
  <si>
    <t>5.2 Setting peak and off-peak periods</t>
  </si>
  <si>
    <t>6.4.1  Our approach to estimating LRMC</t>
  </si>
  <si>
    <t xml:space="preserve">6.6.2. Customers who use &gt;750MWh per year  - Large user customer bill impact analysis </t>
  </si>
  <si>
    <t>Customers connected to the HV network</t>
  </si>
  <si>
    <t>[Un-numbered] - Tariff components</t>
  </si>
  <si>
    <t>[Un-numbered] Table 2 - section 8.2 - Setting Our Tariff Structures</t>
  </si>
  <si>
    <t>0-750MWh pa 
&amp;
&gt;750MWh pa</t>
  </si>
  <si>
    <t>Figure 1 - CBA Scenarios</t>
  </si>
  <si>
    <t>Appendix A - Table 9-1</t>
  </si>
  <si>
    <t>Appendix A - Table 9-2</t>
  </si>
  <si>
    <t>Table 6 4 – Condition-driven Repex by project and program ($M, Real 2018-19)</t>
  </si>
  <si>
    <t>Project/Program</t>
  </si>
  <si>
    <t>Condition and Failure Based Replacement Pooled Forecast</t>
  </si>
  <si>
    <t>Various cable replacements</t>
  </si>
  <si>
    <t>Replace Berrimah ZSS</t>
  </si>
  <si>
    <t>Alice Springs Corroded Poles</t>
  </si>
  <si>
    <t>Various SCADA and Communications’ replacement</t>
  </si>
  <si>
    <t>Various pole and tower refurbishment</t>
  </si>
  <si>
    <t>Various power transformer replacements</t>
  </si>
  <si>
    <t>Various protection &amp; control replacement</t>
  </si>
  <si>
    <t>Other minor projects</t>
  </si>
  <si>
    <t>Table 6 5 - Condition and failure based replacement pooled forecast ($M, Real 2018-19)</t>
  </si>
  <si>
    <t>BNI 25 Condition and Failure Based Replacement Pooled Forecast</t>
  </si>
  <si>
    <t>Table 6 6 – Various cable replacement forecast ($M, Real 2018-19)</t>
  </si>
  <si>
    <t>BNI 20 Darwin Northern Suburbs High Voltage Cable Replacement Program</t>
  </si>
  <si>
    <t>BNI 5 Darwin – Replace Port Feeder</t>
  </si>
  <si>
    <t>BNI 21 Darwin Cullen Bay and Bayview Low Voltage Cable Replacement Program</t>
  </si>
  <si>
    <t>Table 6 7 – Berrimah zone substation ($M, Real 2018-19)</t>
  </si>
  <si>
    <t>BNI 2 Replace Berrimah ZSS</t>
  </si>
  <si>
    <t>Table 6 8 – Alice Springs Corroded Poles ($M, Real 2018-19)</t>
  </si>
  <si>
    <t>BNI 1 Alice Springs Corroded Poles</t>
  </si>
  <si>
    <t>Table 6 9 – Various SCADA and Comms replacement ($M, Real 2018-19)</t>
  </si>
  <si>
    <t>BNI 12 Darwin – Energy Management System Upgrade</t>
  </si>
  <si>
    <t>BNI 16 Various SCADA and Communications replacement</t>
  </si>
  <si>
    <t>BNI 17 SCADA and Communications Battery Replacement Program</t>
  </si>
  <si>
    <t>Table 6 10 – Various pole and tower refurbishment ($M, Real 2018-19)</t>
  </si>
  <si>
    <t>BNI 32 Transmission Tower Earthing System Refurbishment Program</t>
  </si>
  <si>
    <t>BNI 35 Transmission Tower Corrosion Protection Life Extension Program</t>
  </si>
  <si>
    <t>BNI 26 Darwin Coastal Pole Top Corrosion Replacement Program</t>
  </si>
  <si>
    <t>BNI 31 Transmission Line Pole Top Corrosion Replacement Program</t>
  </si>
  <si>
    <t>Table 6 11 – Various power transformer replacements ($M, Real 2018-19)</t>
  </si>
  <si>
    <t>BNI 10 Darwin – Replace Humpty Doo ZSS</t>
  </si>
  <si>
    <t>BNI 7 Darwin Replace 66/11kV Centreyard ZSS</t>
  </si>
  <si>
    <t>BNI 4 Darwin – Replace Cosmo Howley Transformers</t>
  </si>
  <si>
    <t>BNI 33 Pine Creek 132kV Transformer Replacement</t>
  </si>
  <si>
    <t>Table 6 12 – Various protection and control projects ($M, Real 2018-19)</t>
  </si>
  <si>
    <t>BNI 3 Darwin – Upgrade DKTL Secondary Systems</t>
  </si>
  <si>
    <t>BNI 19 Protection Relay Replacement Program</t>
  </si>
  <si>
    <t>Table 6 13 – Other minor projects ($M, Real 2018-19)</t>
  </si>
  <si>
    <t>BNI 24 Single phase substation refurbishment</t>
  </si>
  <si>
    <t>BNI 14 66kV HLC Circuit Breaker Replacement</t>
  </si>
  <si>
    <t>BNI 15 Substation Fire Protection Equipment Replacement Program</t>
  </si>
  <si>
    <t>BNI 27 Substation DC System Replacement Program</t>
  </si>
  <si>
    <t>Table 6 14– Compliance driven Repex ($M, Real 2018-19)</t>
  </si>
  <si>
    <t>BNI 22 Darwin Lake Bennett Conductor Clearance Rectification Program</t>
  </si>
  <si>
    <t>BNI 18 SCADA and Communications Compliance and Safety Program</t>
  </si>
  <si>
    <t xml:space="preserve"> Table 6 15– Reliability and Power Quality driven ($M, Real 2018-19)</t>
  </si>
  <si>
    <t>BNI 28 Poor performing feeder program</t>
  </si>
  <si>
    <t>Figure 7 1 – Capacity constraints of zone substations</t>
  </si>
  <si>
    <t>Figure 7 2 – Augex key supporting documents</t>
  </si>
  <si>
    <t>Table 7 2 – Augex forecast ($M, Real 2018-19)</t>
  </si>
  <si>
    <t>Compliance</t>
  </si>
  <si>
    <t>Reliability and Quality of Supply</t>
  </si>
  <si>
    <t>Table 7 3 – Load-driven Augex projects ($M, Real 2018-19)</t>
  </si>
  <si>
    <t>A-BNI 1 Darwin - Construct Wishart Zone Substation</t>
  </si>
  <si>
    <t>A-BNI 8 Overloaded Feeders / Distribution Augmentation Program</t>
  </si>
  <si>
    <t>A-BNI 2 Darwin - Archer ZSS Augmentation</t>
  </si>
  <si>
    <t>A-BNI 11 Tennant Creek - Upgrade Tennant Creek 22/11kV Transformers</t>
  </si>
  <si>
    <t>Table 7 4 – Compliance-driven Augex projects ($M, Real 2018-19)</t>
  </si>
  <si>
    <t>A-BNI 9 Darwin distribution substation fault level replacement program</t>
  </si>
  <si>
    <t>A-BNI 4 Darwin - transmission line uprating</t>
  </si>
  <si>
    <t>A-BNI 12 SCADA and communications Optus cable extension program</t>
  </si>
  <si>
    <t>A-BNI 7 Darwin - Hudson Creek spare 132kV transformer</t>
  </si>
  <si>
    <t>A-BNI 15 Power transformer online moisture treatment</t>
  </si>
  <si>
    <t>Table 7 5 – Reliability &amp; power quality-driven projects ($M, Real 2018-19)</t>
  </si>
  <si>
    <t>A-BNI 13 All Regions Poorly Performing Feeder Improvement Program Augex Component)</t>
  </si>
  <si>
    <t>A-BNI 5 Power quality compliance program</t>
  </si>
  <si>
    <t>A-BNI 3 Katherine Voltage Rectification</t>
  </si>
  <si>
    <t xml:space="preserve">Table 9 1 – Non-network ICT capex categories and drivers  </t>
  </si>
  <si>
    <t xml:space="preserve">Table 9 2 – Forecasting methods by Non-Network ICT capex category </t>
  </si>
  <si>
    <t>Table 9 3 – Non-Network ICT forecast ($M, Real 2018-19)</t>
  </si>
  <si>
    <t>Table 9 4 – Non-Network ICT forecast ($M, Real 2018-19)</t>
  </si>
  <si>
    <t>Source Data - Tables used to prepare proposal tables above</t>
  </si>
  <si>
    <t>Repex forecast ($M, Real 2018-19) - Direct Costs (Excluding Capitalised Overheads and Cost Escalation)</t>
  </si>
  <si>
    <t>Augex forecast ($M, Real 2018-19) - Direct Costs (Excluding Capitalised Overheads and Cost Escalation)</t>
  </si>
  <si>
    <t>Table 9 5 – Network operations’ forecast ($M, Real 2018-19)</t>
  </si>
  <si>
    <t>Network Planning</t>
  </si>
  <si>
    <t>Works Management</t>
  </si>
  <si>
    <t>Outage Management</t>
  </si>
  <si>
    <t>Network Business Management</t>
  </si>
  <si>
    <t>System Operations</t>
  </si>
  <si>
    <t>RINs</t>
  </si>
  <si>
    <t>Table 9 6 – Remediate the core forecast ($M, Real 2018-19)</t>
  </si>
  <si>
    <t>Revenue Management System</t>
  </si>
  <si>
    <t>Financial Management System</t>
  </si>
  <si>
    <t>Maximo and ESRI Upgrade</t>
  </si>
  <si>
    <t>Table 9 7 – ICT application &amp; infrastructure refresh forecast ($M, Real 2018-19)</t>
  </si>
  <si>
    <t>Enterprise Application Refresh</t>
  </si>
  <si>
    <t>Enterprise Infrastructure Refresh</t>
  </si>
  <si>
    <t>Table 9 8 – Customer service forecast ($M, Real 2018-19)</t>
  </si>
  <si>
    <t>Customer Relationship Management</t>
  </si>
  <si>
    <t>Meter Data Management</t>
  </si>
  <si>
    <t>Table 9 9 – Enterprise forecast ($M, Real 2018-19)</t>
  </si>
  <si>
    <t xml:space="preserve">Table 10 1 – Non-network Other capex key drivers </t>
  </si>
  <si>
    <t xml:space="preserve">Table 10 2 – Forecasting methods by ICT capex category </t>
  </si>
  <si>
    <t>Table 10 3 – Non-network Other capex forecast ($M, Real 2018-19)</t>
  </si>
  <si>
    <t>Table 10 4 – Actual / estimated Non-network Other capex ($M, Real 2018-19)</t>
  </si>
  <si>
    <t>Table 11 1 – Capitalised overheads forecast ($M, Real 2018-19)</t>
  </si>
  <si>
    <t>BNI</t>
  </si>
  <si>
    <t>Demand driven</t>
  </si>
  <si>
    <t>Check - To repex purpose</t>
  </si>
  <si>
    <t>Total Augex Check</t>
  </si>
  <si>
    <t>Load Driven Augex Check</t>
  </si>
  <si>
    <t>Compliance Driven Augex Check</t>
  </si>
  <si>
    <t>Check - Sum of Tables below</t>
  </si>
  <si>
    <t>Reliability Driven Augex Check</t>
  </si>
  <si>
    <t>Check - Charts</t>
  </si>
  <si>
    <t>Driver</t>
  </si>
  <si>
    <t>Assets</t>
  </si>
  <si>
    <t>Asset</t>
  </si>
  <si>
    <t>Note: gifted assets added to the UC's gross capex allowance, which excluded gifted assets</t>
  </si>
  <si>
    <t>Real 2013-14</t>
  </si>
  <si>
    <t>UC allowance for gifted assets, $M</t>
  </si>
  <si>
    <t>Note: sourced from Table 9.1 of PWC's revised proposal to the UC's 2014 NPD.  The UC relied on PWC's proposed capital contribution (cash + contributed assets) forecast in its final determination.</t>
  </si>
  <si>
    <t>Note</t>
  </si>
  <si>
    <t>Check - Consistency</t>
  </si>
  <si>
    <t>(1) Numbers may not reconcile exactly to the total ICT forecast shown above due to rounding</t>
  </si>
  <si>
    <t>(3) Maximum demand for both actuals and forecasts are sourced directly from the AEMO forecast file</t>
  </si>
  <si>
    <t>(1) Peak demand is based on AEMO POE50 summer forecast and the historical time series used by AEMO to prepare that forecast</t>
  </si>
  <si>
    <t>Table 2.1: Details of the drivers of TAB standard and remaining lives to be applied to TAB opening values</t>
  </si>
  <si>
    <t>A$k as at 30 June 2014 ($nominal)</t>
  </si>
  <si>
    <t>CPI Input (June year end)</t>
  </si>
  <si>
    <t>CPI Indexation Calculations (June on June) - Used to convert expenditure</t>
  </si>
  <si>
    <t>CPI Indexation Calculations (December on December) - Used to convert revenue</t>
  </si>
  <si>
    <t>GST (%)</t>
  </si>
  <si>
    <t>CPI used in pricing</t>
  </si>
  <si>
    <t>Standard asset lives (years)</t>
  </si>
  <si>
    <t>Remaining asset lives (years)</t>
  </si>
  <si>
    <t>UC/MD Allowance</t>
  </si>
  <si>
    <t>Intended NT revision</t>
  </si>
  <si>
    <t>This is the value that the NT Government intends to reflect in the NT NER, as at 1 July 2014 in July 2014 (i.e. Real 2013-14) dollars.</t>
  </si>
  <si>
    <t>&lt;= Asset lives by proposed asset class calculated as a value weighted average of the updated SKM asset lives.  Standard lives for all metering, except for mechanical meters, adjusted as per discussion below.</t>
  </si>
  <si>
    <t>[Un-numbered] Figure 2 – Total SCS Opex - Period on Period - 2014-15 to 2023-24</t>
  </si>
  <si>
    <t>[Un-numbered] Figure 3 – Customer Numbers and Peak Demand - Period on Period - 2014-15 to 2023-24</t>
  </si>
  <si>
    <t>[Un-numbered] Figure 4 – Gross SCS Capex - Period on Period - 2014-15 to 2023-24</t>
  </si>
  <si>
    <t>[Un-numbered] Figure 1 – SAIFI by network area</t>
  </si>
  <si>
    <t>Avg. number of annual outages</t>
  </si>
  <si>
    <t>Rural Long</t>
  </si>
  <si>
    <t>Rural Short</t>
  </si>
  <si>
    <t>Urban</t>
  </si>
  <si>
    <t>Our forecasts are based on legislative and regulatory instruments applicable to Power and Water and as in force on 1 July 2017.[1]</t>
  </si>
  <si>
    <t xml:space="preserve">Our forecasts will maintain, but will not improve, system-wide security of supply and network reliability, consistent with clause 6.5.7 of the NT NER. </t>
  </si>
  <si>
    <t>Our forecasts reflect the cost allocation method that has been submitted to the AER, which includes our approach to capitalisation.</t>
  </si>
  <si>
    <t>The unit rates that Power and Water has applied in developing its capex forecasts are representative of the costs that will be incurred in the next period.</t>
  </si>
  <si>
    <t xml:space="preserve">The inflation that Power and Water has applied in developing its forecasts is representative of the inflation-related costs that will be incurred in the next period and is consistent with the AER-preferred inflation forecasting method.  </t>
  </si>
  <si>
    <t>Forecast Capex Model ($M)</t>
  </si>
  <si>
    <t>CA RIN ($M)</t>
  </si>
  <si>
    <t>UC - ACS metering - Estimated (at 3%)</t>
  </si>
  <si>
    <t>MD - ACS metering - Estimated (at 3%)</t>
  </si>
  <si>
    <t xml:space="preserve">kVAr Charge </t>
  </si>
  <si>
    <t>($/kVAr)</t>
  </si>
  <si>
    <t>Total period</t>
  </si>
  <si>
    <t>Total gross capex (excluding gifted assets)</t>
  </si>
  <si>
    <t>Connection capex  (excluding gifted assets)</t>
  </si>
  <si>
    <t>2008-09</t>
  </si>
  <si>
    <t>A$M, $nominal</t>
  </si>
  <si>
    <t>Connection capex (including gifted assets)</t>
  </si>
  <si>
    <t>Capital contributions</t>
  </si>
  <si>
    <t>Breakdown of 2008-09 to 2013-14 connection capex and capital contributions</t>
  </si>
  <si>
    <t>(1) The balancing item in Table 2.1.1 of the CA RIN template is reflected in Non-Network Other
(2) Non-Network Other includes Non-Network ICT
(3) Asset disposals are 'N/A' for 2009-10 to 2013-14 due to missing data</t>
  </si>
  <si>
    <t>Network Bill+</t>
  </si>
  <si>
    <t>Table 3-4 – Comparison of annual actual and estimated gross capex to UC allowances for current period ($M, Real 2018-19, SCS)</t>
  </si>
  <si>
    <t>Total (excluding corp assets)</t>
  </si>
  <si>
    <t>Total (modelled)</t>
  </si>
  <si>
    <t>Variance to DNSP forecast (%)</t>
  </si>
  <si>
    <t>Other (unmodelled)</t>
  </si>
  <si>
    <t>Total Condition and Failure Based Replacement Pooled Forecast</t>
  </si>
  <si>
    <t>Total condition and risk-driven repex</t>
  </si>
  <si>
    <t>Total Various cable replacement</t>
  </si>
  <si>
    <t>Total Berrimah zone substation</t>
  </si>
  <si>
    <t>Total Alice Springs Corroded Poles</t>
  </si>
  <si>
    <t>Total Various SCADA and Comms replacement</t>
  </si>
  <si>
    <t>Total Various pole and tower refurbishment</t>
  </si>
  <si>
    <t>Total Various power transformer replacements</t>
  </si>
  <si>
    <t>Total Various protection and control projects</t>
  </si>
  <si>
    <t>Total Other minor projects</t>
  </si>
  <si>
    <t>Total compliance driven repex</t>
  </si>
  <si>
    <t>Total Reliability and power quality driven repex</t>
  </si>
  <si>
    <t>Total Augex</t>
  </si>
  <si>
    <t>Total Load driven augex</t>
  </si>
  <si>
    <t>Total Compliance driven augex</t>
  </si>
  <si>
    <t>Total Reliability and power quality driven</t>
  </si>
  <si>
    <t xml:space="preserve">Table 8 1 – Forecast connections capex including gifted assets 2019-20 to 2023-24 </t>
  </si>
  <si>
    <t>Figure 8.1 –  Historical and forecast connections capex and gifted assets 2008-09 to 2023-24 ($M, Real 2018-19)</t>
  </si>
  <si>
    <t>Total Non-Network ICT</t>
  </si>
  <si>
    <t>Total Network operations ICT</t>
  </si>
  <si>
    <t>Total Remediate the core ICT</t>
  </si>
  <si>
    <t>Total ICT Application &amp; Infrastructure Refresh</t>
  </si>
  <si>
    <t>Total Customer Service ICT</t>
  </si>
  <si>
    <t>Total Enterprise ICT</t>
  </si>
  <si>
    <t>Total Non-Network Other</t>
  </si>
  <si>
    <t>Total Fleet</t>
  </si>
  <si>
    <t>Total Property</t>
  </si>
  <si>
    <t>Property - Lease Capitalised &gt; RY19</t>
  </si>
  <si>
    <t>Fleet- Lease Capitalised &gt; RY19</t>
  </si>
  <si>
    <t>Total including capitalised leases</t>
  </si>
  <si>
    <t>Check - Non-network total</t>
  </si>
  <si>
    <t>Total excluding capitalised leases</t>
  </si>
  <si>
    <t>Estimated value of capitalised leases (fleet and property)</t>
  </si>
  <si>
    <t>Residential customers consuming &lt;750MWh pa with standard accumulation meters</t>
  </si>
  <si>
    <t>Non-residential customers consuming &lt;750 MWh pa with standard accumulation meters</t>
  </si>
  <si>
    <t>Customers consuming &lt;750 MWh pa with smart meters</t>
  </si>
  <si>
    <t>kVAr* 
$/kVAr</t>
  </si>
  <si>
    <t>Smart Meter
c/kwh
(Anytime)</t>
  </si>
  <si>
    <t>Revenue Movement*</t>
  </si>
  <si>
    <t>Notes:    * 2018-19 Network Tariffs are indicative and will be subject to review and approval by the 
                  Northern Territory Treasurer in May 2018
               + Excludes ACS Metering</t>
  </si>
  <si>
    <r>
      <t>Cents per day per NMI – LV Residential  Accumulation</t>
    </r>
    <r>
      <rPr>
        <vertAlign val="superscript"/>
        <sz val="10"/>
        <color rgb="FF000000"/>
        <rFont val="Goudy Old Style"/>
        <family val="1"/>
      </rPr>
      <t>1</t>
    </r>
  </si>
  <si>
    <r>
      <t>Cents per day per NMI –   LV Non Residential  Accumulation</t>
    </r>
    <r>
      <rPr>
        <vertAlign val="superscript"/>
        <sz val="10"/>
        <color rgb="FF000000"/>
        <rFont val="Goudy Old Style"/>
        <family val="1"/>
      </rPr>
      <t>1</t>
    </r>
  </si>
  <si>
    <r>
      <t>Cents per day per NMI – HV &lt;750MWh</t>
    </r>
    <r>
      <rPr>
        <vertAlign val="superscript"/>
        <sz val="10"/>
        <color rgb="FF000000"/>
        <rFont val="Goudy Old Style"/>
        <family val="1"/>
      </rPr>
      <t>1</t>
    </r>
  </si>
  <si>
    <r>
      <t>Cents per day per NMI –  LV Smart Meter &gt;40 MWh</t>
    </r>
    <r>
      <rPr>
        <vertAlign val="superscript"/>
        <sz val="10"/>
        <color rgb="FF000000"/>
        <rFont val="Goudy Old Style"/>
        <family val="1"/>
      </rPr>
      <t>1</t>
    </r>
  </si>
  <si>
    <r>
      <t>Cents per day per NMI –  LV Smart Meter &lt;40 MWh</t>
    </r>
    <r>
      <rPr>
        <vertAlign val="superscript"/>
        <sz val="10"/>
        <color rgb="FF000000"/>
        <rFont val="Goudy Old Style"/>
        <family val="1"/>
      </rPr>
      <t>1</t>
    </r>
  </si>
  <si>
    <t>LV Residential Accumulation</t>
  </si>
  <si>
    <t>LV Non-residential Accumulation</t>
  </si>
  <si>
    <r>
      <t>LV Smart Meter Peak</t>
    </r>
    <r>
      <rPr>
        <vertAlign val="superscript"/>
        <sz val="10"/>
        <color rgb="FF000000"/>
        <rFont val="Goudy Old Style"/>
        <family val="1"/>
      </rPr>
      <t>2</t>
    </r>
  </si>
  <si>
    <r>
      <t>LV Smart Meter Off Peak</t>
    </r>
    <r>
      <rPr>
        <vertAlign val="superscript"/>
        <sz val="10"/>
        <color rgb="FF000000"/>
        <rFont val="Goudy Old Style"/>
        <family val="1"/>
      </rPr>
      <t>2</t>
    </r>
  </si>
  <si>
    <r>
      <t>HV &lt;750 MWh Peak</t>
    </r>
    <r>
      <rPr>
        <vertAlign val="superscript"/>
        <sz val="10"/>
        <color rgb="FF000000"/>
        <rFont val="Goudy Old Style"/>
        <family val="1"/>
      </rPr>
      <t>3</t>
    </r>
  </si>
  <si>
    <r>
      <t>HV &lt;750 MWh Off Peak</t>
    </r>
    <r>
      <rPr>
        <vertAlign val="superscript"/>
        <sz val="10"/>
        <color rgb="FF000000"/>
        <rFont val="Goudy Old Style"/>
        <family val="1"/>
      </rPr>
      <t>3</t>
    </r>
  </si>
  <si>
    <t>&gt;40 MWh LV Smart Meter</t>
  </si>
  <si>
    <t xml:space="preserve">[1] National Meter Identifier which is allocated to each customer’s connection. </t>
  </si>
  <si>
    <t>[2] The peak period rates apply to usage between 12 noon and 9:00pm on any weekday, including public holidays from 1 October through 31 March. Off-peak period rates apply at other times.</t>
  </si>
  <si>
    <t>[3] The peak period rates apply to usage between 12noon and 9:00pm on any weekday, including public holidays. Off-peak period rates apply at other times.</t>
  </si>
  <si>
    <t>Table 9 &lt;750 MWh per annum indicative tariffs (2019-20)</t>
  </si>
  <si>
    <t>[Un-numbered] Table 5 &lt;750 MWh per annum indicative tariffs (2019-20)</t>
  </si>
  <si>
    <t>Indicative tariffs for customers with consumption less than 750 MWh per year</t>
  </si>
  <si>
    <t xml:space="preserve">Table 5 6 – Forecast output growth 2019-20 to 2023-24 </t>
  </si>
  <si>
    <t xml:space="preserve">Table 5 7 – Forecast price growth 2019-20 to 2023-24 </t>
  </si>
  <si>
    <t>Metering communications breakdown</t>
  </si>
  <si>
    <t xml:space="preserve">&lt;= Upgrading existing advanced capable meters with modems and antennae to convert them to advanced meters  </t>
  </si>
  <si>
    <t>&lt;= Upgrading the communications capability of our existing advanced meters from 3G to 4G technology</t>
  </si>
  <si>
    <t>These step changes are commercial in confidence and are removed from the public version</t>
  </si>
  <si>
    <t>COMMERCIAL IN CONFIDENCE</t>
  </si>
  <si>
    <t>This sheet contains confidential information</t>
  </si>
  <si>
    <t>Internal records</t>
  </si>
  <si>
    <t>Power and Water Corporation (PWC) - Regulatory Proposal Tables and Charts</t>
  </si>
  <si>
    <t>Step 2 | Adjust UC Determination to Match Ministerial Direction ($million, $nominal, per year)</t>
  </si>
  <si>
    <t>Lines or cables emanating from a substation at distribution voltage level (11kV or 22kV), as well as LV lines and cables. Includes poles and pole tops, voltage regulators, Cable Tunnels and LV pillars. Excludes distribution substations, distribution switchgear and LV services.</t>
  </si>
  <si>
    <t>Lines or cables emanating from a substation at transmission (132kV) or sub-transmission (66kV) voltage levels. Includes poles, towers and pole tops.</t>
  </si>
  <si>
    <t xml:space="preserve"> Large Industrial HV
(8,000,000 kWh pa)</t>
  </si>
  <si>
    <r>
      <t>Non-Residential Smart Meter</t>
    </r>
    <r>
      <rPr>
        <vertAlign val="superscript"/>
        <sz val="10"/>
        <rFont val="Goudy Old Style"/>
        <family val="1"/>
      </rPr>
      <t xml:space="preserve">
</t>
    </r>
    <r>
      <rPr>
        <sz val="10"/>
        <rFont val="Goudy Old Style"/>
        <family val="1"/>
      </rPr>
      <t>(38,000 kWh pa)</t>
    </r>
  </si>
  <si>
    <r>
      <t>Non-Residential Accumulation Meter</t>
    </r>
    <r>
      <rPr>
        <vertAlign val="superscript"/>
        <sz val="10"/>
        <rFont val="Goudy Old Style"/>
        <family val="1"/>
      </rPr>
      <t xml:space="preserve">
</t>
    </r>
    <r>
      <rPr>
        <sz val="10"/>
        <rFont val="Goudy Old Style"/>
        <family val="1"/>
      </rPr>
      <t>(38,000 kWh pa)</t>
    </r>
  </si>
  <si>
    <t>Large Residential Smart Meter
(15,000 kWh pa)</t>
  </si>
  <si>
    <t>Large Residential Accumulation Meter
(15,000 kWh pa)</t>
  </si>
  <si>
    <t>Small Residential Smart Meter
(8,500 kWh pa)</t>
  </si>
  <si>
    <t>Small Residential Accumulation Meter
(8,500 kWh pa)</t>
  </si>
  <si>
    <t>Complete Management Plans
Procurement / Delivery Strategy
Detailed cost estimate
Detailed schedule</t>
  </si>
  <si>
    <t>Expenditure description</t>
  </si>
  <si>
    <t>Connection justification document</t>
  </si>
  <si>
    <t>Accumulation Meter 
c/kwh
(Anytime)</t>
  </si>
  <si>
    <t>Customer eligibility</t>
  </si>
  <si>
    <t xml:space="preserve">Unmetered:
• Street lighting and similar unmetered 12 hour supplies
• Traffic lights and similar unmetered 24 hour supplies. </t>
  </si>
  <si>
    <t xml:space="preserve">Flat 12-9 Peak Only, Seasonal Time of Use (Oct – March, Max demand) </t>
  </si>
  <si>
    <t>Excess kVAr (&gt;40MWh pa)</t>
  </si>
  <si>
    <t>Flat 12-9 Peak Only ,Year Round, Max demand</t>
  </si>
  <si>
    <t>Flat 12-9 Peak Only, Year Round, Max demand</t>
  </si>
  <si>
    <t>Individually calculated customers tariff &gt;750MWh pa customers with extremely large or unique load characteristics</t>
  </si>
  <si>
    <t>Unmetered supply 12-24hr operation</t>
  </si>
  <si>
    <t>Unmetered supply 12hr operation</t>
  </si>
  <si>
    <t>Tariff assignment</t>
  </si>
  <si>
    <t>Tariff structure</t>
  </si>
  <si>
    <t>Miscellaneous services</t>
  </si>
  <si>
    <t>Consistency</t>
  </si>
  <si>
    <t>This expenditure is commercial in confidence and are removed from the public version</t>
  </si>
  <si>
    <t>Efficient Base Year inc Capitalisation Adjustment</t>
  </si>
  <si>
    <t>Difference in Cap OH treatment in RIN</t>
  </si>
  <si>
    <t>Fleet leases</t>
  </si>
  <si>
    <t>Minor capex</t>
  </si>
  <si>
    <t>Table 11 4 – Forecast base year opex 2019-20 to 2023-24</t>
  </si>
  <si>
    <t>The buildings and property are essential to our provision of distribution services.</t>
  </si>
  <si>
    <t>The minor capex assets enable the delivery of electricity network services. In the absence of these, the program of work may not be delivered and effectively or efficiently.</t>
  </si>
  <si>
    <t>•      Methods 1, 2 and 3 – Scoped, Programmed and Pooled capex</t>
  </si>
  <si>
    <t>Check - gross - chapter 10</t>
  </si>
  <si>
    <t>(1) Note no longer applicable
(2) Non-Network Other includes Non-Network ICT
(3) Expenditure excludes capitalised equity raising costs and capitalised overheads from 2017-18 and 2018-19 as per our treatment in the Roll-Forward Model</t>
  </si>
  <si>
    <t>[Un-numbered] Figure 4 – SCS Revenue - Period on Period - 2014-15 to 2023-24</t>
  </si>
  <si>
    <t>Revenue ($M)</t>
  </si>
  <si>
    <t>Revenue per Customer ($)</t>
  </si>
  <si>
    <t>Reduction:</t>
  </si>
  <si>
    <t>Forecast revenue ($nom, $M)</t>
  </si>
  <si>
    <t>c-i-c</t>
  </si>
  <si>
    <t>Capitalisation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</si>
</sst>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8" formatCode="&quot;$&quot;#,##0.00;[Red]\-&quot;$&quot;#,##0.00"/>
    <numFmt numFmtId="44" formatCode="_-&quot;$&quot;* #,##0.00_-;\-&quot;$&quot;* #,##0.00_-;_-&quot;$&quot;* &quot;-&quot;??_-;_-@_-"/>
    <numFmt numFmtId="43" formatCode="_-* #,##0.00_-;\-* #,##0.00_-;_-* &quot;-&quot;??_-;_-@_-"/>
    <numFmt numFmtId="164" formatCode="_(###0_);\(###0\);_(###0_)"/>
    <numFmt numFmtId="165" formatCode="_(#,##0.0_);\(#,##0.0\);_(&quot;-&quot;_)"/>
    <numFmt numFmtId="166" formatCode="_(#,##0.0\x_);\(#,##0.0\x\);_(&quot;-&quot;_)"/>
    <numFmt numFmtId="167" formatCode="_(#,##0.0%_);\(#,##0.0%\);_(&quot;-&quot;_)"/>
    <numFmt numFmtId="168" formatCode="_(&quot;$&quot;#,##0.00_);\(&quot;$&quot;#,##0.00\);_(&quot;-&quot;_)"/>
    <numFmt numFmtId="169" formatCode="_(#,##0_);\(#,##0\);_(&quot;-&quot;_)"/>
    <numFmt numFmtId="170" formatCode="_)d\-mmm\-yy_)"/>
    <numFmt numFmtId="171" formatCode="_(&quot;$&quot;#,##0.0_);\(&quot;$&quot;#,##0.0\);_(&quot;-&quot;_)"/>
    <numFmt numFmtId="172" formatCode="0.0"/>
    <numFmt numFmtId="173" formatCode="[Red]\●;[Red]\●;[Color10]\●"/>
    <numFmt numFmtId="174" formatCode="[Green]\●;[Red]\●;[Color16]\●"/>
    <numFmt numFmtId="175" formatCode="_(#,##0.000_);\(#,##0.000\);_(&quot;-&quot;_)"/>
    <numFmt numFmtId="176" formatCode="_(#,##0.00%_);\(#,##0.00%\);_(&quot;-&quot;_)"/>
    <numFmt numFmtId="177" formatCode="_-* #,##0.000_-;\-* #,##0.000_-;_-* &quot;-&quot;??_-;_-@_-"/>
    <numFmt numFmtId="178" formatCode="_-* #,##0.0_-;\-* #,##0.0_-;_-* &quot;-&quot;??_-;_-@_-"/>
    <numFmt numFmtId="179" formatCode="_-* #,##0_-;\-* #,##0_-;_-* &quot;-&quot;??_-;_-@_-"/>
    <numFmt numFmtId="180" formatCode="#,##0.000"/>
    <numFmt numFmtId="181" formatCode="0.0000"/>
    <numFmt numFmtId="182" formatCode="_-* #,##0.0000_-;\-* #,##0.0000_-;_-* &quot;-&quot;??_-;_-@_-"/>
    <numFmt numFmtId="183" formatCode="0.0%"/>
    <numFmt numFmtId="184" formatCode="0.000"/>
  </numFmts>
  <fonts count="160" x14ac:knownFonts="1">
    <font>
      <sz val="8"/>
      <color rgb="FFFF0066"/>
      <name val="Helvetic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theme="1"/>
      <name val="Helvetica"/>
      <family val="2"/>
    </font>
    <font>
      <sz val="8"/>
      <color theme="1"/>
      <name val="Helvetica"/>
      <family val="2"/>
    </font>
    <font>
      <b/>
      <sz val="8"/>
      <color theme="1"/>
      <name val="Helvetica"/>
      <family val="2"/>
    </font>
    <font>
      <b/>
      <sz val="11"/>
      <color theme="1"/>
      <name val="Calibri"/>
      <family val="2"/>
      <scheme val="minor"/>
    </font>
    <font>
      <sz val="8"/>
      <name val="Helvetica"/>
      <family val="2"/>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8"/>
      <color theme="10"/>
      <name val="Helvetica"/>
      <family val="2"/>
    </font>
    <font>
      <b/>
      <sz val="15"/>
      <color theme="1"/>
      <name val="Helvetica"/>
      <family val="2"/>
    </font>
    <font>
      <i/>
      <sz val="8"/>
      <color rgb="FF92D050"/>
      <name val="Helvetica"/>
      <family val="2"/>
    </font>
    <font>
      <b/>
      <sz val="8"/>
      <color theme="0"/>
      <name val="Helvetica"/>
      <family val="2"/>
    </font>
    <font>
      <b/>
      <sz val="8"/>
      <color theme="4"/>
      <name val="Helvetica"/>
      <family val="2"/>
    </font>
    <font>
      <sz val="8"/>
      <color theme="4"/>
      <name val="Helvetica"/>
      <family val="2"/>
    </font>
    <font>
      <sz val="7"/>
      <color theme="4"/>
      <name val="Helvetica"/>
      <family val="2"/>
    </font>
    <font>
      <b/>
      <sz val="15"/>
      <color theme="4"/>
      <name val="Helvetica"/>
      <family val="2"/>
    </font>
    <font>
      <i/>
      <sz val="8"/>
      <color theme="6" tint="0.39994506668294322"/>
      <name val="Helvetica"/>
      <family val="2"/>
    </font>
    <font>
      <b/>
      <sz val="10"/>
      <color theme="1"/>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b/>
      <sz val="11"/>
      <color theme="4"/>
      <name val="Helvetica"/>
      <family val="2"/>
    </font>
    <font>
      <b/>
      <sz val="12"/>
      <color theme="0"/>
      <name val="Helvetica"/>
      <family val="2"/>
    </font>
    <font>
      <b/>
      <sz val="10"/>
      <color theme="5"/>
      <name val="Helvetica"/>
      <family val="2"/>
    </font>
    <font>
      <sz val="10"/>
      <name val="Helvetica"/>
      <family val="2"/>
    </font>
    <font>
      <b/>
      <sz val="10"/>
      <color theme="1"/>
      <name val="Helvetica"/>
    </font>
    <font>
      <b/>
      <sz val="10"/>
      <name val="Helvetica"/>
      <family val="2"/>
    </font>
    <font>
      <sz val="10"/>
      <color theme="1"/>
      <name val="Helvetica"/>
    </font>
    <font>
      <sz val="8"/>
      <color theme="1"/>
      <name val="Arial"/>
      <family val="2"/>
    </font>
    <font>
      <sz val="8"/>
      <color rgb="FFFF0066"/>
      <name val="Helvetica"/>
      <family val="2"/>
    </font>
    <font>
      <sz val="9"/>
      <color indexed="81"/>
      <name val="Tahoma"/>
      <family val="2"/>
    </font>
    <font>
      <b/>
      <sz val="9"/>
      <color indexed="81"/>
      <name val="Tahoma"/>
      <family val="2"/>
    </font>
    <font>
      <b/>
      <sz val="15"/>
      <color theme="4"/>
      <name val="Helvetica"/>
      <family val="2"/>
    </font>
    <font>
      <sz val="8"/>
      <color rgb="FFFF0066"/>
      <name val="Helvetica"/>
      <family val="2"/>
    </font>
    <font>
      <i/>
      <sz val="8"/>
      <color rgb="FF92D050"/>
      <name val="Helvetica"/>
      <family val="2"/>
    </font>
    <font>
      <u/>
      <sz val="8"/>
      <color theme="10"/>
      <name val="Helvetica"/>
      <family val="2"/>
    </font>
    <font>
      <sz val="10"/>
      <color theme="4"/>
      <name val="Helvetica"/>
      <family val="2"/>
    </font>
    <font>
      <b/>
      <sz val="10"/>
      <color theme="1"/>
      <name val="Helvetica"/>
      <family val="2"/>
    </font>
    <font>
      <b/>
      <sz val="10"/>
      <name val="Helvetica"/>
      <family val="2"/>
    </font>
    <font>
      <sz val="10"/>
      <color theme="1"/>
      <name val="Helvetica"/>
      <family val="2"/>
    </font>
    <font>
      <b/>
      <sz val="15"/>
      <color theme="4"/>
      <name val="Helvetica"/>
      <family val="2"/>
    </font>
    <font>
      <sz val="8"/>
      <color rgb="FFFF0066"/>
      <name val="Helvetica"/>
      <family val="2"/>
    </font>
    <font>
      <i/>
      <sz val="8"/>
      <color rgb="FF92D050"/>
      <name val="Helvetica"/>
      <family val="2"/>
    </font>
    <font>
      <u/>
      <sz val="8"/>
      <color theme="10"/>
      <name val="Helvetica"/>
      <family val="2"/>
    </font>
    <font>
      <sz val="10"/>
      <color theme="4"/>
      <name val="Helvetica"/>
      <family val="2"/>
    </font>
    <font>
      <b/>
      <sz val="10"/>
      <color theme="1"/>
      <name val="Helvetica"/>
      <family val="2"/>
    </font>
    <font>
      <b/>
      <sz val="10"/>
      <name val="Helvetica"/>
      <family val="2"/>
    </font>
    <font>
      <sz val="10"/>
      <color theme="1"/>
      <name val="Helvetica"/>
      <family val="2"/>
    </font>
    <font>
      <sz val="10"/>
      <name val="Helvetica"/>
      <family val="2"/>
    </font>
    <font>
      <b/>
      <sz val="15"/>
      <color theme="4"/>
      <name val="Helvetica"/>
      <family val="2"/>
    </font>
    <font>
      <sz val="8"/>
      <color rgb="FFFF0066"/>
      <name val="Helvetica"/>
      <family val="2"/>
    </font>
    <font>
      <i/>
      <sz val="8"/>
      <color rgb="FF92D050"/>
      <name val="Helvetica"/>
      <family val="2"/>
    </font>
    <font>
      <u/>
      <sz val="8"/>
      <color theme="10"/>
      <name val="Helvetica"/>
      <family val="2"/>
    </font>
    <font>
      <sz val="10"/>
      <color theme="4"/>
      <name val="Helvetica"/>
      <family val="2"/>
    </font>
    <font>
      <b/>
      <sz val="10"/>
      <color theme="1"/>
      <name val="Helvetica"/>
      <family val="2"/>
    </font>
    <font>
      <b/>
      <sz val="10"/>
      <name val="Helvetica"/>
      <family val="2"/>
    </font>
    <font>
      <sz val="10"/>
      <color theme="1"/>
      <name val="Helvetica"/>
      <family val="2"/>
    </font>
    <font>
      <sz val="10"/>
      <name val="Helvetica"/>
      <family val="2"/>
    </font>
    <font>
      <b/>
      <sz val="16"/>
      <color theme="4"/>
      <name val="Calibri"/>
      <family val="2"/>
      <scheme val="minor"/>
    </font>
    <font>
      <sz val="10"/>
      <color rgb="FFFF0066"/>
      <name val="Calibri"/>
      <family val="2"/>
      <scheme val="minor"/>
    </font>
    <font>
      <b/>
      <sz val="10"/>
      <color theme="1"/>
      <name val="Calibri"/>
      <family val="2"/>
      <scheme val="minor"/>
    </font>
    <font>
      <b/>
      <sz val="10"/>
      <color theme="0"/>
      <name val="Calibri"/>
      <family val="2"/>
      <scheme val="minor"/>
    </font>
    <font>
      <sz val="10"/>
      <color rgb="FFFFFFFF"/>
      <name val="Goudy Old Style"/>
      <family val="1"/>
    </font>
    <font>
      <b/>
      <sz val="10"/>
      <color rgb="FFFFFFFF"/>
      <name val="Goudy Old Style"/>
      <family val="1"/>
    </font>
    <font>
      <sz val="10"/>
      <color theme="1"/>
      <name val="Goudy Old Style"/>
      <family val="1"/>
    </font>
    <font>
      <b/>
      <sz val="10"/>
      <color theme="1"/>
      <name val="Goudy Old Style"/>
      <family val="1"/>
    </font>
    <font>
      <sz val="10"/>
      <name val="Goudy Old Style"/>
      <family val="1"/>
    </font>
    <font>
      <vertAlign val="superscript"/>
      <sz val="10"/>
      <color theme="1"/>
      <name val="Goudy Old Style"/>
      <family val="1"/>
    </font>
    <font>
      <sz val="10"/>
      <color rgb="FF000000"/>
      <name val="Goudy Old Style"/>
      <family val="1"/>
    </font>
    <font>
      <b/>
      <sz val="10"/>
      <color rgb="FF000000"/>
      <name val="Goudy Old Style"/>
      <family val="1"/>
    </font>
    <font>
      <sz val="9"/>
      <color rgb="FF000000"/>
      <name val="Goudy Old Style"/>
      <family val="1"/>
    </font>
    <font>
      <b/>
      <sz val="9"/>
      <color rgb="FFFFFFFF"/>
      <name val="Goudy Old Style"/>
      <family val="1"/>
    </font>
    <font>
      <b/>
      <sz val="9"/>
      <color rgb="FF000000"/>
      <name val="Goudy Old Style"/>
      <family val="1"/>
    </font>
    <font>
      <sz val="11"/>
      <color rgb="FFFF0066"/>
      <name val="Goudy Old Style"/>
      <family val="1"/>
    </font>
    <font>
      <sz val="7"/>
      <name val="Times New Roman"/>
      <family val="1"/>
    </font>
    <font>
      <sz val="10"/>
      <name val="Calibri"/>
      <family val="2"/>
      <scheme val="minor"/>
    </font>
    <font>
      <b/>
      <sz val="10"/>
      <name val="Goudy Old Style"/>
      <family val="1"/>
    </font>
    <font>
      <sz val="10"/>
      <name val="Wingdings"/>
      <charset val="2"/>
    </font>
    <font>
      <sz val="11"/>
      <name val="Goudy Old Style"/>
      <family val="1"/>
    </font>
    <font>
      <sz val="10"/>
      <name val="Times New Roman"/>
      <family val="1"/>
    </font>
    <font>
      <sz val="9"/>
      <name val="Symbol"/>
      <family val="1"/>
      <charset val="2"/>
    </font>
    <font>
      <b/>
      <sz val="10"/>
      <color rgb="FFFFFFFF"/>
      <name val="Times New Roman"/>
      <family val="1"/>
    </font>
    <font>
      <b/>
      <i/>
      <sz val="10"/>
      <color rgb="FF000000"/>
      <name val="Goudy Old Style"/>
      <family val="1"/>
    </font>
    <font>
      <sz val="11"/>
      <color rgb="FF000000"/>
      <name val="Goudy Old Style"/>
      <family val="1"/>
    </font>
    <font>
      <sz val="11"/>
      <color rgb="FFFFFFFF"/>
      <name val="Goudy Old Style"/>
      <family val="1"/>
    </font>
    <font>
      <b/>
      <sz val="11"/>
      <color rgb="FFFFFFFF"/>
      <name val="Goudy Old Style"/>
      <family val="1"/>
    </font>
    <font>
      <sz val="10"/>
      <name val="Symbol"/>
      <family val="1"/>
      <charset val="2"/>
    </font>
    <font>
      <sz val="10"/>
      <color theme="0"/>
      <name val="Calibri"/>
      <family val="2"/>
      <scheme val="minor"/>
    </font>
    <font>
      <sz val="8"/>
      <color theme="0"/>
      <name val="Helvetica"/>
      <family val="2"/>
    </font>
    <font>
      <b/>
      <sz val="10"/>
      <color theme="0"/>
      <name val="Goudy Old Style"/>
      <family val="1"/>
    </font>
    <font>
      <b/>
      <sz val="10"/>
      <color rgb="FFFF0066"/>
      <name val="Goudy Old Style"/>
      <family val="1"/>
    </font>
    <font>
      <sz val="10"/>
      <color rgb="FFFFFFFF"/>
      <name val="Gill Sans MT"/>
      <family val="2"/>
    </font>
    <font>
      <sz val="11"/>
      <color theme="0"/>
      <name val="Calibri"/>
      <family val="2"/>
      <scheme val="minor"/>
    </font>
    <font>
      <b/>
      <i/>
      <sz val="10"/>
      <name val="Helvetica"/>
    </font>
    <font>
      <b/>
      <sz val="10"/>
      <color theme="0" tint="-0.34998626667073579"/>
      <name val="Helvetica"/>
    </font>
    <font>
      <sz val="8"/>
      <color theme="0" tint="-0.34998626667073579"/>
      <name val="Helvetica"/>
    </font>
    <font>
      <sz val="10"/>
      <color theme="0" tint="-0.34998626667073579"/>
      <name val="Helvetica"/>
    </font>
    <font>
      <sz val="10"/>
      <color theme="0" tint="-0.34998626667073579"/>
      <name val="Calibri"/>
      <family val="2"/>
      <scheme val="minor"/>
    </font>
    <font>
      <sz val="8"/>
      <color theme="0" tint="-0.34998626667073579"/>
      <name val="Helvetica"/>
      <family val="2"/>
    </font>
    <font>
      <b/>
      <sz val="10"/>
      <color theme="0" tint="-0.34998626667073579"/>
      <name val="Helvetica"/>
      <family val="2"/>
    </font>
    <font>
      <sz val="10"/>
      <color theme="0" tint="-0.34998626667073579"/>
      <name val="Helvetica"/>
      <family val="2"/>
    </font>
    <font>
      <sz val="11"/>
      <color theme="0" tint="-0.34998626667073579"/>
      <name val="Calibri"/>
      <family val="2"/>
      <scheme val="minor"/>
    </font>
    <font>
      <b/>
      <sz val="12"/>
      <color theme="0" tint="-0.34998626667073579"/>
      <name val="Calibri"/>
      <family val="2"/>
      <scheme val="minor"/>
    </font>
    <font>
      <b/>
      <sz val="10"/>
      <name val="Helvetica"/>
    </font>
    <font>
      <sz val="8"/>
      <name val="Helvetica"/>
    </font>
    <font>
      <sz val="10"/>
      <name val="Helvetica"/>
    </font>
    <font>
      <vertAlign val="superscript"/>
      <sz val="10"/>
      <color rgb="FF000000"/>
      <name val="Goudy Old Style"/>
      <family val="1"/>
    </font>
    <font>
      <b/>
      <vertAlign val="superscript"/>
      <sz val="10"/>
      <color rgb="FFFFFFFF"/>
      <name val="Goudy Old Style"/>
      <family val="1"/>
    </font>
    <font>
      <b/>
      <i/>
      <sz val="10"/>
      <color rgb="FFFFFFFF"/>
      <name val="Goudy Old Style"/>
      <family val="1"/>
    </font>
    <font>
      <vertAlign val="superscript"/>
      <sz val="10"/>
      <name val="Goudy Old Style"/>
      <family val="1"/>
    </font>
    <font>
      <sz val="10"/>
      <color theme="1"/>
      <name val="Calibri"/>
      <family val="2"/>
      <scheme val="minor"/>
    </font>
    <font>
      <b/>
      <sz val="10"/>
      <name val="Calibri"/>
      <family val="2"/>
      <scheme val="minor"/>
    </font>
    <font>
      <b/>
      <i/>
      <sz val="10"/>
      <color theme="1"/>
      <name val="Goudy Old Style"/>
      <family val="1"/>
    </font>
    <font>
      <sz val="10"/>
      <color theme="0" tint="-0.14999847407452621"/>
      <name val="Goudy Old Style"/>
      <family val="1"/>
    </font>
    <font>
      <b/>
      <sz val="10"/>
      <color theme="0" tint="-0.14999847407452621"/>
      <name val="Calibri"/>
      <family val="2"/>
      <scheme val="minor"/>
    </font>
    <font>
      <sz val="10"/>
      <color theme="0" tint="-0.14999847407452621"/>
      <name val="Calibri"/>
      <family val="2"/>
      <scheme val="minor"/>
    </font>
    <font>
      <b/>
      <sz val="10"/>
      <color rgb="FFFFFFFF"/>
      <name val="Calibri"/>
      <family val="2"/>
    </font>
    <font>
      <b/>
      <sz val="8"/>
      <color rgb="FFFFFFFF"/>
      <name val="Calibri"/>
      <family val="2"/>
    </font>
    <font>
      <sz val="8"/>
      <color rgb="FF000000"/>
      <name val="Calibri"/>
      <family val="2"/>
    </font>
    <font>
      <i/>
      <sz val="9"/>
      <name val="Calibri"/>
      <family val="2"/>
      <scheme val="minor"/>
    </font>
    <font>
      <i/>
      <sz val="10"/>
      <name val="Goudy Old Style"/>
      <family val="1"/>
    </font>
    <font>
      <sz val="10"/>
      <color theme="0" tint="-0.249977111117893"/>
      <name val="Goudy Old Style"/>
      <family val="1"/>
    </font>
    <font>
      <b/>
      <sz val="10"/>
      <color theme="0" tint="-0.249977111117893"/>
      <name val="Goudy Old Style"/>
      <family val="1"/>
    </font>
    <font>
      <sz val="10"/>
      <color rgb="FFFFFFFF"/>
      <name val="Calibri"/>
      <family val="2"/>
    </font>
    <font>
      <b/>
      <sz val="10"/>
      <color theme="0"/>
      <name val="Calibri"/>
      <family val="2"/>
    </font>
    <font>
      <sz val="10"/>
      <color theme="0" tint="-0.249977111117893"/>
      <name val="Calibri"/>
      <family val="2"/>
      <scheme val="minor"/>
    </font>
    <font>
      <b/>
      <sz val="10"/>
      <color theme="0" tint="-0.249977111117893"/>
      <name val="Calibri"/>
      <family val="2"/>
      <scheme val="minor"/>
    </font>
    <font>
      <b/>
      <sz val="10"/>
      <color theme="0" tint="-0.14999847407452621"/>
      <name val="Goudy Old Style"/>
      <family val="1"/>
    </font>
    <font>
      <sz val="8"/>
      <color theme="0" tint="-0.14999847407452621"/>
      <name val="Helvetica"/>
      <family val="2"/>
    </font>
    <font>
      <sz val="8"/>
      <name val="Calibri"/>
      <family val="2"/>
    </font>
    <font>
      <b/>
      <vertAlign val="superscript"/>
      <sz val="10"/>
      <name val="Goudy Old Style"/>
      <family val="1"/>
    </font>
    <font>
      <sz val="10"/>
      <color rgb="FF000000"/>
      <name val="Calibri"/>
      <family val="2"/>
    </font>
    <font>
      <b/>
      <sz val="10"/>
      <color rgb="FF000000"/>
      <name val="Calibri"/>
      <family val="2"/>
    </font>
    <font>
      <b/>
      <sz val="11"/>
      <name val="Goudy Old Style"/>
      <family val="1"/>
    </font>
    <font>
      <b/>
      <sz val="10"/>
      <name val="Calibri"/>
      <family val="2"/>
    </font>
    <font>
      <sz val="11"/>
      <color theme="0" tint="-0.14999847407452621"/>
      <name val="Goudy Old Style"/>
      <family val="1"/>
    </font>
    <font>
      <sz val="8"/>
      <color theme="0" tint="-0.14999847407452621"/>
      <name val="Arial"/>
      <family val="2"/>
    </font>
    <font>
      <i/>
      <sz val="10"/>
      <color rgb="FFFFFFFF"/>
      <name val="Goudy Old Style"/>
      <family val="1"/>
    </font>
    <font>
      <b/>
      <i/>
      <sz val="10"/>
      <color theme="0" tint="-0.14999847407452621"/>
      <name val="Calibri"/>
      <family val="2"/>
      <scheme val="minor"/>
    </font>
    <font>
      <b/>
      <i/>
      <sz val="10"/>
      <color theme="1"/>
      <name val="Helvetica"/>
    </font>
    <font>
      <b/>
      <sz val="10"/>
      <color rgb="FFFF0000"/>
      <name val="Calibri"/>
      <family val="2"/>
      <scheme val="minor"/>
    </font>
    <font>
      <b/>
      <sz val="15"/>
      <color rgb="FFFF0000"/>
      <name val="Calibri"/>
      <family val="2"/>
      <scheme val="minor"/>
    </font>
    <font>
      <b/>
      <sz val="8"/>
      <color rgb="FFFF0066"/>
      <name val="Helvetica"/>
    </font>
    <font>
      <sz val="10"/>
      <color theme="0" tint="-0.14996795556505021"/>
      <name val="Helvetica"/>
      <family val="2"/>
    </font>
    <font>
      <sz val="8"/>
      <color theme="0" tint="-0.14996795556505021"/>
      <name val="Helvetica"/>
      <family val="2"/>
    </font>
    <font>
      <b/>
      <i/>
      <sz val="10"/>
      <name val="Calibri"/>
      <family val="2"/>
      <scheme val="minor"/>
    </font>
  </fonts>
  <fills count="45">
    <fill>
      <patternFill patternType="none"/>
    </fill>
    <fill>
      <patternFill patternType="gray125"/>
    </fill>
    <fill>
      <patternFill patternType="solid">
        <fgColor theme="3" tint="0.79998168889431442"/>
        <bgColor indexed="64"/>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4" tint="0.7999816888943144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00000"/>
        <bgColor indexed="64"/>
      </patternFill>
    </fill>
    <fill>
      <patternFill patternType="solid">
        <fgColor rgb="FF2A3D6F"/>
        <bgColor indexed="64"/>
      </patternFill>
    </fill>
    <fill>
      <patternFill patternType="solid">
        <fgColor rgb="FF7F7F7F"/>
        <bgColor indexed="64"/>
      </patternFill>
    </fill>
    <fill>
      <patternFill patternType="solid">
        <fgColor rgb="FFFFFFFF"/>
        <bgColor indexed="64"/>
      </patternFill>
    </fill>
    <fill>
      <patternFill patternType="solid">
        <fgColor rgb="FF75842F"/>
        <bgColor indexed="64"/>
      </patternFill>
    </fill>
    <fill>
      <patternFill patternType="solid">
        <fgColor rgb="FF00AB9E"/>
        <bgColor indexed="64"/>
      </patternFill>
    </fill>
    <fill>
      <patternFill patternType="solid">
        <fgColor rgb="FF007143"/>
        <bgColor indexed="64"/>
      </patternFill>
    </fill>
    <fill>
      <patternFill patternType="solid">
        <fgColor rgb="FF4BB0E4"/>
        <bgColor indexed="64"/>
      </patternFill>
    </fill>
    <fill>
      <patternFill patternType="solid">
        <fgColor rgb="FF0061AC"/>
        <bgColor indexed="64"/>
      </patternFill>
    </fill>
    <fill>
      <patternFill patternType="solid">
        <fgColor rgb="FF534368"/>
        <bgColor indexed="64"/>
      </patternFill>
    </fill>
    <fill>
      <patternFill patternType="solid">
        <fgColor rgb="FF8C1B10"/>
        <bgColor indexed="64"/>
      </patternFill>
    </fill>
    <fill>
      <patternFill patternType="solid">
        <fgColor rgb="FFC72D2C"/>
        <bgColor indexed="64"/>
      </patternFill>
    </fill>
    <fill>
      <patternFill patternType="solid">
        <fgColor rgb="FFEF7D17"/>
        <bgColor indexed="64"/>
      </patternFill>
    </fill>
    <fill>
      <patternFill patternType="solid">
        <fgColor rgb="FFFFD339"/>
        <bgColor indexed="64"/>
      </patternFill>
    </fill>
    <fill>
      <patternFill patternType="solid">
        <fgColor rgb="FF002060"/>
        <bgColor indexed="64"/>
      </patternFill>
    </fill>
    <fill>
      <patternFill patternType="solid">
        <fgColor rgb="FFD9D9D9"/>
        <bgColor indexed="64"/>
      </patternFill>
    </fill>
    <fill>
      <patternFill patternType="solid">
        <fgColor rgb="FFBFBFBF"/>
        <bgColor indexed="64"/>
      </patternFill>
    </fill>
    <fill>
      <patternFill patternType="solid">
        <fgColor theme="0"/>
        <bgColor indexed="64"/>
      </patternFill>
    </fill>
    <fill>
      <patternFill patternType="lightUp">
        <bgColor theme="0"/>
      </patternFill>
    </fill>
    <fill>
      <patternFill patternType="solid">
        <fgColor theme="0" tint="-0.249977111117893"/>
        <bgColor indexed="64"/>
      </patternFill>
    </fill>
    <fill>
      <patternFill patternType="solid">
        <fgColor rgb="FFDBDBDB"/>
        <bgColor indexed="64"/>
      </patternFill>
    </fill>
    <fill>
      <patternFill patternType="solid">
        <fgColor theme="0" tint="-0.14999847407452621"/>
        <bgColor indexed="64"/>
      </patternFill>
    </fill>
    <fill>
      <patternFill patternType="solid">
        <fgColor rgb="FF083050"/>
        <bgColor indexed="64"/>
      </patternFill>
    </fill>
    <fill>
      <patternFill patternType="solid">
        <fgColor rgb="FF00B0F0"/>
        <bgColor indexed="64"/>
      </patternFill>
    </fill>
    <fill>
      <patternFill patternType="solid">
        <fgColor rgb="FF0070C0"/>
        <bgColor indexed="64"/>
      </patternFill>
    </fill>
    <fill>
      <patternFill patternType="solid">
        <fgColor theme="3" tint="0.39997558519241921"/>
        <bgColor indexed="64"/>
      </patternFill>
    </fill>
    <fill>
      <patternFill patternType="solid">
        <fgColor rgb="FFFFFF00"/>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auto="1"/>
      </top>
      <bottom/>
      <diagonal/>
    </border>
    <border>
      <left style="thin">
        <color theme="0"/>
      </left>
      <right style="thin">
        <color theme="0"/>
      </right>
      <top style="thin">
        <color theme="0"/>
      </top>
      <bottom style="thin">
        <color theme="0"/>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dotted">
        <color indexed="64"/>
      </bottom>
      <diagonal/>
    </border>
    <border>
      <left/>
      <right style="dotted">
        <color auto="1"/>
      </right>
      <top/>
      <bottom/>
      <diagonal/>
    </border>
    <border>
      <left/>
      <right style="thin">
        <color theme="0"/>
      </right>
      <top style="thin">
        <color theme="0"/>
      </top>
      <bottom style="thin">
        <color theme="0"/>
      </bottom>
      <diagonal/>
    </border>
    <border>
      <left/>
      <right style="dotted">
        <color auto="1"/>
      </right>
      <top/>
      <bottom style="thin">
        <color auto="1"/>
      </bottom>
      <diagonal/>
    </border>
    <border>
      <left style="thin">
        <color theme="0"/>
      </left>
      <right style="dotted">
        <color auto="1"/>
      </right>
      <top style="thin">
        <color theme="0"/>
      </top>
      <bottom style="thin">
        <color theme="0"/>
      </bottom>
      <diagonal/>
    </border>
    <border>
      <left/>
      <right style="dotted">
        <color indexed="64"/>
      </right>
      <top style="dotted">
        <color indexed="64"/>
      </top>
      <bottom style="dotted">
        <color indexed="64"/>
      </bottom>
      <diagonal/>
    </border>
    <border>
      <left style="dashed">
        <color auto="1"/>
      </left>
      <right style="dashed">
        <color auto="1"/>
      </right>
      <top style="dashed">
        <color auto="1"/>
      </top>
      <bottom/>
      <diagonal/>
    </border>
    <border>
      <left style="dashed">
        <color auto="1"/>
      </left>
      <right style="dashed">
        <color auto="1"/>
      </right>
      <top/>
      <bottom style="dashed">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dotted">
        <color auto="1"/>
      </right>
      <top style="thin">
        <color auto="1"/>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rgb="FFFFFFFF"/>
      </bottom>
      <diagonal/>
    </border>
    <border>
      <left/>
      <right style="medium">
        <color indexed="64"/>
      </right>
      <top/>
      <bottom style="medium">
        <color rgb="FFFFFFFF"/>
      </bottom>
      <diagonal/>
    </border>
    <border>
      <left/>
      <right/>
      <top/>
      <bottom style="medium">
        <color indexed="64"/>
      </bottom>
      <diagonal/>
    </border>
    <border>
      <left/>
      <right/>
      <top style="medium">
        <color indexed="64"/>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24994659260841701"/>
      </left>
      <right style="medium">
        <color theme="0" tint="-0.24994659260841701"/>
      </right>
      <top style="medium">
        <color theme="0" tint="-0.24994659260841701"/>
      </top>
      <bottom/>
      <diagonal/>
    </border>
    <border>
      <left style="dotted">
        <color theme="0" tint="-0.14996795556505021"/>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top/>
      <bottom/>
      <diagonal/>
    </border>
    <border>
      <left style="dotted">
        <color auto="1"/>
      </left>
      <right/>
      <top/>
      <bottom/>
      <diagonal/>
    </border>
    <border>
      <left style="thin">
        <color indexed="64"/>
      </left>
      <right style="thin">
        <color indexed="64"/>
      </right>
      <top style="thin">
        <color indexed="64"/>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indexed="64"/>
      </right>
      <top style="medium">
        <color indexed="64"/>
      </top>
      <bottom style="medium">
        <color theme="0" tint="-0.249977111117893"/>
      </bottom>
      <diagonal/>
    </border>
    <border>
      <left/>
      <right style="medium">
        <color indexed="64"/>
      </right>
      <top style="medium">
        <color indexed="64"/>
      </top>
      <bottom style="medium">
        <color theme="0" tint="-0.249977111117893"/>
      </bottom>
      <diagonal/>
    </border>
    <border>
      <left/>
      <right style="medium">
        <color theme="0" tint="-0.249977111117893"/>
      </right>
      <top style="medium">
        <color indexed="64"/>
      </top>
      <bottom style="medium">
        <color theme="0" tint="-0.249977111117893"/>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theme="0" tint="-0.149967955565050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style="thin">
        <color indexed="64"/>
      </left>
      <right style="thin">
        <color indexed="64"/>
      </right>
      <top/>
      <bottom style="medium">
        <color indexed="64"/>
      </bottom>
      <diagonal/>
    </border>
    <border>
      <left style="hair">
        <color auto="1"/>
      </left>
      <right style="hair">
        <color auto="1"/>
      </right>
      <top style="hair">
        <color auto="1"/>
      </top>
      <bottom style="hair">
        <color auto="1"/>
      </bottom>
      <diagonal/>
    </border>
  </borders>
  <cellStyleXfs count="80">
    <xf numFmtId="0" fontId="0" fillId="0" borderId="0"/>
    <xf numFmtId="168" fontId="6" fillId="0" borderId="0" applyFill="0" applyBorder="0" applyProtection="0">
      <alignment vertical="center"/>
    </xf>
    <xf numFmtId="0" fontId="10" fillId="0" borderId="0" applyNumberFormat="0" applyFill="0" applyBorder="0" applyAlignment="0" applyProtection="0"/>
    <xf numFmtId="0" fontId="36" fillId="11" borderId="0" applyBorder="0">
      <alignment horizontal="left" vertical="center"/>
    </xf>
    <xf numFmtId="0" fontId="5" fillId="3" borderId="0" applyProtection="0">
      <alignment vertical="center"/>
    </xf>
    <xf numFmtId="0" fontId="7" fillId="0" borderId="0" applyFill="0" applyProtection="0">
      <alignment vertical="center"/>
    </xf>
    <xf numFmtId="0" fontId="6" fillId="0" borderId="0" applyFill="0" applyBorder="0" applyProtection="0">
      <alignment vertical="center"/>
    </xf>
    <xf numFmtId="0" fontId="8" fillId="0" borderId="5" applyNumberFormat="0" applyFill="0" applyAlignment="0" applyProtection="0"/>
    <xf numFmtId="0" fontId="32" fillId="12" borderId="4">
      <alignment horizontal="left" vertical="center"/>
      <protection locked="0"/>
    </xf>
    <xf numFmtId="164" fontId="31" fillId="0" borderId="0" applyFill="0" applyBorder="0">
      <alignment horizontal="center" vertical="center"/>
    </xf>
    <xf numFmtId="164" fontId="32" fillId="2" borderId="4">
      <alignment horizontal="center" vertical="center"/>
      <protection locked="0"/>
    </xf>
    <xf numFmtId="170" fontId="31" fillId="0" borderId="0" applyFill="0" applyBorder="0">
      <alignment horizontal="center" vertical="center"/>
    </xf>
    <xf numFmtId="170" fontId="32" fillId="12" borderId="4">
      <alignment horizontal="center" vertical="center"/>
      <protection locked="0"/>
    </xf>
    <xf numFmtId="165" fontId="31" fillId="0" borderId="0" applyFill="0" applyBorder="0">
      <alignment horizontal="right" vertical="center"/>
    </xf>
    <xf numFmtId="165" fontId="32" fillId="12" borderId="4">
      <alignment horizontal="right" vertical="center"/>
      <protection locked="0"/>
    </xf>
    <xf numFmtId="167" fontId="31" fillId="0" borderId="0" applyFill="0" applyBorder="0">
      <alignment horizontal="right" vertical="center"/>
    </xf>
    <xf numFmtId="167" fontId="32" fillId="12" borderId="4">
      <alignment horizontal="right" vertical="center"/>
      <protection locked="0"/>
    </xf>
    <xf numFmtId="166" fontId="31" fillId="0" borderId="0" applyFill="0" applyBorder="0">
      <alignment horizontal="right" vertical="center"/>
    </xf>
    <xf numFmtId="166" fontId="32" fillId="12" borderId="4">
      <alignment horizontal="right" vertical="center"/>
      <protection locked="0"/>
    </xf>
    <xf numFmtId="168" fontId="32" fillId="12" borderId="4">
      <alignment horizontal="right" vertical="center"/>
      <protection locked="0"/>
    </xf>
    <xf numFmtId="0" fontId="28" fillId="0" borderId="0" applyFill="0" applyBorder="0">
      <alignment horizontal="left" vertical="center"/>
    </xf>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6" applyNumberFormat="0" applyAlignment="0" applyProtection="0"/>
    <xf numFmtId="0" fontId="15" fillId="8" borderId="7" applyNumberFormat="0" applyAlignment="0" applyProtection="0"/>
    <xf numFmtId="0" fontId="16" fillId="8" borderId="6" applyNumberFormat="0" applyAlignment="0" applyProtection="0"/>
    <xf numFmtId="0" fontId="17" fillId="0" borderId="8" applyNumberFormat="0" applyFill="0" applyAlignment="0" applyProtection="0"/>
    <xf numFmtId="0" fontId="18" fillId="9" borderId="9" applyNumberFormat="0" applyAlignment="0" applyProtection="0"/>
    <xf numFmtId="0" fontId="19" fillId="0" borderId="0" applyNumberFormat="0" applyFill="0" applyBorder="0" applyAlignment="0" applyProtection="0"/>
    <xf numFmtId="0" fontId="6" fillId="10" borderId="10" applyNumberFormat="0" applyFont="0" applyAlignment="0" applyProtection="0"/>
    <xf numFmtId="0" fontId="20" fillId="0" borderId="0" applyNumberFormat="0" applyFill="0" applyBorder="0" applyAlignment="0" applyProtection="0"/>
    <xf numFmtId="0" fontId="21" fillId="0" borderId="0" applyNumberFormat="0" applyFill="0" applyBorder="0">
      <alignment horizontal="left" vertical="center"/>
    </xf>
    <xf numFmtId="0" fontId="22" fillId="0" borderId="0" applyFill="0" applyBorder="0">
      <alignment vertical="center"/>
    </xf>
    <xf numFmtId="0" fontId="33" fillId="0" borderId="0" applyFill="0" applyBorder="0">
      <alignment horizontal="left" vertical="center"/>
    </xf>
    <xf numFmtId="0" fontId="40" fillId="0" borderId="0" applyFill="0" applyBorder="0">
      <alignment horizontal="left" vertical="center"/>
    </xf>
    <xf numFmtId="0" fontId="32" fillId="0" borderId="0" applyFill="0" applyBorder="0">
      <alignment horizontal="left" vertical="center"/>
    </xf>
    <xf numFmtId="0" fontId="31" fillId="0" borderId="0" applyFill="0" applyBorder="0">
      <alignment vertical="center"/>
    </xf>
    <xf numFmtId="0" fontId="35" fillId="15" borderId="0" applyBorder="0">
      <alignment horizontal="left" vertical="center"/>
    </xf>
    <xf numFmtId="0" fontId="34" fillId="15" borderId="0" applyBorder="0">
      <alignment horizontal="left" vertical="center"/>
    </xf>
    <xf numFmtId="171" fontId="31" fillId="0" borderId="0" applyFill="0" applyBorder="0">
      <alignment horizontal="right" vertical="center"/>
    </xf>
    <xf numFmtId="0" fontId="27" fillId="0" borderId="0">
      <alignment horizontal="right" vertical="center"/>
    </xf>
    <xf numFmtId="0" fontId="24" fillId="13" borderId="0">
      <alignment horizontal="left" indent="3"/>
    </xf>
    <xf numFmtId="0" fontId="24" fillId="14" borderId="0">
      <alignment horizontal="left" indent="3"/>
    </xf>
    <xf numFmtId="173" fontId="9" fillId="0" borderId="0">
      <alignment horizontal="center" vertical="center"/>
    </xf>
    <xf numFmtId="174" fontId="26" fillId="12" borderId="4">
      <alignment horizontal="center" vertical="center"/>
      <protection locked="0"/>
    </xf>
    <xf numFmtId="174" fontId="9" fillId="0" borderId="0"/>
    <xf numFmtId="165" fontId="32" fillId="0" borderId="0" applyFill="0" applyBorder="0">
      <alignment horizontal="right" vertical="center"/>
    </xf>
    <xf numFmtId="170" fontId="32" fillId="0" borderId="0" applyFill="0" applyBorder="0">
      <alignment horizontal="center" vertical="center"/>
    </xf>
    <xf numFmtId="171" fontId="32" fillId="0" borderId="0" applyFill="0" applyBorder="0">
      <alignment horizontal="right" vertical="center"/>
    </xf>
    <xf numFmtId="166" fontId="32" fillId="0" borderId="0" applyFill="0" applyBorder="0">
      <alignment horizontal="right" vertical="center"/>
    </xf>
    <xf numFmtId="167" fontId="32" fillId="0" borderId="0" applyFill="0" applyBorder="0">
      <alignment horizontal="right" vertical="center"/>
    </xf>
    <xf numFmtId="164" fontId="32" fillId="0" borderId="0" applyFill="0" applyBorder="0">
      <alignment horizontal="center" vertical="center"/>
    </xf>
    <xf numFmtId="0" fontId="32" fillId="16" borderId="4">
      <alignment horizontal="center" vertical="center"/>
      <protection locked="0"/>
    </xf>
    <xf numFmtId="0" fontId="9" fillId="17" borderId="0"/>
    <xf numFmtId="165" fontId="38" fillId="3" borderId="4">
      <alignment horizontal="right" vertical="center"/>
      <protection locked="0"/>
    </xf>
    <xf numFmtId="0" fontId="42" fillId="0" borderId="0"/>
    <xf numFmtId="0" fontId="43"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3" fillId="0" borderId="0" applyFont="0" applyFill="0" applyBorder="0" applyAlignment="0" applyProtection="0"/>
    <xf numFmtId="0" fontId="72" fillId="0" borderId="0" applyFill="0" applyBorder="0">
      <alignment horizontal="left" vertical="center"/>
    </xf>
    <xf numFmtId="0" fontId="73" fillId="0" borderId="0"/>
    <xf numFmtId="0" fontId="74" fillId="0" borderId="0" applyFill="0" applyBorder="0">
      <alignment horizontal="left" vertical="center"/>
    </xf>
    <xf numFmtId="0" fontId="75" fillId="19" borderId="0" applyBorder="0">
      <alignment horizontal="left" vertical="center"/>
    </xf>
    <xf numFmtId="0" fontId="18" fillId="22" borderId="0" applyBorder="0">
      <alignment horizontal="left" vertical="center"/>
    </xf>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821">
    <xf numFmtId="0" fontId="0" fillId="0" borderId="0" xfId="0"/>
    <xf numFmtId="0" fontId="0" fillId="0" borderId="0" xfId="0" applyFont="1"/>
    <xf numFmtId="0" fontId="0" fillId="0" borderId="0" xfId="0" applyFont="1" applyFill="1"/>
    <xf numFmtId="0" fontId="0" fillId="0" borderId="0" xfId="0" applyFont="1" applyFill="1" applyAlignment="1">
      <alignment horizontal="left"/>
    </xf>
    <xf numFmtId="0" fontId="36" fillId="11" borderId="0" xfId="3">
      <alignment horizontal="left" vertical="center"/>
    </xf>
    <xf numFmtId="0" fontId="28" fillId="0" borderId="0" xfId="20">
      <alignment horizontal="left" vertical="center"/>
    </xf>
    <xf numFmtId="0" fontId="0" fillId="0" borderId="0" xfId="0" applyFont="1" applyFill="1"/>
    <xf numFmtId="0" fontId="0" fillId="0" borderId="0" xfId="0" applyFont="1"/>
    <xf numFmtId="0" fontId="33" fillId="0" borderId="0" xfId="34">
      <alignment horizontal="left" vertical="center"/>
    </xf>
    <xf numFmtId="0" fontId="0" fillId="0" borderId="0" xfId="0"/>
    <xf numFmtId="0" fontId="40" fillId="0" borderId="0" xfId="35" applyFill="1">
      <alignment horizontal="left" vertical="center"/>
    </xf>
    <xf numFmtId="0" fontId="32" fillId="0" borderId="0" xfId="36">
      <alignment horizontal="left" vertical="center"/>
    </xf>
    <xf numFmtId="0" fontId="31" fillId="0" borderId="0" xfId="37">
      <alignment vertical="center"/>
    </xf>
    <xf numFmtId="0" fontId="35" fillId="15" borderId="0" xfId="38">
      <alignment horizontal="left" vertical="center"/>
    </xf>
    <xf numFmtId="0" fontId="33" fillId="0" borderId="0" xfId="34" applyFill="1">
      <alignment horizontal="left" vertical="center"/>
    </xf>
    <xf numFmtId="0" fontId="31" fillId="0" borderId="0" xfId="37" applyFill="1">
      <alignment vertical="center"/>
    </xf>
    <xf numFmtId="0" fontId="32" fillId="0" borderId="0" xfId="36" applyFill="1">
      <alignment horizontal="left" vertical="center"/>
    </xf>
    <xf numFmtId="0" fontId="32" fillId="0" borderId="1" xfId="36" applyBorder="1" applyAlignment="1">
      <alignment horizontal="center" vertical="center"/>
    </xf>
    <xf numFmtId="0" fontId="23" fillId="0" borderId="0" xfId="37" applyFont="1" applyFill="1">
      <alignment vertical="center"/>
    </xf>
    <xf numFmtId="0" fontId="32" fillId="0" borderId="0" xfId="36" applyAlignment="1">
      <alignment horizontal="right" vertical="center"/>
    </xf>
    <xf numFmtId="0" fontId="33" fillId="0" borderId="0" xfId="34" applyAlignment="1">
      <alignment horizontal="center" vertical="center"/>
    </xf>
    <xf numFmtId="0" fontId="0" fillId="0" borderId="0" xfId="0" applyFont="1" applyAlignment="1">
      <alignment horizontal="center"/>
    </xf>
    <xf numFmtId="0" fontId="32" fillId="0" borderId="0" xfId="36" applyAlignment="1">
      <alignment horizontal="center" vertical="center"/>
    </xf>
    <xf numFmtId="4" fontId="0" fillId="0" borderId="0" xfId="0" applyNumberFormat="1" applyFont="1"/>
    <xf numFmtId="172" fontId="0" fillId="0" borderId="0" xfId="0" applyNumberFormat="1" applyFont="1"/>
    <xf numFmtId="0" fontId="36" fillId="11" borderId="0" xfId="3" applyFill="1">
      <alignment horizontal="left" vertical="center"/>
    </xf>
    <xf numFmtId="0" fontId="29" fillId="0" borderId="0" xfId="37" applyFont="1" applyFill="1">
      <alignment vertical="center"/>
    </xf>
    <xf numFmtId="169" fontId="31" fillId="0" borderId="0" xfId="13" applyNumberFormat="1">
      <alignment horizontal="right" vertical="center"/>
    </xf>
    <xf numFmtId="173" fontId="9" fillId="0" borderId="3" xfId="44" applyBorder="1" applyAlignment="1">
      <alignment horizontal="center"/>
    </xf>
    <xf numFmtId="0" fontId="31" fillId="0" borderId="3" xfId="37" applyBorder="1">
      <alignment vertical="center"/>
    </xf>
    <xf numFmtId="0" fontId="0" fillId="0" borderId="14" xfId="0" applyBorder="1"/>
    <xf numFmtId="0" fontId="0" fillId="0" borderId="3" xfId="0" applyBorder="1"/>
    <xf numFmtId="0" fontId="0" fillId="0" borderId="15" xfId="0" applyBorder="1"/>
    <xf numFmtId="0" fontId="0" fillId="0" borderId="12" xfId="0" applyBorder="1"/>
    <xf numFmtId="0" fontId="0" fillId="0" borderId="0" xfId="0" applyBorder="1"/>
    <xf numFmtId="0" fontId="0" fillId="0" borderId="11" xfId="0" applyBorder="1"/>
    <xf numFmtId="0" fontId="32" fillId="0" borderId="0" xfId="36" applyBorder="1">
      <alignment horizontal="left" vertical="center"/>
    </xf>
    <xf numFmtId="0" fontId="33" fillId="0" borderId="0" xfId="34" applyBorder="1" applyAlignment="1">
      <alignment horizontal="center" vertical="center"/>
    </xf>
    <xf numFmtId="0" fontId="40" fillId="0" borderId="0" xfId="35" applyBorder="1" applyAlignment="1">
      <alignment horizontal="center" vertical="center"/>
    </xf>
    <xf numFmtId="0" fontId="24" fillId="11" borderId="0" xfId="3" applyFont="1" applyBorder="1" applyAlignment="1">
      <alignment horizontal="center" vertical="center"/>
    </xf>
    <xf numFmtId="0" fontId="25" fillId="15" borderId="0" xfId="38" applyFont="1" applyBorder="1" applyAlignment="1">
      <alignment horizontal="center" vertical="center"/>
    </xf>
    <xf numFmtId="0" fontId="0" fillId="0" borderId="16" xfId="0" applyBorder="1"/>
    <xf numFmtId="0" fontId="0" fillId="0" borderId="2" xfId="0" applyBorder="1"/>
    <xf numFmtId="0" fontId="0" fillId="0" borderId="13" xfId="0" applyBorder="1"/>
    <xf numFmtId="0" fontId="32" fillId="12" borderId="4" xfId="8" applyBorder="1" applyAlignment="1">
      <alignment horizontal="center" vertical="center"/>
      <protection locked="0"/>
    </xf>
    <xf numFmtId="0" fontId="33" fillId="0" borderId="0" xfId="34" applyFill="1" applyBorder="1" applyAlignment="1">
      <alignment vertical="center"/>
    </xf>
    <xf numFmtId="0" fontId="30" fillId="0" borderId="0" xfId="3" applyFont="1" applyFill="1">
      <alignment horizontal="left" vertical="center"/>
    </xf>
    <xf numFmtId="0" fontId="37" fillId="0" borderId="0" xfId="0" applyFont="1" applyFill="1" applyAlignment="1">
      <alignment horizontal="center"/>
    </xf>
    <xf numFmtId="0" fontId="21" fillId="0" borderId="0" xfId="32" applyBorder="1">
      <alignment horizontal="left" vertical="center"/>
    </xf>
    <xf numFmtId="0" fontId="21" fillId="0" borderId="0" xfId="32">
      <alignment horizontal="left" vertical="center"/>
    </xf>
    <xf numFmtId="0" fontId="21" fillId="0" borderId="0" xfId="32" applyAlignment="1">
      <alignment horizontal="center" vertical="center"/>
    </xf>
    <xf numFmtId="0" fontId="9" fillId="17" borderId="0" xfId="54"/>
    <xf numFmtId="0" fontId="32" fillId="16" borderId="4" xfId="53">
      <alignment horizontal="center" vertical="center"/>
      <protection locked="0"/>
    </xf>
    <xf numFmtId="165" fontId="32" fillId="3" borderId="4" xfId="14" applyFill="1">
      <alignment horizontal="right" vertical="center"/>
      <protection locked="0"/>
    </xf>
    <xf numFmtId="0" fontId="0" fillId="0" borderId="0" xfId="0" applyFill="1"/>
    <xf numFmtId="0" fontId="21" fillId="0" borderId="0" xfId="32" applyFill="1">
      <alignment horizontal="left" vertical="center"/>
    </xf>
    <xf numFmtId="170" fontId="32" fillId="0" borderId="1" xfId="48" applyBorder="1">
      <alignment horizontal="center" vertical="center"/>
    </xf>
    <xf numFmtId="170" fontId="31" fillId="0" borderId="0" xfId="11" applyAlignment="1">
      <alignment horizontal="right" vertical="center"/>
    </xf>
    <xf numFmtId="0" fontId="40" fillId="0" borderId="0" xfId="35" applyAlignment="1">
      <alignment horizontal="right" vertical="center"/>
    </xf>
    <xf numFmtId="0" fontId="40" fillId="0" borderId="0" xfId="35" applyAlignment="1">
      <alignment horizontal="center" vertical="center"/>
    </xf>
    <xf numFmtId="170" fontId="31" fillId="0" borderId="0" xfId="11" applyAlignment="1">
      <alignment horizontal="center" vertical="center"/>
    </xf>
    <xf numFmtId="169" fontId="31" fillId="0" borderId="0" xfId="13" applyNumberFormat="1" applyAlignment="1">
      <alignment horizontal="center" vertical="center"/>
    </xf>
    <xf numFmtId="0" fontId="31" fillId="0" borderId="0" xfId="37" applyAlignment="1">
      <alignment horizontal="center" vertical="center"/>
    </xf>
    <xf numFmtId="165" fontId="32" fillId="12" borderId="4" xfId="14" applyAlignment="1">
      <alignment horizontal="center" vertical="center"/>
      <protection locked="0"/>
    </xf>
    <xf numFmtId="0" fontId="32" fillId="0" borderId="0" xfId="36" applyFill="1" applyAlignment="1">
      <alignment horizontal="center" vertical="center"/>
    </xf>
    <xf numFmtId="173" fontId="9" fillId="0" borderId="0" xfId="44" applyBorder="1" applyAlignment="1">
      <alignment horizontal="center" vertical="center"/>
    </xf>
    <xf numFmtId="0" fontId="40" fillId="0" borderId="0" xfId="35" applyAlignment="1">
      <alignment horizontal="center" vertical="center" wrapText="1"/>
    </xf>
    <xf numFmtId="0" fontId="40" fillId="0" borderId="2" xfId="35" applyBorder="1" applyAlignment="1">
      <alignment horizontal="center" vertical="center" wrapText="1"/>
    </xf>
    <xf numFmtId="0" fontId="40" fillId="0" borderId="2" xfId="35" applyBorder="1">
      <alignment horizontal="left" vertical="center"/>
    </xf>
    <xf numFmtId="0" fontId="31" fillId="0" borderId="0" xfId="37" applyFill="1" applyAlignment="1">
      <alignment horizontal="center" vertical="center"/>
    </xf>
    <xf numFmtId="173" fontId="9" fillId="0" borderId="0" xfId="44" applyFill="1" applyBorder="1" applyAlignment="1">
      <alignment horizontal="center" vertical="center"/>
    </xf>
    <xf numFmtId="175" fontId="31" fillId="0" borderId="0" xfId="13" applyNumberFormat="1" applyFill="1" applyAlignment="1">
      <alignment horizontal="center" vertical="center"/>
    </xf>
    <xf numFmtId="0" fontId="41" fillId="0" borderId="0" xfId="37" applyFont="1">
      <alignment vertical="center"/>
    </xf>
    <xf numFmtId="175" fontId="31" fillId="0" borderId="17" xfId="13" applyNumberFormat="1" applyFill="1" applyBorder="1" applyAlignment="1">
      <alignment horizontal="center" vertical="center"/>
    </xf>
    <xf numFmtId="20" fontId="0" fillId="0" borderId="0" xfId="0" quotePrefix="1" applyNumberFormat="1"/>
    <xf numFmtId="0" fontId="32" fillId="0" borderId="0" xfId="36" applyBorder="1" applyAlignment="1">
      <alignment horizontal="center" vertical="center"/>
    </xf>
    <xf numFmtId="176" fontId="32" fillId="3" borderId="4" xfId="16" applyNumberFormat="1" applyFill="1" applyAlignment="1">
      <alignment horizontal="center" vertical="center"/>
      <protection locked="0"/>
    </xf>
    <xf numFmtId="0" fontId="0" fillId="0" borderId="18" xfId="0" applyFont="1" applyBorder="1"/>
    <xf numFmtId="176" fontId="32" fillId="3" borderId="19" xfId="16" applyNumberFormat="1" applyFill="1" applyBorder="1" applyAlignment="1">
      <alignment horizontal="center" vertical="center"/>
      <protection locked="0"/>
    </xf>
    <xf numFmtId="0" fontId="40" fillId="0" borderId="20" xfId="35" applyBorder="1" applyAlignment="1">
      <alignment horizontal="center" vertical="center" wrapText="1"/>
    </xf>
    <xf numFmtId="0" fontId="0" fillId="0" borderId="0" xfId="0" applyFont="1" applyBorder="1"/>
    <xf numFmtId="176" fontId="32" fillId="3" borderId="4" xfId="16" applyNumberFormat="1" applyFill="1" applyBorder="1" applyAlignment="1">
      <alignment horizontal="center" vertical="center"/>
      <protection locked="0"/>
    </xf>
    <xf numFmtId="176" fontId="32" fillId="3" borderId="21" xfId="16" applyNumberFormat="1" applyFill="1" applyBorder="1" applyAlignment="1">
      <alignment horizontal="center" vertical="center"/>
      <protection locked="0"/>
    </xf>
    <xf numFmtId="175" fontId="31" fillId="0" borderId="22" xfId="13" applyNumberFormat="1" applyFill="1" applyBorder="1" applyAlignment="1">
      <alignment horizontal="center" vertical="center"/>
    </xf>
    <xf numFmtId="0" fontId="0" fillId="0" borderId="0" xfId="0" applyFont="1" applyFill="1" applyBorder="1"/>
    <xf numFmtId="0" fontId="0" fillId="0" borderId="18" xfId="0" applyFont="1" applyFill="1" applyBorder="1"/>
    <xf numFmtId="175" fontId="31" fillId="0" borderId="0" xfId="13" applyNumberFormat="1" applyFill="1" applyBorder="1" applyAlignment="1">
      <alignment horizontal="center" vertical="center"/>
    </xf>
    <xf numFmtId="175" fontId="31" fillId="0" borderId="18" xfId="13" applyNumberFormat="1" applyFill="1" applyBorder="1" applyAlignment="1">
      <alignment horizontal="center" vertical="center"/>
    </xf>
    <xf numFmtId="170" fontId="31" fillId="0" borderId="23" xfId="11" applyBorder="1" applyAlignment="1">
      <alignment horizontal="right" vertical="center"/>
    </xf>
    <xf numFmtId="170" fontId="31" fillId="0" borderId="24" xfId="11" applyBorder="1" applyAlignment="1">
      <alignment horizontal="right" vertical="center"/>
    </xf>
    <xf numFmtId="176" fontId="32" fillId="12" borderId="4" xfId="16" applyNumberFormat="1" applyAlignment="1">
      <alignment horizontal="center" vertical="center"/>
      <protection locked="0"/>
    </xf>
    <xf numFmtId="0" fontId="31" fillId="0" borderId="0" xfId="37" applyAlignment="1">
      <alignment horizontal="left" vertical="center"/>
    </xf>
    <xf numFmtId="0" fontId="0" fillId="18" borderId="4" xfId="0" applyFont="1" applyFill="1" applyBorder="1"/>
    <xf numFmtId="9" fontId="31" fillId="0" borderId="0" xfId="37" applyNumberFormat="1" applyAlignment="1">
      <alignment horizontal="left" vertical="center"/>
    </xf>
    <xf numFmtId="0" fontId="46" fillId="0" borderId="0" xfId="20" applyFont="1">
      <alignment horizontal="left" vertical="center"/>
    </xf>
    <xf numFmtId="0" fontId="47" fillId="0" borderId="0" xfId="0" applyFont="1"/>
    <xf numFmtId="0" fontId="48" fillId="0" borderId="0" xfId="37" applyFont="1" applyFill="1">
      <alignment vertical="center"/>
    </xf>
    <xf numFmtId="0" fontId="49" fillId="0" borderId="0" xfId="32" applyFont="1" applyFill="1">
      <alignment horizontal="left" vertical="center"/>
    </xf>
    <xf numFmtId="0" fontId="50" fillId="0" borderId="0" xfId="36" applyFont="1" applyFill="1">
      <alignment horizontal="left" vertical="center"/>
    </xf>
    <xf numFmtId="0" fontId="51" fillId="0" borderId="0" xfId="3" applyFont="1" applyFill="1">
      <alignment horizontal="left" vertical="center"/>
    </xf>
    <xf numFmtId="0" fontId="47" fillId="0" borderId="0" xfId="0" applyFont="1" applyFill="1"/>
    <xf numFmtId="0" fontId="52" fillId="0" borderId="0" xfId="35" applyFont="1">
      <alignment horizontal="left" vertical="center"/>
    </xf>
    <xf numFmtId="0" fontId="53" fillId="0" borderId="0" xfId="37" applyFont="1">
      <alignment vertical="center"/>
    </xf>
    <xf numFmtId="0" fontId="54" fillId="0" borderId="0" xfId="20" applyFont="1">
      <alignment horizontal="left" vertical="center"/>
    </xf>
    <xf numFmtId="0" fontId="55" fillId="0" borderId="0" xfId="0" applyFont="1"/>
    <xf numFmtId="0" fontId="56" fillId="0" borderId="0" xfId="37" applyFont="1" applyFill="1">
      <alignment vertical="center"/>
    </xf>
    <xf numFmtId="0" fontId="57" fillId="0" borderId="0" xfId="32" applyFont="1" applyFill="1">
      <alignment horizontal="left" vertical="center"/>
    </xf>
    <xf numFmtId="0" fontId="58" fillId="0" borderId="0" xfId="36" applyFont="1" applyFill="1">
      <alignment horizontal="left" vertical="center"/>
    </xf>
    <xf numFmtId="0" fontId="59" fillId="0" borderId="0" xfId="3" applyFont="1" applyFill="1">
      <alignment horizontal="left" vertical="center"/>
    </xf>
    <xf numFmtId="0" fontId="55" fillId="0" borderId="0" xfId="0" applyFont="1" applyFill="1"/>
    <xf numFmtId="0" fontId="60" fillId="0" borderId="0" xfId="35" applyFont="1">
      <alignment horizontal="left" vertical="center"/>
    </xf>
    <xf numFmtId="0" fontId="60" fillId="0" borderId="0" xfId="35" applyFont="1" applyAlignment="1">
      <alignment horizontal="center" vertical="center"/>
    </xf>
    <xf numFmtId="0" fontId="61" fillId="0" borderId="0" xfId="37" applyFont="1">
      <alignment vertical="center"/>
    </xf>
    <xf numFmtId="165" fontId="61" fillId="0" borderId="0" xfId="13" applyFont="1" applyAlignment="1">
      <alignment horizontal="center" vertical="center"/>
    </xf>
    <xf numFmtId="0" fontId="61" fillId="0" borderId="0" xfId="37" applyFont="1" applyAlignment="1">
      <alignment horizontal="right" vertical="center"/>
    </xf>
    <xf numFmtId="9" fontId="62" fillId="3" borderId="4" xfId="62" applyFont="1" applyFill="1" applyBorder="1" applyAlignment="1" applyProtection="1">
      <alignment horizontal="center" vertical="center"/>
      <protection locked="0"/>
    </xf>
    <xf numFmtId="165" fontId="61" fillId="0" borderId="25" xfId="13" applyFont="1" applyBorder="1" applyAlignment="1">
      <alignment horizontal="center" vertical="center"/>
    </xf>
    <xf numFmtId="165" fontId="61" fillId="0" borderId="27" xfId="13" applyFont="1" applyBorder="1" applyAlignment="1">
      <alignment horizontal="center" vertical="center"/>
    </xf>
    <xf numFmtId="165" fontId="61" fillId="0" borderId="26" xfId="13" applyFont="1" applyBorder="1" applyAlignment="1">
      <alignment horizontal="center" vertical="center"/>
    </xf>
    <xf numFmtId="0" fontId="63" fillId="0" borderId="0" xfId="20" applyFont="1">
      <alignment horizontal="left" vertical="center"/>
    </xf>
    <xf numFmtId="0" fontId="64" fillId="0" borderId="0" xfId="0" applyFont="1"/>
    <xf numFmtId="0" fontId="65" fillId="0" borderId="0" xfId="37" applyFont="1" applyFill="1">
      <alignment vertical="center"/>
    </xf>
    <xf numFmtId="0" fontId="66" fillId="0" borderId="0" xfId="32" applyFont="1" applyFill="1">
      <alignment horizontal="left" vertical="center"/>
    </xf>
    <xf numFmtId="0" fontId="67" fillId="0" borderId="0" xfId="36" applyFont="1" applyFill="1">
      <alignment horizontal="left" vertical="center"/>
    </xf>
    <xf numFmtId="0" fontId="68" fillId="0" borderId="0" xfId="3" applyFont="1" applyFill="1">
      <alignment horizontal="left" vertical="center"/>
    </xf>
    <xf numFmtId="0" fontId="64" fillId="0" borderId="0" xfId="0" applyFont="1" applyFill="1"/>
    <xf numFmtId="0" fontId="69" fillId="0" borderId="0" xfId="35" applyFont="1">
      <alignment horizontal="left" vertical="center"/>
    </xf>
    <xf numFmtId="0" fontId="69" fillId="0" borderId="0" xfId="35" applyFont="1" applyAlignment="1">
      <alignment horizontal="center" vertical="center"/>
    </xf>
    <xf numFmtId="0" fontId="70" fillId="0" borderId="0" xfId="37" applyFont="1">
      <alignment vertical="center"/>
    </xf>
    <xf numFmtId="165" fontId="71" fillId="0" borderId="4" xfId="55" applyFont="1" applyFill="1" applyBorder="1" applyAlignment="1">
      <alignment horizontal="center" vertical="center"/>
      <protection locked="0"/>
    </xf>
    <xf numFmtId="165" fontId="70" fillId="0" borderId="0" xfId="13" applyFont="1" applyAlignment="1">
      <alignment horizontal="center" vertical="center"/>
    </xf>
    <xf numFmtId="165" fontId="67" fillId="12" borderId="4" xfId="14" applyFont="1" applyAlignment="1">
      <alignment horizontal="center" vertical="center"/>
      <protection locked="0"/>
    </xf>
    <xf numFmtId="0" fontId="70" fillId="0" borderId="0" xfId="37" applyFont="1" applyAlignment="1">
      <alignment horizontal="right" vertical="center"/>
    </xf>
    <xf numFmtId="0" fontId="70" fillId="0" borderId="0" xfId="37" applyFont="1" applyFill="1" applyBorder="1" applyAlignment="1">
      <alignment horizontal="right" vertical="center"/>
    </xf>
    <xf numFmtId="165" fontId="70" fillId="0" borderId="0" xfId="13" applyFont="1" applyFill="1" applyAlignment="1">
      <alignment horizontal="center" vertical="center"/>
    </xf>
    <xf numFmtId="0" fontId="64" fillId="17" borderId="0" xfId="0" applyFont="1" applyFill="1"/>
    <xf numFmtId="0" fontId="72" fillId="0" borderId="0" xfId="63">
      <alignment horizontal="left" vertical="center"/>
    </xf>
    <xf numFmtId="0" fontId="73" fillId="0" borderId="0" xfId="64"/>
    <xf numFmtId="0" fontId="74" fillId="0" borderId="0" xfId="65">
      <alignment horizontal="left" vertical="center"/>
    </xf>
    <xf numFmtId="0" fontId="75" fillId="19" borderId="0" xfId="66">
      <alignment horizontal="left" vertical="center"/>
    </xf>
    <xf numFmtId="0" fontId="76" fillId="19" borderId="28" xfId="64" applyFont="1" applyFill="1" applyBorder="1" applyAlignment="1">
      <alignment vertical="center" wrapText="1"/>
    </xf>
    <xf numFmtId="0" fontId="77" fillId="19" borderId="29" xfId="64" applyFont="1" applyFill="1" applyBorder="1" applyAlignment="1">
      <alignment horizontal="center" vertical="center" wrapText="1"/>
    </xf>
    <xf numFmtId="0" fontId="78" fillId="0" borderId="30" xfId="64" applyFont="1" applyBorder="1" applyAlignment="1">
      <alignment vertical="center" wrapText="1"/>
    </xf>
    <xf numFmtId="0" fontId="78" fillId="0" borderId="31" xfId="64" applyFont="1" applyBorder="1" applyAlignment="1">
      <alignment horizontal="right" vertical="center" wrapText="1"/>
    </xf>
    <xf numFmtId="0" fontId="78" fillId="0" borderId="31" xfId="64" applyFont="1" applyBorder="1" applyAlignment="1">
      <alignment vertical="center" wrapText="1"/>
    </xf>
    <xf numFmtId="10" fontId="78" fillId="0" borderId="31" xfId="64" applyNumberFormat="1" applyFont="1" applyBorder="1" applyAlignment="1">
      <alignment horizontal="right" vertical="center" wrapText="1"/>
    </xf>
    <xf numFmtId="0" fontId="77" fillId="19" borderId="28" xfId="64" applyFont="1" applyFill="1" applyBorder="1" applyAlignment="1">
      <alignment vertical="center" wrapText="1"/>
    </xf>
    <xf numFmtId="3" fontId="78" fillId="0" borderId="31" xfId="64" applyNumberFormat="1" applyFont="1" applyBorder="1" applyAlignment="1">
      <alignment horizontal="right" vertical="center" wrapText="1"/>
    </xf>
    <xf numFmtId="0" fontId="77" fillId="19" borderId="31" xfId="64" applyFont="1" applyFill="1" applyBorder="1" applyAlignment="1">
      <alignment horizontal="center" vertical="center" wrapText="1"/>
    </xf>
    <xf numFmtId="0" fontId="82" fillId="0" borderId="30" xfId="64" applyFont="1" applyBorder="1" applyAlignment="1">
      <alignment vertical="center" wrapText="1"/>
    </xf>
    <xf numFmtId="0" fontId="82" fillId="0" borderId="31" xfId="64" applyFont="1" applyBorder="1" applyAlignment="1">
      <alignment horizontal="right" vertical="center" wrapText="1"/>
    </xf>
    <xf numFmtId="0" fontId="79" fillId="0" borderId="30" xfId="64" applyFont="1" applyBorder="1" applyAlignment="1">
      <alignment vertical="center" wrapText="1"/>
    </xf>
    <xf numFmtId="0" fontId="77" fillId="19" borderId="29" xfId="64" applyFont="1" applyFill="1" applyBorder="1" applyAlignment="1">
      <alignment vertical="center" wrapText="1"/>
    </xf>
    <xf numFmtId="0" fontId="77" fillId="19" borderId="29" xfId="64" applyFont="1" applyFill="1" applyBorder="1" applyAlignment="1">
      <alignment horizontal="right" vertical="center" wrapText="1"/>
    </xf>
    <xf numFmtId="0" fontId="83" fillId="0" borderId="30" xfId="64" applyFont="1" applyBorder="1" applyAlignment="1">
      <alignment vertical="center" wrapText="1"/>
    </xf>
    <xf numFmtId="0" fontId="76" fillId="19" borderId="29" xfId="64" applyFont="1" applyFill="1" applyBorder="1" applyAlignment="1">
      <alignment horizontal="center" vertical="center" wrapText="1"/>
    </xf>
    <xf numFmtId="0" fontId="77" fillId="19" borderId="28" xfId="64" applyFont="1" applyFill="1" applyBorder="1" applyAlignment="1">
      <alignment horizontal="center" vertical="center" wrapText="1"/>
    </xf>
    <xf numFmtId="0" fontId="84" fillId="0" borderId="30" xfId="64" applyFont="1" applyBorder="1" applyAlignment="1">
      <alignment vertical="center" wrapText="1"/>
    </xf>
    <xf numFmtId="0" fontId="85" fillId="19" borderId="28" xfId="64" applyFont="1" applyFill="1" applyBorder="1" applyAlignment="1">
      <alignment horizontal="center" vertical="center" wrapText="1"/>
    </xf>
    <xf numFmtId="0" fontId="85" fillId="19" borderId="29" xfId="64" applyFont="1" applyFill="1" applyBorder="1" applyAlignment="1">
      <alignment horizontal="center" vertical="center" wrapText="1"/>
    </xf>
    <xf numFmtId="0" fontId="86" fillId="0" borderId="30" xfId="64" applyFont="1" applyBorder="1" applyAlignment="1">
      <alignment vertical="center" wrapText="1"/>
    </xf>
    <xf numFmtId="0" fontId="79" fillId="0" borderId="31" xfId="64" applyFont="1" applyBorder="1" applyAlignment="1">
      <alignment horizontal="right" vertical="center" wrapText="1"/>
    </xf>
    <xf numFmtId="0" fontId="18" fillId="22" borderId="0" xfId="67">
      <alignment horizontal="left" vertical="center"/>
    </xf>
    <xf numFmtId="0" fontId="75" fillId="19" borderId="4" xfId="66" applyBorder="1">
      <alignment horizontal="left" vertical="center"/>
    </xf>
    <xf numFmtId="0" fontId="18" fillId="22" borderId="4" xfId="67" applyBorder="1">
      <alignment horizontal="left" vertical="center"/>
    </xf>
    <xf numFmtId="0" fontId="0" fillId="0" borderId="4" xfId="0" applyFont="1" applyBorder="1"/>
    <xf numFmtId="0" fontId="0" fillId="23" borderId="4" xfId="0" applyFont="1" applyFill="1" applyBorder="1"/>
    <xf numFmtId="0" fontId="0" fillId="24" borderId="4" xfId="0" applyFont="1" applyFill="1" applyBorder="1"/>
    <xf numFmtId="0" fontId="0" fillId="25" borderId="4" xfId="0" applyFont="1" applyFill="1" applyBorder="1"/>
    <xf numFmtId="0" fontId="0" fillId="26" borderId="4" xfId="0" applyFont="1" applyFill="1" applyBorder="1"/>
    <xf numFmtId="0" fontId="0" fillId="27" borderId="4" xfId="0" applyFont="1" applyFill="1" applyBorder="1"/>
    <xf numFmtId="0" fontId="6" fillId="28" borderId="4" xfId="0" applyFont="1" applyFill="1" applyBorder="1"/>
    <xf numFmtId="0" fontId="0" fillId="29" borderId="4" xfId="0" applyFont="1" applyFill="1" applyBorder="1"/>
    <xf numFmtId="0" fontId="0" fillId="30" borderId="4" xfId="0" applyFont="1" applyFill="1" applyBorder="1"/>
    <xf numFmtId="0" fontId="0" fillId="31" borderId="4" xfId="0" applyFont="1" applyFill="1" applyBorder="1"/>
    <xf numFmtId="0" fontId="18" fillId="22" borderId="0" xfId="67" applyFill="1">
      <alignment horizontal="left" vertical="center"/>
    </xf>
    <xf numFmtId="0" fontId="32" fillId="0" borderId="0" xfId="36" applyFill="1" applyBorder="1">
      <alignment horizontal="left" vertical="center"/>
    </xf>
    <xf numFmtId="43" fontId="78" fillId="0" borderId="31" xfId="64" applyNumberFormat="1" applyFont="1" applyBorder="1" applyAlignment="1">
      <alignment horizontal="right" vertical="center" wrapText="1"/>
    </xf>
    <xf numFmtId="43" fontId="78" fillId="0" borderId="31" xfId="64" applyNumberFormat="1" applyFont="1" applyBorder="1" applyAlignment="1">
      <alignment vertical="center" wrapText="1"/>
    </xf>
    <xf numFmtId="43" fontId="82" fillId="0" borderId="31" xfId="64" applyNumberFormat="1" applyFont="1" applyBorder="1" applyAlignment="1">
      <alignment horizontal="right" vertical="center" wrapText="1"/>
    </xf>
    <xf numFmtId="0" fontId="82" fillId="0" borderId="0" xfId="64" applyFont="1" applyBorder="1" applyAlignment="1">
      <alignment vertical="center" wrapText="1"/>
    </xf>
    <xf numFmtId="43" fontId="82" fillId="0" borderId="31" xfId="64" applyNumberFormat="1" applyFont="1" applyFill="1" applyBorder="1" applyAlignment="1">
      <alignment horizontal="right" vertical="center" wrapText="1"/>
    </xf>
    <xf numFmtId="43" fontId="82" fillId="0" borderId="0" xfId="64" applyNumberFormat="1" applyFont="1" applyFill="1" applyBorder="1" applyAlignment="1">
      <alignment horizontal="right" vertical="center" wrapText="1"/>
    </xf>
    <xf numFmtId="0" fontId="82" fillId="0" borderId="0" xfId="64" applyFont="1" applyFill="1" applyBorder="1" applyAlignment="1">
      <alignment vertical="center" wrapText="1"/>
    </xf>
    <xf numFmtId="10" fontId="84" fillId="0" borderId="31" xfId="64" applyNumberFormat="1" applyFont="1" applyBorder="1" applyAlignment="1">
      <alignment horizontal="right" vertical="center" wrapText="1"/>
    </xf>
    <xf numFmtId="9" fontId="84" fillId="0" borderId="31" xfId="64" applyNumberFormat="1" applyFont="1" applyBorder="1" applyAlignment="1">
      <alignment horizontal="right" vertical="center" wrapText="1"/>
    </xf>
    <xf numFmtId="10" fontId="86" fillId="0" borderId="31" xfId="64" applyNumberFormat="1" applyFont="1" applyBorder="1" applyAlignment="1">
      <alignment horizontal="right" vertical="center" wrapText="1"/>
    </xf>
    <xf numFmtId="2" fontId="79" fillId="0" borderId="31" xfId="64" applyNumberFormat="1" applyFont="1" applyBorder="1" applyAlignment="1">
      <alignment horizontal="right" vertical="center" wrapText="1"/>
    </xf>
    <xf numFmtId="10" fontId="78" fillId="0" borderId="31" xfId="64" applyNumberFormat="1" applyFont="1" applyBorder="1" applyAlignment="1">
      <alignment vertical="center" wrapText="1"/>
    </xf>
    <xf numFmtId="43" fontId="79" fillId="0" borderId="31" xfId="64" applyNumberFormat="1" applyFont="1" applyBorder="1" applyAlignment="1">
      <alignment vertical="center" wrapText="1"/>
    </xf>
    <xf numFmtId="10" fontId="79" fillId="0" borderId="31" xfId="64" applyNumberFormat="1" applyFont="1" applyBorder="1" applyAlignment="1">
      <alignment horizontal="right" vertical="center" wrapText="1"/>
    </xf>
    <xf numFmtId="43" fontId="78" fillId="0" borderId="31" xfId="64" applyNumberFormat="1" applyFont="1" applyFill="1" applyBorder="1" applyAlignment="1">
      <alignment vertical="center" wrapText="1"/>
    </xf>
    <xf numFmtId="10" fontId="82" fillId="0" borderId="31" xfId="64" applyNumberFormat="1" applyFont="1" applyBorder="1" applyAlignment="1">
      <alignment horizontal="right" vertical="center" wrapText="1"/>
    </xf>
    <xf numFmtId="0" fontId="78" fillId="0" borderId="30" xfId="64" applyFont="1" applyFill="1" applyBorder="1" applyAlignment="1">
      <alignment vertical="center" wrapText="1"/>
    </xf>
    <xf numFmtId="43" fontId="78" fillId="0" borderId="0" xfId="64" applyNumberFormat="1" applyFont="1" applyBorder="1" applyAlignment="1">
      <alignment vertical="center" wrapText="1"/>
    </xf>
    <xf numFmtId="177" fontId="78" fillId="0" borderId="0" xfId="64" applyNumberFormat="1" applyFont="1" applyFill="1" applyBorder="1" applyAlignment="1">
      <alignment vertical="center" wrapText="1"/>
    </xf>
    <xf numFmtId="0" fontId="83" fillId="0" borderId="0" xfId="64" applyFont="1" applyBorder="1" applyAlignment="1">
      <alignment vertical="center" wrapText="1"/>
    </xf>
    <xf numFmtId="0" fontId="77" fillId="19" borderId="29" xfId="64" applyFont="1" applyFill="1" applyBorder="1" applyAlignment="1">
      <alignment horizontal="center" vertical="center" wrapText="1"/>
    </xf>
    <xf numFmtId="43" fontId="79" fillId="0" borderId="31" xfId="64" applyNumberFormat="1" applyFont="1" applyFill="1" applyBorder="1" applyAlignment="1">
      <alignment vertical="center" wrapText="1"/>
    </xf>
    <xf numFmtId="0" fontId="87" fillId="0" borderId="0" xfId="0" applyFont="1" applyAlignment="1">
      <alignment horizontal="center" vertical="center"/>
    </xf>
    <xf numFmtId="0" fontId="87" fillId="0" borderId="0" xfId="0" applyFont="1" applyAlignment="1">
      <alignment vertical="center"/>
    </xf>
    <xf numFmtId="0" fontId="77" fillId="32" borderId="28" xfId="0" applyFont="1" applyFill="1" applyBorder="1" applyAlignment="1">
      <alignment horizontal="center" vertical="center" wrapText="1"/>
    </xf>
    <xf numFmtId="0" fontId="77" fillId="32" borderId="29" xfId="0" applyFont="1" applyFill="1" applyBorder="1" applyAlignment="1">
      <alignment horizontal="center" vertical="center" wrapText="1"/>
    </xf>
    <xf numFmtId="0" fontId="80" fillId="0" borderId="30" xfId="0" applyFont="1" applyBorder="1" applyAlignment="1">
      <alignment horizontal="left" vertical="center" wrapText="1" indent="2"/>
    </xf>
    <xf numFmtId="0" fontId="89" fillId="0" borderId="0" xfId="64" applyFont="1"/>
    <xf numFmtId="0" fontId="76" fillId="19" borderId="28" xfId="0" applyFont="1" applyFill="1" applyBorder="1" applyAlignment="1">
      <alignment vertical="center" wrapText="1"/>
    </xf>
    <xf numFmtId="0" fontId="77" fillId="19" borderId="29" xfId="0" applyFont="1" applyFill="1" applyBorder="1" applyAlignment="1">
      <alignment horizontal="center" vertical="center" wrapText="1"/>
    </xf>
    <xf numFmtId="0" fontId="90" fillId="0" borderId="30" xfId="0" applyFont="1" applyBorder="1" applyAlignment="1">
      <alignment vertical="center" wrapText="1"/>
    </xf>
    <xf numFmtId="0" fontId="80" fillId="0" borderId="30" xfId="0" applyFont="1" applyBorder="1" applyAlignment="1">
      <alignment vertical="center" wrapText="1"/>
    </xf>
    <xf numFmtId="0" fontId="77" fillId="19" borderId="28" xfId="0" applyFont="1" applyFill="1" applyBorder="1" applyAlignment="1">
      <alignment horizontal="center" vertical="center" wrapText="1"/>
    </xf>
    <xf numFmtId="0" fontId="80" fillId="0" borderId="30" xfId="0" applyFont="1" applyBorder="1" applyAlignment="1">
      <alignment horizontal="left" vertical="center" wrapText="1" indent="1"/>
    </xf>
    <xf numFmtId="0" fontId="91" fillId="0" borderId="31" xfId="0" applyFont="1" applyBorder="1" applyAlignment="1">
      <alignment horizontal="center" vertical="center" wrapText="1"/>
    </xf>
    <xf numFmtId="0" fontId="80" fillId="0" borderId="31" xfId="0" applyFont="1" applyBorder="1" applyAlignment="1">
      <alignment horizontal="center" vertical="center" wrapText="1"/>
    </xf>
    <xf numFmtId="0" fontId="80" fillId="0" borderId="30" xfId="0" applyFont="1" applyBorder="1" applyAlignment="1">
      <alignment horizontal="left" vertical="center" wrapText="1" indent="3"/>
    </xf>
    <xf numFmtId="0" fontId="77" fillId="19" borderId="28" xfId="0" applyFont="1" applyFill="1" applyBorder="1" applyAlignment="1">
      <alignment vertical="center" wrapText="1"/>
    </xf>
    <xf numFmtId="0" fontId="92" fillId="0" borderId="30" xfId="0" applyFont="1" applyBorder="1" applyAlignment="1">
      <alignment vertical="center" wrapText="1"/>
    </xf>
    <xf numFmtId="0" fontId="80" fillId="0" borderId="31" xfId="0" applyFont="1" applyBorder="1" applyAlignment="1">
      <alignment vertical="center"/>
    </xf>
    <xf numFmtId="0" fontId="93" fillId="0" borderId="31" xfId="0" applyFont="1" applyBorder="1" applyAlignment="1">
      <alignment horizontal="left" vertical="center" indent="2"/>
    </xf>
    <xf numFmtId="0" fontId="93" fillId="0" borderId="36" xfId="0" applyFont="1" applyBorder="1" applyAlignment="1">
      <alignment horizontal="left" vertical="center" indent="2"/>
    </xf>
    <xf numFmtId="0" fontId="80" fillId="0" borderId="36" xfId="0" applyFont="1" applyBorder="1" applyAlignment="1">
      <alignment vertical="center"/>
    </xf>
    <xf numFmtId="0" fontId="94" fillId="0" borderId="36" xfId="0" applyFont="1" applyBorder="1" applyAlignment="1">
      <alignment horizontal="left" vertical="center"/>
    </xf>
    <xf numFmtId="0" fontId="94" fillId="0" borderId="31" xfId="0" applyFont="1" applyBorder="1" applyAlignment="1">
      <alignment horizontal="left" vertical="center"/>
    </xf>
    <xf numFmtId="0" fontId="80" fillId="0" borderId="34" xfId="0" applyFont="1" applyBorder="1" applyAlignment="1">
      <alignment vertical="center"/>
    </xf>
    <xf numFmtId="0" fontId="80" fillId="0" borderId="35" xfId="0" applyFont="1" applyBorder="1" applyAlignment="1">
      <alignment vertical="center"/>
    </xf>
    <xf numFmtId="0" fontId="80" fillId="0" borderId="30" xfId="0" applyFont="1" applyBorder="1" applyAlignment="1">
      <alignment vertical="center"/>
    </xf>
    <xf numFmtId="0" fontId="73" fillId="0" borderId="0" xfId="64" applyAlignment="1"/>
    <xf numFmtId="0" fontId="73" fillId="0" borderId="0" xfId="64" quotePrefix="1"/>
    <xf numFmtId="0" fontId="80" fillId="0" borderId="28" xfId="0" applyFont="1" applyFill="1" applyBorder="1" applyAlignment="1">
      <alignment vertical="center" wrapText="1"/>
    </xf>
    <xf numFmtId="0" fontId="80" fillId="0" borderId="30" xfId="0" applyFont="1" applyFill="1" applyBorder="1" applyAlignment="1">
      <alignment vertical="center" wrapText="1"/>
    </xf>
    <xf numFmtId="0" fontId="77" fillId="19" borderId="28" xfId="0" applyFont="1" applyFill="1" applyBorder="1" applyAlignment="1">
      <alignment horizontal="center" vertical="center"/>
    </xf>
    <xf numFmtId="0" fontId="77" fillId="19" borderId="29" xfId="0" applyFont="1" applyFill="1" applyBorder="1" applyAlignment="1">
      <alignment horizontal="center" vertical="center"/>
    </xf>
    <xf numFmtId="0" fontId="82" fillId="0" borderId="30" xfId="0" applyFont="1" applyBorder="1" applyAlignment="1">
      <alignment vertical="center"/>
    </xf>
    <xf numFmtId="0" fontId="82" fillId="0" borderId="31" xfId="0" applyFont="1" applyBorder="1" applyAlignment="1">
      <alignment horizontal="center" vertical="center"/>
    </xf>
    <xf numFmtId="15" fontId="82" fillId="0" borderId="31" xfId="0" applyNumberFormat="1" applyFont="1" applyBorder="1" applyAlignment="1">
      <alignment horizontal="center" vertical="center"/>
    </xf>
    <xf numFmtId="0" fontId="9" fillId="0" borderId="31" xfId="0" applyFont="1" applyBorder="1" applyAlignment="1">
      <alignment vertical="top"/>
    </xf>
    <xf numFmtId="0" fontId="9" fillId="0" borderId="36" xfId="0" applyFont="1" applyBorder="1" applyAlignment="1">
      <alignment vertical="top"/>
    </xf>
    <xf numFmtId="0" fontId="82" fillId="0" borderId="30" xfId="0" applyFont="1" applyBorder="1" applyAlignment="1">
      <alignment vertical="center" wrapText="1"/>
    </xf>
    <xf numFmtId="0" fontId="82" fillId="0" borderId="31" xfId="0" applyFont="1" applyBorder="1" applyAlignment="1">
      <alignment horizontal="center" vertical="center" wrapText="1"/>
    </xf>
    <xf numFmtId="0" fontId="82" fillId="33" borderId="31" xfId="0" applyFont="1" applyFill="1" applyBorder="1" applyAlignment="1">
      <alignment horizontal="center" vertical="center" wrapText="1"/>
    </xf>
    <xf numFmtId="0" fontId="76" fillId="19" borderId="29" xfId="0" applyFont="1" applyFill="1" applyBorder="1" applyAlignment="1">
      <alignment horizontal="center" vertical="center" wrapText="1"/>
    </xf>
    <xf numFmtId="15" fontId="77" fillId="19" borderId="38" xfId="0" applyNumberFormat="1" applyFont="1" applyFill="1" applyBorder="1" applyAlignment="1">
      <alignment horizontal="center" vertical="center" wrapText="1"/>
    </xf>
    <xf numFmtId="0" fontId="77" fillId="19" borderId="36" xfId="0" applyFont="1" applyFill="1" applyBorder="1" applyAlignment="1">
      <alignment horizontal="center" vertical="center" wrapText="1"/>
    </xf>
    <xf numFmtId="0" fontId="0" fillId="19" borderId="31" xfId="0" applyFill="1" applyBorder="1" applyAlignment="1">
      <alignment vertical="center" wrapText="1"/>
    </xf>
    <xf numFmtId="0" fontId="77" fillId="19" borderId="31" xfId="0" applyFont="1" applyFill="1" applyBorder="1" applyAlignment="1">
      <alignment horizontal="center" vertical="center" wrapText="1"/>
    </xf>
    <xf numFmtId="0" fontId="83" fillId="0" borderId="30" xfId="0" applyFont="1" applyBorder="1" applyAlignment="1">
      <alignment vertical="center" wrapText="1"/>
    </xf>
    <xf numFmtId="0" fontId="82" fillId="0" borderId="31" xfId="0" applyFont="1" applyBorder="1" applyAlignment="1">
      <alignment vertical="center" wrapText="1"/>
    </xf>
    <xf numFmtId="0" fontId="83" fillId="34" borderId="30" xfId="0" applyFont="1" applyFill="1" applyBorder="1" applyAlignment="1">
      <alignment vertical="center"/>
    </xf>
    <xf numFmtId="0" fontId="83" fillId="34" borderId="31" xfId="0" applyFont="1" applyFill="1" applyBorder="1" applyAlignment="1">
      <alignment horizontal="right" vertical="center"/>
    </xf>
    <xf numFmtId="0" fontId="96" fillId="0" borderId="30" xfId="0" applyFont="1" applyBorder="1" applyAlignment="1">
      <alignment vertical="center"/>
    </xf>
    <xf numFmtId="0" fontId="96" fillId="0" borderId="31" xfId="0" applyFont="1" applyBorder="1" applyAlignment="1">
      <alignment vertical="center"/>
    </xf>
    <xf numFmtId="0" fontId="83" fillId="34" borderId="31" xfId="0" applyFont="1" applyFill="1" applyBorder="1" applyAlignment="1">
      <alignment vertical="center"/>
    </xf>
    <xf numFmtId="0" fontId="83" fillId="0" borderId="30" xfId="0" applyFont="1" applyBorder="1" applyAlignment="1">
      <alignment vertical="center"/>
    </xf>
    <xf numFmtId="0" fontId="83" fillId="0" borderId="31" xfId="0" applyFont="1" applyBorder="1" applyAlignment="1">
      <alignment vertical="center"/>
    </xf>
    <xf numFmtId="0" fontId="76" fillId="20" borderId="30" xfId="0" applyFont="1" applyFill="1" applyBorder="1" applyAlignment="1">
      <alignment vertical="center" wrapText="1"/>
    </xf>
    <xf numFmtId="10" fontId="82" fillId="0" borderId="31" xfId="0" applyNumberFormat="1" applyFont="1" applyBorder="1" applyAlignment="1">
      <alignment vertical="center" wrapText="1"/>
    </xf>
    <xf numFmtId="0" fontId="76" fillId="19" borderId="28" xfId="0" applyFont="1" applyFill="1" applyBorder="1" applyAlignment="1">
      <alignment horizontal="center" vertical="center" wrapText="1"/>
    </xf>
    <xf numFmtId="0" fontId="80" fillId="0" borderId="30" xfId="0" applyFont="1" applyBorder="1" applyAlignment="1">
      <alignment horizontal="left" vertical="center"/>
    </xf>
    <xf numFmtId="0" fontId="80" fillId="0" borderId="31" xfId="0" applyFont="1" applyBorder="1" applyAlignment="1">
      <alignment horizontal="center" vertical="center"/>
    </xf>
    <xf numFmtId="0" fontId="80" fillId="0" borderId="35" xfId="0" applyFont="1" applyBorder="1" applyAlignment="1">
      <alignment horizontal="left" vertical="center"/>
    </xf>
    <xf numFmtId="0" fontId="90" fillId="0" borderId="36" xfId="0" applyFont="1" applyBorder="1" applyAlignment="1">
      <alignment horizontal="center" vertical="center"/>
    </xf>
    <xf numFmtId="0" fontId="9" fillId="0" borderId="35" xfId="0" applyFont="1" applyBorder="1" applyAlignment="1">
      <alignment vertical="top"/>
    </xf>
    <xf numFmtId="0" fontId="9" fillId="0" borderId="30" xfId="0" applyFont="1" applyBorder="1" applyAlignment="1">
      <alignment vertical="top"/>
    </xf>
    <xf numFmtId="0" fontId="90" fillId="0" borderId="31" xfId="0" applyFont="1" applyBorder="1" applyAlignment="1">
      <alignment horizontal="center" vertical="center"/>
    </xf>
    <xf numFmtId="0" fontId="82" fillId="0" borderId="41" xfId="0" applyFont="1" applyBorder="1" applyAlignment="1">
      <alignment vertical="center"/>
    </xf>
    <xf numFmtId="0" fontId="82" fillId="0" borderId="42" xfId="0" applyFont="1" applyBorder="1" applyAlignment="1">
      <alignment vertical="center"/>
    </xf>
    <xf numFmtId="3" fontId="78" fillId="0" borderId="31" xfId="64" applyNumberFormat="1" applyFont="1" applyBorder="1" applyAlignment="1">
      <alignment vertical="center" wrapText="1"/>
    </xf>
    <xf numFmtId="43" fontId="80" fillId="0" borderId="31" xfId="0" applyNumberFormat="1" applyFont="1" applyFill="1" applyBorder="1" applyAlignment="1">
      <alignment vertical="center" wrapText="1"/>
    </xf>
    <xf numFmtId="43" fontId="90" fillId="0" borderId="31" xfId="0" applyNumberFormat="1" applyFont="1" applyFill="1" applyBorder="1" applyAlignment="1">
      <alignment vertical="center" wrapText="1"/>
    </xf>
    <xf numFmtId="173" fontId="9" fillId="0" borderId="0" xfId="44" applyFill="1" applyBorder="1" applyAlignment="1">
      <alignment horizontal="right" vertical="center"/>
    </xf>
    <xf numFmtId="172" fontId="80" fillId="0" borderId="31" xfId="0" applyNumberFormat="1" applyFont="1" applyFill="1" applyBorder="1" applyAlignment="1">
      <alignment vertical="center" wrapText="1"/>
    </xf>
    <xf numFmtId="0" fontId="92" fillId="0" borderId="0" xfId="0" applyFont="1" applyBorder="1" applyAlignment="1">
      <alignment vertical="center" wrapText="1"/>
    </xf>
    <xf numFmtId="0" fontId="78" fillId="0" borderId="0" xfId="64" applyFont="1" applyBorder="1" applyAlignment="1">
      <alignment vertical="center" wrapText="1"/>
    </xf>
    <xf numFmtId="0" fontId="78" fillId="0" borderId="0" xfId="64" applyFont="1" applyFill="1" applyBorder="1" applyAlignment="1">
      <alignment vertical="center" wrapText="1"/>
    </xf>
    <xf numFmtId="43" fontId="73" fillId="0" borderId="0" xfId="64" applyNumberFormat="1"/>
    <xf numFmtId="43" fontId="84" fillId="0" borderId="31" xfId="64" applyNumberFormat="1" applyFont="1" applyFill="1" applyBorder="1" applyAlignment="1">
      <alignment horizontal="right" vertical="center" wrapText="1"/>
    </xf>
    <xf numFmtId="0" fontId="82" fillId="0" borderId="30" xfId="64" applyFont="1" applyFill="1" applyBorder="1" applyAlignment="1">
      <alignment vertical="center" wrapText="1"/>
    </xf>
    <xf numFmtId="44" fontId="78" fillId="0" borderId="31" xfId="64" applyNumberFormat="1" applyFont="1" applyFill="1" applyBorder="1" applyAlignment="1">
      <alignment vertical="center" wrapText="1"/>
    </xf>
    <xf numFmtId="43" fontId="78" fillId="0" borderId="31" xfId="64" applyNumberFormat="1" applyFont="1" applyFill="1" applyBorder="1" applyAlignment="1">
      <alignment horizontal="right" vertical="center" wrapText="1"/>
    </xf>
    <xf numFmtId="0" fontId="77" fillId="19" borderId="29" xfId="64" applyFont="1" applyFill="1" applyBorder="1" applyAlignment="1">
      <alignment horizontal="center" vertical="center" wrapText="1"/>
    </xf>
    <xf numFmtId="0" fontId="90" fillId="0" borderId="30" xfId="0" applyFont="1" applyBorder="1" applyAlignment="1">
      <alignment vertical="center" wrapText="1"/>
    </xf>
    <xf numFmtId="0" fontId="77" fillId="19" borderId="29" xfId="64" applyFont="1" applyFill="1" applyBorder="1" applyAlignment="1">
      <alignment horizontal="center" vertical="center" wrapText="1"/>
    </xf>
    <xf numFmtId="179" fontId="80" fillId="0" borderId="31" xfId="0" applyNumberFormat="1" applyFont="1" applyFill="1" applyBorder="1" applyAlignment="1">
      <alignment vertical="center" wrapText="1"/>
    </xf>
    <xf numFmtId="178" fontId="80" fillId="0" borderId="31" xfId="0" applyNumberFormat="1" applyFont="1" applyFill="1" applyBorder="1" applyAlignment="1">
      <alignment vertical="center" wrapText="1"/>
    </xf>
    <xf numFmtId="178" fontId="80" fillId="0" borderId="31" xfId="0" applyNumberFormat="1" applyFont="1" applyFill="1" applyBorder="1" applyAlignment="1">
      <alignment horizontal="right" vertical="center" wrapText="1"/>
    </xf>
    <xf numFmtId="0" fontId="77" fillId="19" borderId="29" xfId="64" applyFont="1" applyFill="1" applyBorder="1" applyAlignment="1">
      <alignment horizontal="center" vertical="center" wrapText="1"/>
    </xf>
    <xf numFmtId="0" fontId="98" fillId="19" borderId="28" xfId="0" applyFont="1" applyFill="1" applyBorder="1" applyAlignment="1">
      <alignment vertical="center" wrapText="1"/>
    </xf>
    <xf numFmtId="0" fontId="97" fillId="0" borderId="30" xfId="0" applyFont="1" applyBorder="1" applyAlignment="1">
      <alignment vertical="center" wrapText="1"/>
    </xf>
    <xf numFmtId="0" fontId="97" fillId="0" borderId="31" xfId="0" applyFont="1" applyBorder="1" applyAlignment="1">
      <alignment horizontal="center" vertical="center" wrapText="1"/>
    </xf>
    <xf numFmtId="43" fontId="97" fillId="0" borderId="31" xfId="0" applyNumberFormat="1" applyFont="1" applyBorder="1" applyAlignment="1">
      <alignment horizontal="center" vertical="center" wrapText="1"/>
    </xf>
    <xf numFmtId="178" fontId="97" fillId="0" borderId="31" xfId="0" applyNumberFormat="1" applyFont="1" applyBorder="1" applyAlignment="1">
      <alignment horizontal="center" vertical="center" wrapText="1"/>
    </xf>
    <xf numFmtId="0" fontId="77" fillId="19" borderId="29" xfId="64" applyFont="1" applyFill="1" applyBorder="1" applyAlignment="1">
      <alignment horizontal="center" vertical="center" wrapText="1"/>
    </xf>
    <xf numFmtId="0" fontId="77" fillId="20" borderId="35" xfId="0" applyFont="1" applyFill="1" applyBorder="1" applyAlignment="1">
      <alignment vertical="center"/>
    </xf>
    <xf numFmtId="0" fontId="0" fillId="20" borderId="30" xfId="0" applyFill="1" applyBorder="1" applyAlignment="1">
      <alignment vertical="top"/>
    </xf>
    <xf numFmtId="0" fontId="0" fillId="20" borderId="35" xfId="0" applyFill="1" applyBorder="1" applyAlignment="1">
      <alignment vertical="top"/>
    </xf>
    <xf numFmtId="0" fontId="77" fillId="20" borderId="30" xfId="0" applyFont="1" applyFill="1" applyBorder="1" applyAlignment="1">
      <alignment vertical="center"/>
    </xf>
    <xf numFmtId="0" fontId="100" fillId="0" borderId="36" xfId="0" applyFont="1" applyBorder="1" applyAlignment="1">
      <alignment horizontal="left" vertical="center"/>
    </xf>
    <xf numFmtId="0" fontId="100" fillId="0" borderId="31" xfId="0" applyFont="1" applyBorder="1" applyAlignment="1">
      <alignment horizontal="left" vertical="center"/>
    </xf>
    <xf numFmtId="0" fontId="80" fillId="0" borderId="36" xfId="0" applyFont="1" applyBorder="1" applyAlignment="1">
      <alignment horizontal="left" vertical="center"/>
    </xf>
    <xf numFmtId="0" fontId="80" fillId="0" borderId="31" xfId="0" applyFont="1" applyBorder="1" applyAlignment="1">
      <alignment horizontal="left" vertical="center"/>
    </xf>
    <xf numFmtId="178" fontId="80" fillId="0" borderId="0" xfId="0" applyNumberFormat="1" applyFont="1" applyFill="1" applyBorder="1" applyAlignment="1">
      <alignment vertical="center"/>
    </xf>
    <xf numFmtId="0" fontId="101" fillId="0" borderId="0" xfId="64" applyFont="1"/>
    <xf numFmtId="0" fontId="102" fillId="0" borderId="0" xfId="0" applyFont="1"/>
    <xf numFmtId="0" fontId="75" fillId="19" borderId="0" xfId="66" applyFont="1">
      <alignment horizontal="left" vertical="center"/>
    </xf>
    <xf numFmtId="0" fontId="103" fillId="19" borderId="29" xfId="64" applyFont="1" applyFill="1" applyBorder="1" applyAlignment="1">
      <alignment horizontal="center" vertical="center" wrapText="1"/>
    </xf>
    <xf numFmtId="0" fontId="104" fillId="0" borderId="0" xfId="0" applyFont="1" applyAlignment="1">
      <alignment vertical="center"/>
    </xf>
    <xf numFmtId="0" fontId="85" fillId="19" borderId="28" xfId="0" applyFont="1" applyFill="1" applyBorder="1" applyAlignment="1">
      <alignment vertical="center" wrapText="1"/>
    </xf>
    <xf numFmtId="0" fontId="85" fillId="19" borderId="29" xfId="0" applyFont="1" applyFill="1" applyBorder="1" applyAlignment="1">
      <alignment horizontal="center" vertical="center" wrapText="1"/>
    </xf>
    <xf numFmtId="0" fontId="105" fillId="19" borderId="29" xfId="0" applyFont="1" applyFill="1" applyBorder="1" applyAlignment="1">
      <alignment horizontal="center" vertical="center" wrapText="1"/>
    </xf>
    <xf numFmtId="0" fontId="77" fillId="19" borderId="32" xfId="0" applyFont="1" applyFill="1" applyBorder="1" applyAlignment="1">
      <alignment vertical="center"/>
    </xf>
    <xf numFmtId="0" fontId="77" fillId="19" borderId="29" xfId="0" applyFont="1" applyFill="1" applyBorder="1" applyAlignment="1">
      <alignment vertical="center" wrapText="1"/>
    </xf>
    <xf numFmtId="3" fontId="79" fillId="0" borderId="31" xfId="64" applyNumberFormat="1" applyFont="1" applyBorder="1" applyAlignment="1">
      <alignment vertical="center" wrapText="1"/>
    </xf>
    <xf numFmtId="0" fontId="79" fillId="0" borderId="31" xfId="64" applyFont="1" applyBorder="1" applyAlignment="1">
      <alignment vertical="center" wrapText="1"/>
    </xf>
    <xf numFmtId="43" fontId="82" fillId="0" borderId="31" xfId="0" applyNumberFormat="1" applyFont="1" applyFill="1" applyBorder="1" applyAlignment="1">
      <alignment horizontal="right" vertical="center" wrapText="1"/>
    </xf>
    <xf numFmtId="10" fontId="82" fillId="0" borderId="31" xfId="0" applyNumberFormat="1" applyFont="1" applyFill="1" applyBorder="1" applyAlignment="1">
      <alignment horizontal="right" vertical="center" wrapText="1"/>
    </xf>
    <xf numFmtId="0" fontId="43" fillId="0" borderId="0" xfId="0" applyFont="1"/>
    <xf numFmtId="0" fontId="31" fillId="0" borderId="0" xfId="37" applyFont="1">
      <alignment vertical="center"/>
    </xf>
    <xf numFmtId="0" fontId="43" fillId="0" borderId="0" xfId="0" applyFont="1" applyFill="1"/>
    <xf numFmtId="0" fontId="40" fillId="0" borderId="0" xfId="35" applyFont="1" applyFill="1" applyAlignment="1">
      <alignment horizontal="center" vertical="center"/>
    </xf>
    <xf numFmtId="0" fontId="3" fillId="35" borderId="0" xfId="58" applyFont="1" applyFill="1"/>
    <xf numFmtId="0" fontId="40" fillId="0" borderId="0" xfId="35" applyFont="1" applyBorder="1" applyAlignment="1">
      <alignment horizontal="center" vertical="center"/>
    </xf>
    <xf numFmtId="0" fontId="108" fillId="0" borderId="2" xfId="35" applyFont="1" applyBorder="1">
      <alignment horizontal="left" vertical="center"/>
    </xf>
    <xf numFmtId="0" fontId="108" fillId="0" borderId="2" xfId="35" applyFont="1" applyBorder="1" applyAlignment="1">
      <alignment horizontal="center" vertical="center"/>
    </xf>
    <xf numFmtId="0" fontId="109" fillId="0" borderId="0" xfId="0" applyFont="1"/>
    <xf numFmtId="0" fontId="110" fillId="0" borderId="0" xfId="37" applyFont="1" applyFill="1" applyAlignment="1">
      <alignment horizontal="center" vertical="center"/>
    </xf>
    <xf numFmtId="0" fontId="108" fillId="0" borderId="3" xfId="35" applyFont="1" applyFill="1" applyBorder="1">
      <alignment horizontal="left" vertical="center"/>
    </xf>
    <xf numFmtId="0" fontId="108" fillId="0" borderId="3" xfId="35" applyFont="1" applyFill="1" applyBorder="1" applyAlignment="1">
      <alignment horizontal="center" vertical="center"/>
    </xf>
    <xf numFmtId="0" fontId="111" fillId="0" borderId="0" xfId="64" applyFont="1"/>
    <xf numFmtId="0" fontId="112" fillId="0" borderId="0" xfId="0" applyFont="1"/>
    <xf numFmtId="0" fontId="113" fillId="0" borderId="2" xfId="35" applyFont="1" applyBorder="1">
      <alignment horizontal="left" vertical="center"/>
    </xf>
    <xf numFmtId="0" fontId="113" fillId="0" borderId="2" xfId="35" applyFont="1" applyBorder="1" applyAlignment="1">
      <alignment horizontal="center" vertical="center"/>
    </xf>
    <xf numFmtId="0" fontId="112" fillId="0" borderId="0" xfId="0" applyFont="1" applyFill="1"/>
    <xf numFmtId="0" fontId="113" fillId="0" borderId="0" xfId="35" applyFont="1" applyFill="1" applyAlignment="1">
      <alignment horizontal="center" vertical="center"/>
    </xf>
    <xf numFmtId="0" fontId="114" fillId="0" borderId="0" xfId="37" applyFont="1" applyFill="1" applyAlignment="1">
      <alignment horizontal="center" vertical="center"/>
    </xf>
    <xf numFmtId="165" fontId="110" fillId="3" borderId="4" xfId="55" applyFont="1" applyAlignment="1">
      <alignment horizontal="center" vertical="center"/>
      <protection locked="0"/>
    </xf>
    <xf numFmtId="165" fontId="108" fillId="0" borderId="3" xfId="13" applyNumberFormat="1" applyFont="1" applyFill="1" applyBorder="1" applyAlignment="1">
      <alignment horizontal="center" vertical="center"/>
    </xf>
    <xf numFmtId="0" fontId="108" fillId="0" borderId="0" xfId="35" applyFont="1" applyFill="1" applyAlignment="1">
      <alignment horizontal="center" vertical="center"/>
    </xf>
    <xf numFmtId="0" fontId="110" fillId="0" borderId="0" xfId="37" applyFont="1">
      <alignment vertical="center"/>
    </xf>
    <xf numFmtId="0" fontId="106" fillId="35" borderId="0" xfId="58" applyFont="1" applyFill="1"/>
    <xf numFmtId="0" fontId="106" fillId="35" borderId="0" xfId="58" applyFont="1" applyFill="1" applyBorder="1"/>
    <xf numFmtId="0" fontId="114" fillId="0" borderId="0" xfId="37" applyFont="1">
      <alignment vertical="center"/>
    </xf>
    <xf numFmtId="0" fontId="115" fillId="35" borderId="0" xfId="58" applyFont="1" applyFill="1"/>
    <xf numFmtId="0" fontId="113" fillId="0" borderId="0" xfId="35" applyFont="1" applyBorder="1" applyAlignment="1">
      <alignment horizontal="center" vertical="center"/>
    </xf>
    <xf numFmtId="0" fontId="115" fillId="36" borderId="0" xfId="58" applyFont="1" applyFill="1"/>
    <xf numFmtId="165" fontId="114" fillId="3" borderId="4" xfId="55" applyFont="1" applyAlignment="1">
      <alignment horizontal="center" vertical="center"/>
      <protection locked="0"/>
    </xf>
    <xf numFmtId="0" fontId="113" fillId="0" borderId="3" xfId="35" applyFont="1" applyFill="1" applyBorder="1">
      <alignment horizontal="left" vertical="center"/>
    </xf>
    <xf numFmtId="0" fontId="113" fillId="0" borderId="3" xfId="35" applyFont="1" applyFill="1" applyBorder="1" applyAlignment="1">
      <alignment horizontal="center" vertical="center"/>
    </xf>
    <xf numFmtId="0" fontId="108" fillId="0" borderId="20" xfId="35" applyFont="1" applyBorder="1" applyAlignment="1">
      <alignment horizontal="center" vertical="center"/>
    </xf>
    <xf numFmtId="0" fontId="109" fillId="0" borderId="18" xfId="0" applyFont="1" applyBorder="1"/>
    <xf numFmtId="169" fontId="109" fillId="0" borderId="18" xfId="0" applyNumberFormat="1" applyFont="1" applyBorder="1"/>
    <xf numFmtId="169" fontId="108" fillId="0" borderId="43" xfId="13" applyNumberFormat="1" applyFont="1" applyFill="1" applyBorder="1" applyAlignment="1">
      <alignment horizontal="center" vertical="center"/>
    </xf>
    <xf numFmtId="165" fontId="110" fillId="3" borderId="19" xfId="55" applyFont="1" applyBorder="1" applyAlignment="1">
      <alignment horizontal="center" vertical="center"/>
      <protection locked="0"/>
    </xf>
    <xf numFmtId="0" fontId="108" fillId="0" borderId="18" xfId="35" applyFont="1" applyFill="1" applyBorder="1" applyAlignment="1">
      <alignment horizontal="center" vertical="center"/>
    </xf>
    <xf numFmtId="165" fontId="108" fillId="0" borderId="43" xfId="13" applyNumberFormat="1" applyFont="1" applyFill="1" applyBorder="1" applyAlignment="1">
      <alignment horizontal="center" vertical="center"/>
    </xf>
    <xf numFmtId="0" fontId="116" fillId="0" borderId="0" xfId="64" applyFont="1"/>
    <xf numFmtId="165" fontId="114" fillId="3" borderId="21" xfId="55" applyFont="1" applyBorder="1" applyAlignment="1">
      <alignment horizontal="center" vertical="center"/>
      <protection locked="0"/>
    </xf>
    <xf numFmtId="165" fontId="114" fillId="0" borderId="0" xfId="37" applyNumberFormat="1" applyFont="1" applyFill="1" applyAlignment="1">
      <alignment horizontal="center" vertical="center"/>
    </xf>
    <xf numFmtId="165" fontId="110" fillId="0" borderId="18" xfId="13" applyNumberFormat="1" applyFont="1" applyBorder="1" applyAlignment="1">
      <alignment horizontal="center" vertical="center"/>
    </xf>
    <xf numFmtId="165" fontId="114" fillId="3" borderId="4" xfId="55" applyNumberFormat="1" applyFont="1" applyAlignment="1">
      <alignment horizontal="center" vertical="center"/>
      <protection locked="0"/>
    </xf>
    <xf numFmtId="165" fontId="115" fillId="36" borderId="0" xfId="58" applyNumberFormat="1" applyFont="1" applyFill="1"/>
    <xf numFmtId="0" fontId="117" fillId="0" borderId="2" xfId="35" applyFont="1" applyBorder="1" applyAlignment="1">
      <alignment horizontal="center" vertical="center"/>
    </xf>
    <xf numFmtId="0" fontId="117" fillId="0" borderId="20" xfId="35" applyFont="1" applyBorder="1" applyAlignment="1">
      <alignment horizontal="center" vertical="center"/>
    </xf>
    <xf numFmtId="0" fontId="118" fillId="0" borderId="0" xfId="0" applyFont="1"/>
    <xf numFmtId="0" fontId="118" fillId="0" borderId="18" xfId="0" applyFont="1" applyBorder="1"/>
    <xf numFmtId="169" fontId="119" fillId="0" borderId="0" xfId="13" applyNumberFormat="1" applyFont="1" applyAlignment="1">
      <alignment horizontal="center" vertical="center"/>
    </xf>
    <xf numFmtId="169" fontId="119" fillId="0" borderId="18" xfId="13" applyNumberFormat="1" applyFont="1" applyBorder="1" applyAlignment="1">
      <alignment horizontal="center" vertical="center"/>
    </xf>
    <xf numFmtId="169" fontId="118" fillId="0" borderId="0" xfId="0" applyNumberFormat="1" applyFont="1"/>
    <xf numFmtId="169" fontId="118" fillId="0" borderId="18" xfId="0" applyNumberFormat="1" applyFont="1" applyBorder="1"/>
    <xf numFmtId="169" fontId="117" fillId="0" borderId="3" xfId="13" applyNumberFormat="1" applyFont="1" applyFill="1" applyBorder="1" applyAlignment="1">
      <alignment horizontal="center" vertical="center"/>
    </xf>
    <xf numFmtId="169" fontId="117" fillId="0" borderId="43" xfId="13" applyNumberFormat="1" applyFont="1" applyFill="1" applyBorder="1" applyAlignment="1">
      <alignment horizontal="center" vertical="center"/>
    </xf>
    <xf numFmtId="43" fontId="83" fillId="0" borderId="31" xfId="64" applyNumberFormat="1" applyFont="1" applyBorder="1" applyAlignment="1">
      <alignment horizontal="right" vertical="center" wrapText="1"/>
    </xf>
    <xf numFmtId="0" fontId="83" fillId="0" borderId="44" xfId="0" applyFont="1" applyBorder="1" applyAlignment="1">
      <alignment vertical="center" wrapText="1"/>
    </xf>
    <xf numFmtId="43" fontId="82" fillId="0" borderId="31" xfId="0" applyNumberFormat="1" applyFont="1" applyFill="1" applyBorder="1" applyAlignment="1">
      <alignment horizontal="right" vertical="center"/>
    </xf>
    <xf numFmtId="0" fontId="82" fillId="0" borderId="31" xfId="0" applyFont="1" applyFill="1" applyBorder="1" applyAlignment="1">
      <alignment vertical="center"/>
    </xf>
    <xf numFmtId="43" fontId="96" fillId="0" borderId="31" xfId="0" applyNumberFormat="1" applyFont="1" applyFill="1" applyBorder="1" applyAlignment="1">
      <alignment horizontal="right" vertical="center"/>
    </xf>
    <xf numFmtId="0" fontId="96" fillId="0" borderId="31" xfId="0" applyFont="1" applyFill="1" applyBorder="1" applyAlignment="1">
      <alignment vertical="center"/>
    </xf>
    <xf numFmtId="43" fontId="83" fillId="0" borderId="31" xfId="0" applyNumberFormat="1" applyFont="1" applyBorder="1" applyAlignment="1">
      <alignment horizontal="right" vertical="center"/>
    </xf>
    <xf numFmtId="0" fontId="89" fillId="0" borderId="0" xfId="64" applyFont="1" applyAlignment="1">
      <alignment horizontal="right"/>
    </xf>
    <xf numFmtId="0" fontId="77" fillId="19" borderId="38" xfId="64" applyFont="1" applyFill="1" applyBorder="1" applyAlignment="1">
      <alignment horizontal="center" vertical="center" wrapText="1"/>
    </xf>
    <xf numFmtId="43" fontId="82" fillId="0" borderId="45" xfId="64" applyNumberFormat="1" applyFont="1" applyBorder="1" applyAlignment="1">
      <alignment horizontal="right" vertical="center" wrapText="1"/>
    </xf>
    <xf numFmtId="43" fontId="82" fillId="0" borderId="46" xfId="64" applyNumberFormat="1" applyFont="1" applyBorder="1" applyAlignment="1">
      <alignment horizontal="right" vertical="center" wrapText="1"/>
    </xf>
    <xf numFmtId="43" fontId="86" fillId="0" borderId="31" xfId="64" applyNumberFormat="1" applyFont="1" applyFill="1" applyBorder="1" applyAlignment="1">
      <alignment horizontal="right" vertical="center" wrapText="1"/>
    </xf>
    <xf numFmtId="0" fontId="89" fillId="0" borderId="0" xfId="64" applyFont="1" applyAlignment="1">
      <alignment horizontal="left" indent="1"/>
    </xf>
    <xf numFmtId="0" fontId="82" fillId="0" borderId="47" xfId="0" applyFont="1" applyBorder="1" applyAlignment="1">
      <alignment vertical="center" wrapText="1"/>
    </xf>
    <xf numFmtId="0" fontId="82" fillId="0" borderId="48" xfId="0" applyFont="1" applyBorder="1" applyAlignment="1">
      <alignment vertical="center" wrapText="1"/>
    </xf>
    <xf numFmtId="10" fontId="82" fillId="0" borderId="48" xfId="0" applyNumberFormat="1" applyFont="1" applyBorder="1" applyAlignment="1">
      <alignment vertical="center" wrapText="1"/>
    </xf>
    <xf numFmtId="0" fontId="83" fillId="38" borderId="30" xfId="0" applyFont="1" applyFill="1" applyBorder="1" applyAlignment="1">
      <alignment vertical="center" wrapText="1"/>
    </xf>
    <xf numFmtId="0" fontId="83" fillId="38" borderId="31" xfId="0" applyFont="1" applyFill="1" applyBorder="1" applyAlignment="1">
      <alignment vertical="center" wrapText="1"/>
    </xf>
    <xf numFmtId="10" fontId="83" fillId="38" borderId="31" xfId="0" applyNumberFormat="1" applyFont="1" applyFill="1" applyBorder="1" applyAlignment="1">
      <alignment vertical="center" wrapText="1"/>
    </xf>
    <xf numFmtId="0" fontId="76" fillId="19" borderId="30" xfId="0" applyFont="1" applyFill="1" applyBorder="1" applyAlignment="1">
      <alignment vertical="center"/>
    </xf>
    <xf numFmtId="0" fontId="77" fillId="19" borderId="31" xfId="0" applyFont="1" applyFill="1" applyBorder="1" applyAlignment="1">
      <alignment horizontal="center" vertical="center"/>
    </xf>
    <xf numFmtId="0" fontId="96" fillId="0" borderId="30" xfId="0" applyFont="1" applyBorder="1" applyAlignment="1">
      <alignment vertical="center" wrapText="1"/>
    </xf>
    <xf numFmtId="0" fontId="76" fillId="19" borderId="28" xfId="0" applyFont="1" applyFill="1" applyBorder="1" applyAlignment="1">
      <alignment vertical="center"/>
    </xf>
    <xf numFmtId="0" fontId="122" fillId="19" borderId="28" xfId="0" applyFont="1" applyFill="1" applyBorder="1" applyAlignment="1">
      <alignment vertical="center"/>
    </xf>
    <xf numFmtId="0" fontId="122" fillId="19" borderId="30" xfId="0" applyFont="1" applyFill="1" applyBorder="1" applyAlignment="1">
      <alignment vertical="center"/>
    </xf>
    <xf numFmtId="181" fontId="80" fillId="21" borderId="31" xfId="0" applyNumberFormat="1" applyFont="1" applyFill="1" applyBorder="1" applyAlignment="1">
      <alignment horizontal="right" vertical="center"/>
    </xf>
    <xf numFmtId="179" fontId="80" fillId="21" borderId="31" xfId="0" applyNumberFormat="1" applyFont="1" applyFill="1" applyBorder="1" applyAlignment="1">
      <alignment horizontal="right" vertical="center"/>
    </xf>
    <xf numFmtId="178" fontId="80" fillId="39" borderId="30" xfId="0" applyNumberFormat="1" applyFont="1" applyFill="1" applyBorder="1" applyAlignment="1">
      <alignment vertical="center" wrapText="1"/>
    </xf>
    <xf numFmtId="0" fontId="77" fillId="19" borderId="29" xfId="0" applyFont="1" applyFill="1" applyBorder="1" applyAlignment="1">
      <alignment horizontal="center" vertical="center" wrapText="1"/>
    </xf>
    <xf numFmtId="0" fontId="124" fillId="0" borderId="0" xfId="64" applyFont="1"/>
    <xf numFmtId="182" fontId="78" fillId="0" borderId="31" xfId="64" applyNumberFormat="1" applyFont="1" applyFill="1" applyBorder="1" applyAlignment="1">
      <alignment vertical="center" wrapText="1"/>
    </xf>
    <xf numFmtId="4" fontId="80" fillId="21" borderId="31" xfId="0" applyNumberFormat="1" applyFont="1" applyFill="1" applyBorder="1" applyAlignment="1">
      <alignment horizontal="center" vertical="center"/>
    </xf>
    <xf numFmtId="0" fontId="80" fillId="21" borderId="31" xfId="0" applyFont="1" applyFill="1" applyBorder="1" applyAlignment="1">
      <alignment horizontal="center" vertical="center"/>
    </xf>
    <xf numFmtId="180" fontId="80" fillId="21" borderId="31" xfId="0" applyNumberFormat="1" applyFont="1" applyFill="1" applyBorder="1" applyAlignment="1">
      <alignment horizontal="center" vertical="center"/>
    </xf>
    <xf numFmtId="4" fontId="80" fillId="21" borderId="31" xfId="0" applyNumberFormat="1" applyFont="1" applyFill="1" applyBorder="1" applyAlignment="1">
      <alignment horizontal="right" vertical="center"/>
    </xf>
    <xf numFmtId="180" fontId="80" fillId="21" borderId="31" xfId="0" applyNumberFormat="1" applyFont="1" applyFill="1" applyBorder="1" applyAlignment="1">
      <alignment horizontal="right" vertical="center"/>
    </xf>
    <xf numFmtId="178" fontId="80" fillId="21" borderId="31" xfId="0" applyNumberFormat="1" applyFont="1" applyFill="1" applyBorder="1" applyAlignment="1">
      <alignment horizontal="right" vertical="center"/>
    </xf>
    <xf numFmtId="0" fontId="125" fillId="0" borderId="0" xfId="64" applyFont="1"/>
    <xf numFmtId="0" fontId="73" fillId="0" borderId="0" xfId="64" applyAlignment="1">
      <alignment horizontal="right"/>
    </xf>
    <xf numFmtId="179" fontId="73" fillId="0" borderId="0" xfId="64" applyNumberFormat="1"/>
    <xf numFmtId="0" fontId="77" fillId="19" borderId="34" xfId="64" applyFont="1" applyFill="1" applyBorder="1" applyAlignment="1">
      <alignment horizontal="left" vertical="center" wrapText="1"/>
    </xf>
    <xf numFmtId="0" fontId="77" fillId="19" borderId="29" xfId="64" applyFont="1" applyFill="1" applyBorder="1" applyAlignment="1">
      <alignment horizontal="center" vertical="center" wrapText="1"/>
    </xf>
    <xf numFmtId="0" fontId="89" fillId="0" borderId="0" xfId="64" quotePrefix="1" applyFont="1"/>
    <xf numFmtId="0" fontId="90" fillId="0" borderId="30" xfId="0" applyFont="1" applyFill="1" applyBorder="1" applyAlignment="1">
      <alignment vertical="center" wrapText="1"/>
    </xf>
    <xf numFmtId="0" fontId="125" fillId="0" borderId="0" xfId="64" applyFont="1" applyAlignment="1">
      <alignment horizontal="right"/>
    </xf>
    <xf numFmtId="178" fontId="125" fillId="0" borderId="0" xfId="64" applyNumberFormat="1" applyFont="1"/>
    <xf numFmtId="43" fontId="125" fillId="0" borderId="0" xfId="64" applyNumberFormat="1" applyFont="1"/>
    <xf numFmtId="178" fontId="78" fillId="0" borderId="31" xfId="64" applyNumberFormat="1" applyFont="1" applyBorder="1" applyAlignment="1">
      <alignment horizontal="right" vertical="center" wrapText="1"/>
    </xf>
    <xf numFmtId="179" fontId="78" fillId="0" borderId="31" xfId="64" applyNumberFormat="1" applyFont="1" applyBorder="1" applyAlignment="1">
      <alignment horizontal="right" vertical="center" wrapText="1"/>
    </xf>
    <xf numFmtId="179" fontId="79" fillId="0" borderId="31" xfId="64" applyNumberFormat="1" applyFont="1" applyBorder="1" applyAlignment="1">
      <alignment horizontal="right" vertical="center" wrapText="1"/>
    </xf>
    <xf numFmtId="0" fontId="77" fillId="19" borderId="28" xfId="64" applyFont="1" applyFill="1" applyBorder="1" applyAlignment="1">
      <alignment horizontal="left" vertical="center" wrapText="1"/>
    </xf>
    <xf numFmtId="0" fontId="122" fillId="19" borderId="28" xfId="64" applyFont="1" applyFill="1" applyBorder="1" applyAlignment="1">
      <alignment horizontal="left" vertical="center" wrapText="1"/>
    </xf>
    <xf numFmtId="0" fontId="77" fillId="19" borderId="29" xfId="64" applyFont="1" applyFill="1" applyBorder="1" applyAlignment="1">
      <alignment horizontal="center" vertical="center" textRotation="90" wrapText="1"/>
    </xf>
    <xf numFmtId="43" fontId="78" fillId="39" borderId="31" xfId="64" applyNumberFormat="1" applyFont="1" applyFill="1" applyBorder="1" applyAlignment="1">
      <alignment horizontal="right" vertical="center" wrapText="1"/>
    </xf>
    <xf numFmtId="0" fontId="77" fillId="19" borderId="28" xfId="64" applyFont="1" applyFill="1" applyBorder="1" applyAlignment="1">
      <alignment horizontal="center" vertical="center" textRotation="90" wrapText="1"/>
    </xf>
    <xf numFmtId="178" fontId="79" fillId="0" borderId="31" xfId="64" applyNumberFormat="1" applyFont="1" applyBorder="1" applyAlignment="1">
      <alignment horizontal="right" vertical="center" wrapText="1"/>
    </xf>
    <xf numFmtId="179" fontId="78" fillId="0" borderId="31" xfId="64" applyNumberFormat="1" applyFont="1" applyBorder="1" applyAlignment="1">
      <alignment horizontal="left" vertical="center"/>
    </xf>
    <xf numFmtId="0" fontId="96" fillId="0" borderId="30" xfId="64" applyFont="1" applyBorder="1" applyAlignment="1">
      <alignment vertical="center" wrapText="1"/>
    </xf>
    <xf numFmtId="0" fontId="122" fillId="19" borderId="28" xfId="64" applyFont="1" applyFill="1" applyBorder="1" applyAlignment="1">
      <alignment horizontal="center" vertical="center" wrapText="1"/>
    </xf>
    <xf numFmtId="178" fontId="126" fillId="0" borderId="31" xfId="64" applyNumberFormat="1" applyFont="1" applyBorder="1" applyAlignment="1">
      <alignment horizontal="right" vertical="center" wrapText="1"/>
    </xf>
    <xf numFmtId="0" fontId="77" fillId="19" borderId="29" xfId="64" applyFont="1" applyFill="1" applyBorder="1" applyAlignment="1">
      <alignment horizontal="center" vertical="center" wrapText="1"/>
    </xf>
    <xf numFmtId="183" fontId="78" fillId="0" borderId="31" xfId="62" applyNumberFormat="1" applyFont="1" applyBorder="1" applyAlignment="1">
      <alignment horizontal="right" vertical="center" wrapText="1"/>
    </xf>
    <xf numFmtId="183" fontId="79" fillId="0" borderId="31" xfId="62" applyNumberFormat="1" applyFont="1" applyBorder="1" applyAlignment="1">
      <alignment horizontal="right" vertical="center" wrapText="1"/>
    </xf>
    <xf numFmtId="178" fontId="78" fillId="0" borderId="31" xfId="64" quotePrefix="1" applyNumberFormat="1" applyFont="1" applyBorder="1" applyAlignment="1">
      <alignment horizontal="right" vertical="center" wrapText="1"/>
    </xf>
    <xf numFmtId="0" fontId="77" fillId="19" borderId="32" xfId="0" applyFont="1" applyFill="1" applyBorder="1" applyAlignment="1">
      <alignment horizontal="center" vertical="center" wrapText="1"/>
    </xf>
    <xf numFmtId="0" fontId="77" fillId="19" borderId="29" xfId="0" applyFont="1" applyFill="1" applyBorder="1" applyAlignment="1">
      <alignment horizontal="center" vertical="center" wrapText="1"/>
    </xf>
    <xf numFmtId="182" fontId="78" fillId="0" borderId="31" xfId="64" applyNumberFormat="1" applyFont="1" applyFill="1" applyBorder="1" applyAlignment="1">
      <alignment horizontal="center" vertical="center" wrapText="1"/>
    </xf>
    <xf numFmtId="43" fontId="78" fillId="0" borderId="31" xfId="64" applyNumberFormat="1" applyFont="1" applyFill="1" applyBorder="1" applyAlignment="1">
      <alignment horizontal="center" vertical="center" wrapText="1"/>
    </xf>
    <xf numFmtId="179" fontId="78" fillId="0" borderId="31" xfId="64" applyNumberFormat="1" applyFont="1" applyFill="1" applyBorder="1" applyAlignment="1">
      <alignment horizontal="center" vertical="center" wrapText="1"/>
    </xf>
    <xf numFmtId="181" fontId="80" fillId="21" borderId="31" xfId="0" applyNumberFormat="1" applyFont="1" applyFill="1" applyBorder="1" applyAlignment="1">
      <alignment horizontal="center" vertical="center"/>
    </xf>
    <xf numFmtId="0" fontId="77" fillId="19" borderId="32" xfId="0" applyFont="1" applyFill="1" applyBorder="1" applyAlignment="1">
      <alignment horizontal="left" vertical="center" wrapText="1"/>
    </xf>
    <xf numFmtId="2" fontId="80" fillId="21" borderId="31" xfId="0" applyNumberFormat="1" applyFont="1" applyFill="1" applyBorder="1" applyAlignment="1">
      <alignment horizontal="center" vertical="center"/>
    </xf>
    <xf numFmtId="0" fontId="77" fillId="19" borderId="29" xfId="64" applyFont="1" applyFill="1" applyBorder="1" applyAlignment="1">
      <alignment horizontal="center" vertical="center" wrapText="1"/>
    </xf>
    <xf numFmtId="0" fontId="80" fillId="0" borderId="30" xfId="0" applyFont="1" applyBorder="1" applyAlignment="1">
      <alignment vertical="center" wrapText="1"/>
    </xf>
    <xf numFmtId="172" fontId="90" fillId="0" borderId="31" xfId="0" applyNumberFormat="1" applyFont="1" applyFill="1" applyBorder="1" applyAlignment="1">
      <alignment vertical="center" wrapText="1"/>
    </xf>
    <xf numFmtId="0" fontId="76" fillId="2" borderId="52" xfId="64" applyFont="1" applyFill="1" applyBorder="1" applyAlignment="1">
      <alignment vertical="center" wrapText="1"/>
    </xf>
    <xf numFmtId="0" fontId="77" fillId="2" borderId="52" xfId="64" applyFont="1" applyFill="1" applyBorder="1" applyAlignment="1">
      <alignment horizontal="center" vertical="center" wrapText="1"/>
    </xf>
    <xf numFmtId="0" fontId="127" fillId="0" borderId="51" xfId="64" applyFont="1" applyBorder="1" applyAlignment="1">
      <alignment vertical="center" wrapText="1"/>
    </xf>
    <xf numFmtId="43" fontId="127" fillId="0" borderId="51" xfId="64" applyNumberFormat="1" applyFont="1" applyBorder="1" applyAlignment="1">
      <alignment horizontal="right" vertical="center" wrapText="1"/>
    </xf>
    <xf numFmtId="0" fontId="128" fillId="0" borderId="0" xfId="64" applyFont="1"/>
    <xf numFmtId="173" fontId="9" fillId="0" borderId="53" xfId="44" applyFill="1" applyBorder="1" applyAlignment="1">
      <alignment horizontal="right" vertical="center"/>
    </xf>
    <xf numFmtId="0" fontId="127" fillId="0" borderId="0" xfId="64" applyFont="1" applyFill="1" applyBorder="1" applyAlignment="1">
      <alignment vertical="center" wrapText="1"/>
    </xf>
    <xf numFmtId="179" fontId="127" fillId="0" borderId="51" xfId="64" applyNumberFormat="1" applyFont="1" applyBorder="1" applyAlignment="1">
      <alignment horizontal="right" vertical="center" wrapText="1"/>
    </xf>
    <xf numFmtId="6" fontId="80" fillId="0" borderId="29" xfId="0" applyNumberFormat="1" applyFont="1" applyFill="1" applyBorder="1" applyAlignment="1">
      <alignment horizontal="right" vertical="center" wrapText="1"/>
    </xf>
    <xf numFmtId="3" fontId="80" fillId="0" borderId="31" xfId="0" applyNumberFormat="1" applyFont="1" applyFill="1" applyBorder="1" applyAlignment="1">
      <alignment horizontal="right" vertical="center" wrapText="1"/>
    </xf>
    <xf numFmtId="2" fontId="80" fillId="0" borderId="31" xfId="0" applyNumberFormat="1" applyFont="1" applyFill="1" applyBorder="1" applyAlignment="1">
      <alignment horizontal="right" vertical="center" wrapText="1"/>
    </xf>
    <xf numFmtId="2" fontId="80" fillId="0" borderId="29" xfId="0" applyNumberFormat="1" applyFont="1" applyFill="1" applyBorder="1" applyAlignment="1">
      <alignment horizontal="right" vertical="center" wrapText="1"/>
    </xf>
    <xf numFmtId="0" fontId="80" fillId="0" borderId="30" xfId="0" applyFont="1" applyFill="1" applyBorder="1" applyAlignment="1">
      <alignment horizontal="right" vertical="center" wrapText="1"/>
    </xf>
    <xf numFmtId="10" fontId="80" fillId="0" borderId="31" xfId="0" applyNumberFormat="1" applyFont="1" applyFill="1" applyBorder="1" applyAlignment="1">
      <alignment horizontal="right" vertical="center" wrapText="1"/>
    </xf>
    <xf numFmtId="4" fontId="80" fillId="39" borderId="31" xfId="0" applyNumberFormat="1" applyFont="1" applyFill="1" applyBorder="1" applyAlignment="1">
      <alignment horizontal="right" vertical="center" wrapText="1"/>
    </xf>
    <xf numFmtId="0" fontId="80" fillId="39" borderId="29" xfId="0" applyFont="1" applyFill="1" applyBorder="1" applyAlignment="1">
      <alignment horizontal="right" vertical="center" wrapText="1"/>
    </xf>
    <xf numFmtId="0" fontId="80" fillId="39" borderId="31" xfId="0" applyFont="1" applyFill="1" applyBorder="1" applyAlignment="1">
      <alignment horizontal="right" vertical="center" wrapText="1"/>
    </xf>
    <xf numFmtId="3" fontId="80" fillId="39" borderId="31" xfId="0" applyNumberFormat="1" applyFont="1" applyFill="1" applyBorder="1" applyAlignment="1">
      <alignment horizontal="right" vertical="center" wrapText="1"/>
    </xf>
    <xf numFmtId="6" fontId="80" fillId="39" borderId="29" xfId="0" applyNumberFormat="1" applyFont="1" applyFill="1" applyBorder="1" applyAlignment="1">
      <alignment horizontal="right" vertical="center" wrapText="1"/>
    </xf>
    <xf numFmtId="9" fontId="80" fillId="39" borderId="31" xfId="62" applyFont="1" applyFill="1" applyBorder="1" applyAlignment="1">
      <alignment horizontal="right" vertical="center" wrapText="1"/>
    </xf>
    <xf numFmtId="9" fontId="80" fillId="0" borderId="31" xfId="62" applyFont="1" applyFill="1" applyBorder="1" applyAlignment="1">
      <alignment horizontal="right" vertical="center" wrapText="1"/>
    </xf>
    <xf numFmtId="10" fontId="78" fillId="39" borderId="28" xfId="64" applyNumberFormat="1" applyFont="1" applyFill="1" applyBorder="1" applyAlignment="1">
      <alignment vertical="center" wrapText="1"/>
    </xf>
    <xf numFmtId="0" fontId="127" fillId="0" borderId="54" xfId="64" applyFont="1" applyBorder="1" applyAlignment="1">
      <alignment vertical="center" wrapText="1"/>
    </xf>
    <xf numFmtId="43" fontId="127" fillId="0" borderId="54" xfId="64" applyNumberFormat="1" applyFont="1" applyFill="1" applyBorder="1" applyAlignment="1">
      <alignment vertical="center" wrapText="1"/>
    </xf>
    <xf numFmtId="0" fontId="129" fillId="0" borderId="0" xfId="64" applyFont="1"/>
    <xf numFmtId="0" fontId="82" fillId="0" borderId="30" xfId="0" applyFont="1" applyBorder="1" applyAlignment="1">
      <alignment horizontal="left" vertical="center" indent="1"/>
    </xf>
    <xf numFmtId="0" fontId="77" fillId="19" borderId="31" xfId="0" applyFont="1" applyFill="1" applyBorder="1" applyAlignment="1">
      <alignment horizontal="center" vertical="center" wrapText="1"/>
    </xf>
    <xf numFmtId="0" fontId="133" fillId="0" borderId="0" xfId="64" applyFont="1"/>
    <xf numFmtId="0" fontId="77" fillId="19" borderId="34" xfId="0" applyFont="1" applyFill="1" applyBorder="1" applyAlignment="1">
      <alignment horizontal="center" vertical="center" wrapText="1"/>
    </xf>
    <xf numFmtId="0" fontId="77" fillId="19" borderId="29" xfId="0" applyFont="1" applyFill="1" applyBorder="1" applyAlignment="1">
      <alignment horizontal="center" vertical="center" wrapText="1"/>
    </xf>
    <xf numFmtId="2" fontId="73" fillId="0" borderId="0" xfId="64" applyNumberFormat="1"/>
    <xf numFmtId="4" fontId="80" fillId="0" borderId="28" xfId="0" applyNumberFormat="1" applyFont="1" applyFill="1" applyBorder="1" applyAlignment="1">
      <alignment horizontal="right" vertical="center" wrapText="1"/>
    </xf>
    <xf numFmtId="0" fontId="78" fillId="0" borderId="37" xfId="64" applyFont="1" applyBorder="1" applyAlignment="1">
      <alignment vertical="center"/>
    </xf>
    <xf numFmtId="178" fontId="82" fillId="0" borderId="31" xfId="0" applyNumberFormat="1" applyFont="1" applyFill="1" applyBorder="1" applyAlignment="1">
      <alignment horizontal="right" vertical="center" wrapText="1"/>
    </xf>
    <xf numFmtId="178" fontId="78" fillId="0" borderId="31" xfId="64" applyNumberFormat="1" applyFont="1" applyFill="1" applyBorder="1" applyAlignment="1">
      <alignment vertical="center" wrapText="1"/>
    </xf>
    <xf numFmtId="0" fontId="77" fillId="19" borderId="29" xfId="0" applyFont="1" applyFill="1" applyBorder="1" applyAlignment="1">
      <alignment horizontal="center" vertical="center" wrapText="1"/>
    </xf>
    <xf numFmtId="173" fontId="9" fillId="0" borderId="56" xfId="44" applyFill="1" applyBorder="1" applyAlignment="1">
      <alignment horizontal="center" vertical="center"/>
    </xf>
    <xf numFmtId="0" fontId="90" fillId="0" borderId="30" xfId="0" applyFont="1" applyBorder="1" applyAlignment="1">
      <alignment vertical="center" wrapText="1"/>
    </xf>
    <xf numFmtId="0" fontId="77" fillId="19" borderId="31" xfId="0" applyFont="1" applyFill="1" applyBorder="1" applyAlignment="1">
      <alignment horizontal="center" vertical="center" wrapText="1"/>
    </xf>
    <xf numFmtId="0" fontId="80" fillId="0" borderId="30" xfId="0" applyFont="1" applyBorder="1" applyAlignment="1">
      <alignment vertical="center" wrapText="1"/>
    </xf>
    <xf numFmtId="0" fontId="82" fillId="0" borderId="28" xfId="0" applyFont="1" applyBorder="1" applyAlignment="1">
      <alignment vertical="center"/>
    </xf>
    <xf numFmtId="4" fontId="80" fillId="21" borderId="28" xfId="0" applyNumberFormat="1" applyFont="1" applyFill="1" applyBorder="1" applyAlignment="1">
      <alignment horizontal="right" vertical="center"/>
    </xf>
    <xf numFmtId="2" fontId="80" fillId="21" borderId="28" xfId="0" applyNumberFormat="1" applyFont="1" applyFill="1" applyBorder="1" applyAlignment="1">
      <alignment horizontal="center" vertical="center"/>
    </xf>
    <xf numFmtId="180" fontId="80" fillId="21" borderId="28" xfId="0" applyNumberFormat="1" applyFont="1" applyFill="1" applyBorder="1" applyAlignment="1">
      <alignment horizontal="right" vertical="center"/>
    </xf>
    <xf numFmtId="0" fontId="96" fillId="0" borderId="28" xfId="0" applyFont="1" applyBorder="1" applyAlignment="1">
      <alignment vertical="center"/>
    </xf>
    <xf numFmtId="181" fontId="80" fillId="21" borderId="28" xfId="0" applyNumberFormat="1" applyFont="1" applyFill="1" applyBorder="1" applyAlignment="1">
      <alignment horizontal="center" vertical="center"/>
    </xf>
    <xf numFmtId="4" fontId="80" fillId="21" borderId="28" xfId="0" applyNumberFormat="1" applyFont="1" applyFill="1" applyBorder="1" applyAlignment="1">
      <alignment horizontal="center" vertical="center"/>
    </xf>
    <xf numFmtId="0" fontId="96" fillId="0" borderId="28" xfId="0" applyFont="1" applyBorder="1" applyAlignment="1">
      <alignment vertical="center" wrapText="1"/>
    </xf>
    <xf numFmtId="180" fontId="80" fillId="21" borderId="28" xfId="0" applyNumberFormat="1" applyFont="1" applyFill="1" applyBorder="1" applyAlignment="1">
      <alignment horizontal="center" vertical="center"/>
    </xf>
    <xf numFmtId="0" fontId="77" fillId="19" borderId="29" xfId="64" applyFont="1" applyFill="1" applyBorder="1" applyAlignment="1">
      <alignment horizontal="center" vertical="center" wrapText="1"/>
    </xf>
    <xf numFmtId="44" fontId="73" fillId="0" borderId="0" xfId="64" applyNumberFormat="1"/>
    <xf numFmtId="183" fontId="73" fillId="0" borderId="0" xfId="62" applyNumberFormat="1" applyFont="1"/>
    <xf numFmtId="0" fontId="136" fillId="0" borderId="58" xfId="64" applyFont="1" applyFill="1" applyBorder="1" applyAlignment="1">
      <alignment horizontal="center" vertical="center" wrapText="1"/>
    </xf>
    <xf numFmtId="183" fontId="135" fillId="0" borderId="58" xfId="62" applyNumberFormat="1" applyFont="1" applyFill="1" applyBorder="1" applyAlignment="1">
      <alignment vertical="center" wrapText="1"/>
    </xf>
    <xf numFmtId="178" fontId="135" fillId="0" borderId="58" xfId="64" applyNumberFormat="1" applyFont="1" applyFill="1" applyBorder="1" applyAlignment="1">
      <alignment vertical="center" wrapText="1"/>
    </xf>
    <xf numFmtId="178" fontId="136" fillId="0" borderId="58" xfId="64" applyNumberFormat="1" applyFont="1" applyFill="1" applyBorder="1" applyAlignment="1">
      <alignment vertical="center" wrapText="1"/>
    </xf>
    <xf numFmtId="183" fontId="136" fillId="0" borderId="58" xfId="62" applyNumberFormat="1" applyFont="1" applyFill="1" applyBorder="1" applyAlignment="1">
      <alignment vertical="center" wrapText="1"/>
    </xf>
    <xf numFmtId="0" fontId="77" fillId="19" borderId="29" xfId="0" applyFont="1" applyFill="1" applyBorder="1" applyAlignment="1">
      <alignment horizontal="center" vertical="center" wrapText="1"/>
    </xf>
    <xf numFmtId="0" fontId="80" fillId="0" borderId="30" xfId="0" applyFont="1" applyBorder="1" applyAlignment="1">
      <alignment vertical="center" wrapText="1"/>
    </xf>
    <xf numFmtId="0" fontId="130" fillId="19" borderId="28" xfId="0" applyFont="1" applyFill="1" applyBorder="1" applyAlignment="1">
      <alignment vertical="center"/>
    </xf>
    <xf numFmtId="0" fontId="130" fillId="19" borderId="29" xfId="0" applyFont="1" applyFill="1" applyBorder="1" applyAlignment="1">
      <alignment vertical="center"/>
    </xf>
    <xf numFmtId="0" fontId="137" fillId="20" borderId="30" xfId="0" applyFont="1" applyFill="1" applyBorder="1" applyAlignment="1">
      <alignment vertical="center"/>
    </xf>
    <xf numFmtId="0" fontId="137" fillId="20" borderId="31" xfId="0" applyFont="1" applyFill="1" applyBorder="1" applyAlignment="1">
      <alignment vertical="center"/>
    </xf>
    <xf numFmtId="0" fontId="78" fillId="0" borderId="30" xfId="64" applyFont="1" applyBorder="1" applyAlignment="1">
      <alignment vertical="center"/>
    </xf>
    <xf numFmtId="43" fontId="78" fillId="0" borderId="30" xfId="64" applyNumberFormat="1" applyFont="1" applyBorder="1" applyAlignment="1">
      <alignment vertical="center" wrapText="1"/>
    </xf>
    <xf numFmtId="0" fontId="138" fillId="19" borderId="0" xfId="66" applyFont="1">
      <alignment horizontal="left" vertical="center"/>
    </xf>
    <xf numFmtId="0" fontId="90" fillId="0" borderId="30" xfId="0" applyFont="1" applyBorder="1" applyAlignment="1">
      <alignment vertical="center" wrapText="1"/>
    </xf>
    <xf numFmtId="0" fontId="77" fillId="19" borderId="29" xfId="0" applyFont="1" applyFill="1" applyBorder="1" applyAlignment="1">
      <alignment horizontal="center" vertical="center" wrapText="1"/>
    </xf>
    <xf numFmtId="0" fontId="77" fillId="19" borderId="29" xfId="64" applyFont="1" applyFill="1" applyBorder="1" applyAlignment="1">
      <alignment horizontal="center" vertical="center" wrapText="1"/>
    </xf>
    <xf numFmtId="0" fontId="80" fillId="0" borderId="30" xfId="0" applyFont="1" applyBorder="1" applyAlignment="1">
      <alignment vertical="center" wrapText="1"/>
    </xf>
    <xf numFmtId="44" fontId="140" fillId="0" borderId="0" xfId="64" applyNumberFormat="1" applyFont="1"/>
    <xf numFmtId="183" fontId="140" fillId="0" borderId="0" xfId="62" applyNumberFormat="1" applyFont="1"/>
    <xf numFmtId="10" fontId="135" fillId="0" borderId="58" xfId="62" applyNumberFormat="1" applyFont="1" applyFill="1" applyBorder="1" applyAlignment="1">
      <alignment vertical="center" wrapText="1"/>
    </xf>
    <xf numFmtId="0" fontId="139" fillId="0" borderId="0" xfId="64" applyFont="1" applyAlignment="1">
      <alignment vertical="center"/>
    </xf>
    <xf numFmtId="0" fontId="139" fillId="0" borderId="0" xfId="64" applyFont="1"/>
    <xf numFmtId="0" fontId="122" fillId="37" borderId="65" xfId="0" applyFont="1" applyFill="1" applyBorder="1" applyAlignment="1">
      <alignment horizontal="center" vertical="center" wrapText="1"/>
    </xf>
    <xf numFmtId="0" fontId="77" fillId="19" borderId="33" xfId="0" applyFont="1" applyFill="1" applyBorder="1" applyAlignment="1">
      <alignment horizontal="center" vertical="center" wrapText="1"/>
    </xf>
    <xf numFmtId="0" fontId="77" fillId="19" borderId="69" xfId="0" applyFont="1" applyFill="1" applyBorder="1" applyAlignment="1">
      <alignment horizontal="center" vertical="center" wrapText="1"/>
    </xf>
    <xf numFmtId="0" fontId="77" fillId="19" borderId="70" xfId="0" applyFont="1" applyFill="1" applyBorder="1" applyAlignment="1">
      <alignment horizontal="center" vertical="center" wrapText="1"/>
    </xf>
    <xf numFmtId="0" fontId="77" fillId="19" borderId="71" xfId="0" applyFont="1" applyFill="1" applyBorder="1" applyAlignment="1">
      <alignment horizontal="center" vertical="center" wrapText="1"/>
    </xf>
    <xf numFmtId="2" fontId="135" fillId="0" borderId="65" xfId="0" applyNumberFormat="1" applyFont="1" applyFill="1" applyBorder="1" applyAlignment="1">
      <alignment vertical="center" wrapText="1"/>
    </xf>
    <xf numFmtId="165" fontId="38" fillId="3" borderId="28" xfId="55" applyFont="1" applyBorder="1" applyAlignment="1">
      <alignment horizontal="center" vertical="center"/>
      <protection locked="0"/>
    </xf>
    <xf numFmtId="183" fontId="114" fillId="0" borderId="0" xfId="62" applyNumberFormat="1" applyFont="1" applyFill="1" applyAlignment="1">
      <alignment horizontal="center" vertical="center"/>
    </xf>
    <xf numFmtId="0" fontId="73" fillId="0" borderId="0" xfId="64" applyFill="1"/>
    <xf numFmtId="0" fontId="107" fillId="0" borderId="2" xfId="35" applyFont="1" applyFill="1" applyBorder="1">
      <alignment horizontal="left" vertical="center"/>
    </xf>
    <xf numFmtId="0" fontId="77" fillId="39" borderId="51" xfId="64" applyFont="1" applyFill="1" applyBorder="1" applyAlignment="1">
      <alignment horizontal="center" vertical="center" wrapText="1"/>
    </xf>
    <xf numFmtId="43" fontId="127" fillId="0" borderId="51" xfId="64" applyNumberFormat="1" applyFont="1" applyFill="1" applyBorder="1" applyAlignment="1">
      <alignment vertical="center" wrapText="1"/>
    </xf>
    <xf numFmtId="43" fontId="141" fillId="0" borderId="51" xfId="64" applyNumberFormat="1" applyFont="1" applyFill="1" applyBorder="1" applyAlignment="1">
      <alignment horizontal="right" vertical="center" wrapText="1"/>
    </xf>
    <xf numFmtId="43" fontId="127" fillId="0" borderId="51" xfId="64" applyNumberFormat="1" applyFont="1" applyFill="1" applyBorder="1" applyAlignment="1">
      <alignment horizontal="right" vertical="center" wrapText="1"/>
    </xf>
    <xf numFmtId="0" fontId="141" fillId="0" borderId="51" xfId="64" applyFont="1" applyBorder="1" applyAlignment="1">
      <alignment vertical="center" wrapText="1"/>
    </xf>
    <xf numFmtId="43" fontId="141" fillId="0" borderId="51" xfId="64" applyNumberFormat="1" applyFont="1" applyFill="1" applyBorder="1" applyAlignment="1">
      <alignment vertical="center" wrapText="1"/>
    </xf>
    <xf numFmtId="10" fontId="127" fillId="0" borderId="51" xfId="64" applyNumberFormat="1" applyFont="1" applyFill="1" applyBorder="1" applyAlignment="1">
      <alignment vertical="center" wrapText="1"/>
    </xf>
    <xf numFmtId="0" fontId="129" fillId="0" borderId="0" xfId="64" applyFont="1" applyAlignment="1">
      <alignment vertical="center"/>
    </xf>
    <xf numFmtId="0" fontId="77" fillId="39" borderId="51" xfId="0" applyFont="1" applyFill="1" applyBorder="1" applyAlignment="1">
      <alignment horizontal="center" vertical="center" wrapText="1"/>
    </xf>
    <xf numFmtId="0" fontId="77" fillId="19" borderId="34" xfId="0" applyFont="1" applyFill="1" applyBorder="1" applyAlignment="1">
      <alignment horizontal="center" vertical="center" wrapText="1"/>
    </xf>
    <xf numFmtId="0" fontId="77" fillId="19" borderId="29" xfId="0" applyFont="1" applyFill="1" applyBorder="1" applyAlignment="1">
      <alignment horizontal="center" vertical="center" wrapText="1"/>
    </xf>
    <xf numFmtId="0" fontId="76" fillId="19" borderId="30" xfId="0" applyFont="1" applyFill="1" applyBorder="1" applyAlignment="1">
      <alignment vertical="center"/>
    </xf>
    <xf numFmtId="0" fontId="77" fillId="19" borderId="34" xfId="0" applyFont="1" applyFill="1" applyBorder="1" applyAlignment="1">
      <alignment vertical="center" wrapText="1"/>
    </xf>
    <xf numFmtId="0" fontId="77" fillId="19" borderId="29" xfId="64" applyFont="1" applyFill="1" applyBorder="1" applyAlignment="1">
      <alignment horizontal="center" vertical="center" wrapText="1"/>
    </xf>
    <xf numFmtId="0" fontId="80" fillId="0" borderId="30" xfId="0" applyFont="1" applyBorder="1" applyAlignment="1">
      <alignment vertical="center" wrapText="1"/>
    </xf>
    <xf numFmtId="0" fontId="77" fillId="19" borderId="28" xfId="0" applyFont="1" applyFill="1" applyBorder="1" applyAlignment="1">
      <alignment horizontal="center" vertical="center" wrapText="1"/>
    </xf>
    <xf numFmtId="184" fontId="80" fillId="21" borderId="28" xfId="0" applyNumberFormat="1" applyFont="1" applyFill="1" applyBorder="1" applyAlignment="1">
      <alignment horizontal="center" vertical="center"/>
    </xf>
    <xf numFmtId="0" fontId="142" fillId="0" borderId="0" xfId="0" applyFont="1"/>
    <xf numFmtId="165" fontId="70" fillId="0" borderId="72" xfId="13" applyFont="1" applyBorder="1" applyAlignment="1">
      <alignment horizontal="center" vertical="center"/>
    </xf>
    <xf numFmtId="165" fontId="70" fillId="0" borderId="73" xfId="13" applyFont="1" applyBorder="1" applyAlignment="1">
      <alignment horizontal="center" vertical="center"/>
    </xf>
    <xf numFmtId="165" fontId="70" fillId="0" borderId="74" xfId="13" applyFont="1" applyBorder="1" applyAlignment="1">
      <alignment horizontal="center" vertical="center"/>
    </xf>
    <xf numFmtId="165" fontId="71" fillId="0" borderId="75" xfId="55" applyFont="1" applyFill="1" applyBorder="1" applyAlignment="1">
      <alignment horizontal="center" vertical="center"/>
      <protection locked="0"/>
    </xf>
    <xf numFmtId="165" fontId="71" fillId="0" borderId="76" xfId="55" applyFont="1" applyFill="1" applyBorder="1" applyAlignment="1">
      <alignment horizontal="center" vertical="center"/>
      <protection locked="0"/>
    </xf>
    <xf numFmtId="165" fontId="70" fillId="0" borderId="0" xfId="13" applyFont="1" applyBorder="1" applyAlignment="1">
      <alignment horizontal="center" vertical="center"/>
    </xf>
    <xf numFmtId="0" fontId="64" fillId="0" borderId="0" xfId="0" applyFont="1" applyBorder="1"/>
    <xf numFmtId="165" fontId="32" fillId="12" borderId="4" xfId="14" applyFont="1" applyAlignment="1">
      <alignment horizontal="center" vertical="center"/>
      <protection locked="0"/>
    </xf>
    <xf numFmtId="0" fontId="70" fillId="0" borderId="0" xfId="37" applyFont="1" applyFill="1" applyAlignment="1">
      <alignment horizontal="right" vertical="center"/>
    </xf>
    <xf numFmtId="2" fontId="80" fillId="0" borderId="31" xfId="0" applyNumberFormat="1" applyFont="1" applyFill="1" applyBorder="1" applyAlignment="1">
      <alignment vertical="center" wrapText="1"/>
    </xf>
    <xf numFmtId="0" fontId="90" fillId="0" borderId="30" xfId="0" applyFont="1" applyBorder="1" applyAlignment="1">
      <alignment vertical="center" wrapText="1"/>
    </xf>
    <xf numFmtId="0" fontId="77" fillId="19" borderId="29" xfId="0" applyFont="1" applyFill="1" applyBorder="1" applyAlignment="1">
      <alignment horizontal="center" vertical="center" wrapText="1"/>
    </xf>
    <xf numFmtId="0" fontId="77" fillId="19" borderId="28" xfId="0" applyFont="1" applyFill="1" applyBorder="1" applyAlignment="1">
      <alignment vertical="center"/>
    </xf>
    <xf numFmtId="0" fontId="131" fillId="40" borderId="28" xfId="0" applyFont="1" applyFill="1" applyBorder="1" applyAlignment="1">
      <alignment horizontal="center" vertical="center"/>
    </xf>
    <xf numFmtId="0" fontId="132" fillId="35" borderId="28" xfId="0" applyFont="1" applyFill="1" applyBorder="1" applyAlignment="1">
      <alignment vertical="center"/>
    </xf>
    <xf numFmtId="0" fontId="132" fillId="35" borderId="28" xfId="0" applyFont="1" applyFill="1" applyBorder="1" applyAlignment="1">
      <alignment horizontal="center" vertical="center"/>
    </xf>
    <xf numFmtId="0" fontId="90" fillId="35" borderId="31" xfId="0" applyFont="1" applyFill="1" applyBorder="1" applyAlignment="1">
      <alignment horizontal="center" vertical="center" wrapText="1"/>
    </xf>
    <xf numFmtId="0" fontId="80" fillId="35" borderId="30" xfId="0" applyFont="1" applyFill="1" applyBorder="1" applyAlignment="1">
      <alignment horizontal="center" vertical="center"/>
    </xf>
    <xf numFmtId="0" fontId="90" fillId="35" borderId="30" xfId="0" applyFont="1" applyFill="1" applyBorder="1" applyAlignment="1">
      <alignment horizontal="center" vertical="center" wrapText="1"/>
    </xf>
    <xf numFmtId="0" fontId="122" fillId="42" borderId="28" xfId="0" applyFont="1" applyFill="1" applyBorder="1" applyAlignment="1">
      <alignment vertical="center"/>
    </xf>
    <xf numFmtId="0" fontId="77" fillId="42" borderId="31" xfId="0" applyFont="1" applyFill="1" applyBorder="1" applyAlignment="1">
      <alignment horizontal="center" vertical="center"/>
    </xf>
    <xf numFmtId="0" fontId="122" fillId="42" borderId="30" xfId="0" applyFont="1" applyFill="1" applyBorder="1" applyAlignment="1">
      <alignment vertical="center"/>
    </xf>
    <xf numFmtId="0" fontId="90" fillId="41" borderId="30" xfId="0" applyFont="1" applyFill="1" applyBorder="1" applyAlignment="1">
      <alignment vertical="center" wrapText="1"/>
    </xf>
    <xf numFmtId="43" fontId="90" fillId="41" borderId="31" xfId="0" applyNumberFormat="1" applyFont="1" applyFill="1" applyBorder="1" applyAlignment="1">
      <alignment vertical="center" wrapText="1"/>
    </xf>
    <xf numFmtId="9" fontId="80" fillId="0" borderId="31" xfId="62" applyFont="1" applyFill="1" applyBorder="1" applyAlignment="1">
      <alignment vertical="center" wrapText="1"/>
    </xf>
    <xf numFmtId="43" fontId="80" fillId="0" borderId="31" xfId="0" applyNumberFormat="1" applyFont="1" applyFill="1" applyBorder="1" applyAlignment="1">
      <alignment vertical="center"/>
    </xf>
    <xf numFmtId="43" fontId="80" fillId="0" borderId="31" xfId="0" quotePrefix="1" applyNumberFormat="1" applyFont="1" applyFill="1" applyBorder="1" applyAlignment="1">
      <alignment vertical="center"/>
    </xf>
    <xf numFmtId="0" fontId="130" fillId="19" borderId="28" xfId="0" applyFont="1" applyFill="1" applyBorder="1" applyAlignment="1">
      <alignment horizontal="justify" vertical="center"/>
    </xf>
    <xf numFmtId="0" fontId="130" fillId="19" borderId="29" xfId="0" applyFont="1" applyFill="1" applyBorder="1" applyAlignment="1">
      <alignment horizontal="center" vertical="center"/>
    </xf>
    <xf numFmtId="0" fontId="145" fillId="0" borderId="30" xfId="0" applyFont="1" applyBorder="1" applyAlignment="1">
      <alignment horizontal="justify" vertical="center"/>
    </xf>
    <xf numFmtId="0" fontId="146" fillId="0" borderId="30" xfId="0" applyFont="1" applyBorder="1" applyAlignment="1">
      <alignment horizontal="justify" vertical="center"/>
    </xf>
    <xf numFmtId="0" fontId="147" fillId="0" borderId="30" xfId="0" applyFont="1" applyBorder="1" applyAlignment="1">
      <alignment vertical="center" wrapText="1"/>
    </xf>
    <xf numFmtId="0" fontId="148" fillId="0" borderId="30" xfId="0" applyFont="1" applyBorder="1" applyAlignment="1">
      <alignment horizontal="justify" vertical="center"/>
    </xf>
    <xf numFmtId="0" fontId="130" fillId="19" borderId="28" xfId="0" applyFont="1" applyFill="1" applyBorder="1" applyAlignment="1">
      <alignment horizontal="justify" vertical="center" wrapText="1"/>
    </xf>
    <xf numFmtId="0" fontId="130" fillId="19" borderId="29" xfId="0" applyFont="1" applyFill="1" applyBorder="1" applyAlignment="1">
      <alignment horizontal="center" vertical="center" wrapText="1"/>
    </xf>
    <xf numFmtId="0" fontId="139" fillId="0" borderId="77" xfId="64" applyFont="1" applyBorder="1" applyAlignment="1">
      <alignment horizontal="left" vertical="center"/>
    </xf>
    <xf numFmtId="0" fontId="139" fillId="0" borderId="78" xfId="64" applyFont="1" applyBorder="1" applyAlignment="1">
      <alignment horizontal="left" vertical="center"/>
    </xf>
    <xf numFmtId="0" fontId="139" fillId="0" borderId="79" xfId="64" applyFont="1" applyBorder="1" applyAlignment="1">
      <alignment horizontal="left" vertical="center"/>
    </xf>
    <xf numFmtId="0" fontId="75" fillId="39" borderId="51" xfId="64" applyFont="1" applyFill="1" applyBorder="1"/>
    <xf numFmtId="0" fontId="139" fillId="0" borderId="51" xfId="64" applyFont="1" applyBorder="1"/>
    <xf numFmtId="172" fontId="73" fillId="0" borderId="0" xfId="64" applyNumberFormat="1"/>
    <xf numFmtId="0" fontId="127" fillId="0" borderId="51" xfId="0" applyFont="1" applyBorder="1" applyAlignment="1">
      <alignment vertical="center" wrapText="1"/>
    </xf>
    <xf numFmtId="172" fontId="127" fillId="0" borderId="51" xfId="0" applyNumberFormat="1" applyFont="1" applyFill="1" applyBorder="1" applyAlignment="1">
      <alignment vertical="center" wrapText="1"/>
    </xf>
    <xf numFmtId="0" fontId="141" fillId="0" borderId="51" xfId="0" applyFont="1" applyBorder="1" applyAlignment="1">
      <alignment vertical="center" wrapText="1"/>
    </xf>
    <xf numFmtId="172" fontId="141" fillId="0" borderId="51" xfId="0" applyNumberFormat="1" applyFont="1" applyFill="1" applyBorder="1" applyAlignment="1">
      <alignment vertical="center" wrapText="1"/>
    </xf>
    <xf numFmtId="0" fontId="76" fillId="39" borderId="51" xfId="0" applyFont="1" applyFill="1" applyBorder="1" applyAlignment="1">
      <alignment vertical="center" wrapText="1"/>
    </xf>
    <xf numFmtId="184" fontId="127" fillId="0" borderId="51" xfId="0" applyNumberFormat="1" applyFont="1" applyFill="1" applyBorder="1" applyAlignment="1">
      <alignment vertical="center" wrapText="1"/>
    </xf>
    <xf numFmtId="0" fontId="77" fillId="39" borderId="51" xfId="64" applyFont="1" applyFill="1" applyBorder="1" applyAlignment="1">
      <alignment vertical="center" wrapText="1"/>
    </xf>
    <xf numFmtId="0" fontId="80" fillId="0" borderId="30" xfId="0" applyFont="1" applyBorder="1" applyAlignment="1">
      <alignment vertical="center" wrapText="1"/>
    </xf>
    <xf numFmtId="0" fontId="75" fillId="39" borderId="0" xfId="66" applyFill="1">
      <alignment horizontal="left" vertical="center"/>
    </xf>
    <xf numFmtId="0" fontId="77" fillId="39" borderId="51" xfId="0" applyFont="1" applyFill="1" applyBorder="1" applyAlignment="1">
      <alignment vertical="center" wrapText="1"/>
    </xf>
    <xf numFmtId="0" fontId="149" fillId="0" borderId="51" xfId="0" applyFont="1" applyBorder="1" applyAlignment="1">
      <alignment vertical="center" wrapText="1"/>
    </xf>
    <xf numFmtId="0" fontId="122" fillId="43" borderId="28" xfId="0" applyFont="1" applyFill="1" applyBorder="1" applyAlignment="1">
      <alignment vertical="center"/>
    </xf>
    <xf numFmtId="10" fontId="127" fillId="0" borderId="0" xfId="62" applyNumberFormat="1" applyFont="1" applyFill="1" applyBorder="1" applyAlignment="1">
      <alignment vertical="center" wrapText="1"/>
    </xf>
    <xf numFmtId="43" fontId="127" fillId="0" borderId="0" xfId="64" applyNumberFormat="1" applyFont="1" applyBorder="1" applyAlignment="1">
      <alignment vertical="center" wrapText="1"/>
    </xf>
    <xf numFmtId="177" fontId="150" fillId="0" borderId="0" xfId="0" applyNumberFormat="1" applyFont="1" applyProtection="1"/>
    <xf numFmtId="177" fontId="127" fillId="0" borderId="0" xfId="64" applyNumberFormat="1" applyFont="1" applyFill="1" applyBorder="1" applyAlignment="1">
      <alignment vertical="center" wrapText="1"/>
    </xf>
    <xf numFmtId="176" fontId="32" fillId="3" borderId="0" xfId="16" applyNumberFormat="1" applyFill="1" applyBorder="1" applyAlignment="1">
      <alignment horizontal="center" vertical="center"/>
      <protection locked="0"/>
    </xf>
    <xf numFmtId="17" fontId="0" fillId="0" borderId="0" xfId="0" applyNumberFormat="1" applyFont="1"/>
    <xf numFmtId="0" fontId="77" fillId="19" borderId="29" xfId="64" applyFont="1" applyFill="1" applyBorder="1" applyAlignment="1">
      <alignment horizontal="center" vertical="center" wrapText="1"/>
    </xf>
    <xf numFmtId="43" fontId="82" fillId="39" borderId="83" xfId="64" applyNumberFormat="1" applyFont="1" applyFill="1" applyBorder="1" applyAlignment="1">
      <alignment horizontal="right" vertical="center" wrapText="1"/>
    </xf>
    <xf numFmtId="0" fontId="90" fillId="0" borderId="30" xfId="0" applyFont="1" applyBorder="1" applyAlignment="1">
      <alignment vertical="center" wrapText="1"/>
    </xf>
    <xf numFmtId="0" fontId="77" fillId="19" borderId="31" xfId="0" applyFont="1" applyFill="1" applyBorder="1" applyAlignment="1">
      <alignment horizontal="center" vertical="center" wrapText="1"/>
    </xf>
    <xf numFmtId="0" fontId="77" fillId="19" borderId="29" xfId="0" applyFont="1" applyFill="1" applyBorder="1" applyAlignment="1">
      <alignment horizontal="center" vertical="center" wrapText="1"/>
    </xf>
    <xf numFmtId="0" fontId="80" fillId="0" borderId="30" xfId="0" applyFont="1" applyBorder="1" applyAlignment="1">
      <alignment vertical="center" wrapText="1"/>
    </xf>
    <xf numFmtId="169" fontId="73" fillId="0" borderId="0" xfId="64" applyNumberFormat="1"/>
    <xf numFmtId="181" fontId="73" fillId="0" borderId="0" xfId="64" applyNumberFormat="1"/>
    <xf numFmtId="4" fontId="127" fillId="0" borderId="51" xfId="0" applyNumberFormat="1" applyFont="1" applyFill="1" applyBorder="1" applyAlignment="1">
      <alignment horizontal="right" vertical="center" wrapText="1"/>
    </xf>
    <xf numFmtId="10" fontId="127" fillId="0" borderId="51" xfId="0" applyNumberFormat="1" applyFont="1" applyFill="1" applyBorder="1" applyAlignment="1">
      <alignment horizontal="right" vertical="center" wrapText="1"/>
    </xf>
    <xf numFmtId="0" fontId="90" fillId="0" borderId="30" xfId="0" applyFont="1" applyBorder="1" applyAlignment="1">
      <alignment vertical="center" wrapText="1"/>
    </xf>
    <xf numFmtId="0" fontId="80" fillId="0" borderId="30" xfId="0" applyFont="1" applyBorder="1" applyAlignment="1">
      <alignment vertical="center" wrapText="1"/>
    </xf>
    <xf numFmtId="43" fontId="141" fillId="0" borderId="51" xfId="0" applyNumberFormat="1" applyFont="1" applyFill="1" applyBorder="1" applyAlignment="1">
      <alignment vertical="center" wrapText="1"/>
    </xf>
    <xf numFmtId="43" fontId="103" fillId="39" borderId="51" xfId="0" applyNumberFormat="1" applyFont="1" applyFill="1" applyBorder="1" applyAlignment="1">
      <alignment vertical="center" wrapText="1"/>
    </xf>
    <xf numFmtId="0" fontId="152" fillId="0" borderId="0" xfId="64" applyFont="1"/>
    <xf numFmtId="165" fontId="70" fillId="0" borderId="84" xfId="13" applyFont="1" applyBorder="1" applyAlignment="1">
      <alignment horizontal="center" vertical="center"/>
    </xf>
    <xf numFmtId="2" fontId="90" fillId="41" borderId="31" xfId="0" applyNumberFormat="1" applyFont="1" applyFill="1" applyBorder="1" applyAlignment="1">
      <alignment vertical="center" wrapText="1"/>
    </xf>
    <xf numFmtId="43" fontId="127" fillId="0" borderId="51" xfId="0" applyNumberFormat="1" applyFont="1" applyFill="1" applyBorder="1" applyAlignment="1">
      <alignment vertical="center" wrapText="1"/>
    </xf>
    <xf numFmtId="10" fontId="127" fillId="0" borderId="51" xfId="62" applyNumberFormat="1" applyFont="1" applyFill="1" applyBorder="1" applyAlignment="1">
      <alignment vertical="center" wrapText="1"/>
    </xf>
    <xf numFmtId="178" fontId="79" fillId="0" borderId="31" xfId="64" applyNumberFormat="1" applyFont="1" applyFill="1" applyBorder="1" applyAlignment="1">
      <alignment vertical="center" wrapText="1"/>
    </xf>
    <xf numFmtId="9" fontId="78" fillId="0" borderId="31" xfId="62" applyFont="1" applyFill="1" applyBorder="1" applyAlignment="1">
      <alignment vertical="center" wrapText="1"/>
    </xf>
    <xf numFmtId="0" fontId="153" fillId="0" borderId="0" xfId="37" applyFont="1" applyFill="1" applyAlignment="1">
      <alignment horizontal="right" vertical="center"/>
    </xf>
    <xf numFmtId="0" fontId="77" fillId="19" borderId="29" xfId="0" applyFont="1" applyFill="1" applyBorder="1" applyAlignment="1">
      <alignment horizontal="center" vertical="center" wrapText="1"/>
    </xf>
    <xf numFmtId="43" fontId="78" fillId="0" borderId="28" xfId="64" applyNumberFormat="1" applyFont="1" applyFill="1" applyBorder="1" applyAlignment="1">
      <alignment vertical="center" wrapText="1"/>
    </xf>
    <xf numFmtId="178" fontId="127" fillId="0" borderId="51" xfId="64" applyNumberFormat="1" applyFont="1" applyFill="1" applyBorder="1" applyAlignment="1">
      <alignment vertical="center" wrapText="1"/>
    </xf>
    <xf numFmtId="178" fontId="82" fillId="44" borderId="31" xfId="0" applyNumberFormat="1" applyFont="1" applyFill="1" applyBorder="1" applyAlignment="1">
      <alignment horizontal="right" vertical="center" wrapText="1"/>
    </xf>
    <xf numFmtId="178" fontId="78" fillId="44" borderId="31" xfId="64" applyNumberFormat="1" applyFont="1" applyFill="1" applyBorder="1" applyAlignment="1">
      <alignment vertical="center" wrapText="1"/>
    </xf>
    <xf numFmtId="173" fontId="9" fillId="44" borderId="0" xfId="44" applyFill="1" applyBorder="1" applyAlignment="1">
      <alignment horizontal="center" vertical="center"/>
    </xf>
    <xf numFmtId="0" fontId="72" fillId="44" borderId="0" xfId="63" applyFill="1">
      <alignment horizontal="left" vertical="center"/>
    </xf>
    <xf numFmtId="0" fontId="73" fillId="44" borderId="0" xfId="64" applyFill="1"/>
    <xf numFmtId="0" fontId="55" fillId="44" borderId="0" xfId="0" applyFont="1" applyFill="1"/>
    <xf numFmtId="0" fontId="56" fillId="44" borderId="0" xfId="37" applyFont="1" applyFill="1">
      <alignment vertical="center"/>
    </xf>
    <xf numFmtId="0" fontId="57" fillId="44" borderId="0" xfId="32" applyFont="1" applyFill="1">
      <alignment horizontal="left" vertical="center"/>
    </xf>
    <xf numFmtId="0" fontId="58" fillId="44" borderId="0" xfId="36" applyFont="1" applyFill="1">
      <alignment horizontal="left" vertical="center"/>
    </xf>
    <xf numFmtId="0" fontId="59" fillId="44" borderId="0" xfId="3" applyFont="1" applyFill="1">
      <alignment horizontal="left" vertical="center"/>
    </xf>
    <xf numFmtId="0" fontId="155" fillId="44" borderId="0" xfId="64" applyFont="1" applyFill="1"/>
    <xf numFmtId="0" fontId="156" fillId="0" borderId="0" xfId="0" applyFont="1" applyFill="1"/>
    <xf numFmtId="0" fontId="21" fillId="44" borderId="0" xfId="32" applyFill="1">
      <alignment horizontal="left" vertical="center"/>
    </xf>
    <xf numFmtId="0" fontId="82" fillId="44" borderId="30" xfId="0" applyFont="1" applyFill="1" applyBorder="1" applyAlignment="1">
      <alignment vertical="center" wrapText="1"/>
    </xf>
    <xf numFmtId="43" fontId="127" fillId="0" borderId="0" xfId="64" applyNumberFormat="1" applyFont="1" applyBorder="1" applyAlignment="1">
      <alignment horizontal="right" vertical="center" wrapText="1"/>
    </xf>
    <xf numFmtId="0" fontId="2" fillId="0" borderId="0" xfId="68"/>
    <xf numFmtId="0" fontId="132" fillId="35" borderId="28" xfId="0" applyFont="1" applyFill="1" applyBorder="1" applyAlignment="1">
      <alignment vertical="center"/>
    </xf>
    <xf numFmtId="0" fontId="132" fillId="35" borderId="28" xfId="0" applyFont="1" applyFill="1" applyBorder="1" applyAlignment="1">
      <alignment horizontal="center" vertical="center"/>
    </xf>
    <xf numFmtId="8" fontId="82" fillId="0" borderId="30" xfId="0" applyNumberFormat="1" applyFont="1" applyBorder="1" applyAlignment="1">
      <alignment vertical="center"/>
    </xf>
    <xf numFmtId="0" fontId="132" fillId="35" borderId="28" xfId="0" applyFont="1" applyFill="1" applyBorder="1" applyAlignment="1">
      <alignment vertical="center" wrapText="1"/>
    </xf>
    <xf numFmtId="8" fontId="78" fillId="0" borderId="30" xfId="64" applyNumberFormat="1" applyFont="1" applyBorder="1" applyAlignment="1">
      <alignment vertical="center"/>
    </xf>
    <xf numFmtId="172" fontId="80" fillId="44" borderId="31" xfId="0" applyNumberFormat="1" applyFont="1" applyFill="1" applyBorder="1" applyAlignment="1">
      <alignment vertical="center" wrapText="1"/>
    </xf>
    <xf numFmtId="172" fontId="90" fillId="44" borderId="31" xfId="0" applyNumberFormat="1" applyFont="1" applyFill="1" applyBorder="1" applyAlignment="1">
      <alignment vertical="center" wrapText="1"/>
    </xf>
    <xf numFmtId="0" fontId="154" fillId="0" borderId="55" xfId="64" applyFont="1" applyBorder="1" applyAlignment="1">
      <alignment vertical="top" wrapText="1"/>
    </xf>
    <xf numFmtId="0" fontId="154" fillId="0" borderId="0" xfId="64" applyFont="1" applyBorder="1" applyAlignment="1">
      <alignment vertical="top" wrapText="1"/>
    </xf>
    <xf numFmtId="0" fontId="154" fillId="0" borderId="55" xfId="64" applyFont="1" applyBorder="1" applyAlignment="1">
      <alignment vertical="top"/>
    </xf>
    <xf numFmtId="172" fontId="127" fillId="44" borderId="51" xfId="0" applyNumberFormat="1" applyFont="1" applyFill="1" applyBorder="1" applyAlignment="1">
      <alignment vertical="center" wrapText="1"/>
    </xf>
    <xf numFmtId="172" fontId="80" fillId="0" borderId="0" xfId="0" applyNumberFormat="1" applyFont="1" applyFill="1" applyBorder="1" applyAlignment="1">
      <alignment vertical="center" wrapText="1"/>
    </xf>
    <xf numFmtId="0" fontId="80" fillId="0" borderId="30" xfId="0" applyFont="1" applyBorder="1" applyAlignment="1">
      <alignment vertical="center" wrapText="1"/>
    </xf>
    <xf numFmtId="182" fontId="73" fillId="0" borderId="0" xfId="64" applyNumberFormat="1"/>
    <xf numFmtId="43" fontId="127" fillId="35" borderId="51" xfId="64" applyNumberFormat="1" applyFont="1" applyFill="1" applyBorder="1" applyAlignment="1">
      <alignment vertical="center" wrapText="1"/>
    </xf>
    <xf numFmtId="165" fontId="157" fillId="0" borderId="0" xfId="13" applyFont="1" applyAlignment="1">
      <alignment horizontal="center" vertical="center"/>
    </xf>
    <xf numFmtId="0" fontId="158" fillId="0" borderId="0" xfId="0" applyFont="1"/>
    <xf numFmtId="0" fontId="80" fillId="0" borderId="34" xfId="0" applyFont="1" applyBorder="1" applyAlignment="1">
      <alignment vertical="center" wrapText="1"/>
    </xf>
    <xf numFmtId="0" fontId="80" fillId="0" borderId="30" xfId="0" applyFont="1" applyBorder="1" applyAlignment="1">
      <alignment vertical="center" wrapText="1"/>
    </xf>
    <xf numFmtId="0" fontId="90" fillId="0" borderId="30" xfId="0" applyFont="1" applyBorder="1" applyAlignment="1">
      <alignment vertical="center" wrapText="1"/>
    </xf>
    <xf numFmtId="0" fontId="77" fillId="19" borderId="29" xfId="0" applyFont="1" applyFill="1" applyBorder="1" applyAlignment="1">
      <alignment horizontal="center" vertical="center" wrapText="1"/>
    </xf>
    <xf numFmtId="0" fontId="77" fillId="19" borderId="29" xfId="64" applyFont="1" applyFill="1" applyBorder="1" applyAlignment="1">
      <alignment horizontal="center" vertical="center" wrapText="1"/>
    </xf>
    <xf numFmtId="0" fontId="77" fillId="19" borderId="29" xfId="0" applyFont="1" applyFill="1" applyBorder="1" applyAlignment="1">
      <alignment horizontal="center" vertical="center" wrapText="1"/>
    </xf>
    <xf numFmtId="0" fontId="77" fillId="19" borderId="28" xfId="0" applyFont="1" applyFill="1" applyBorder="1" applyAlignment="1">
      <alignment horizontal="center" vertical="center" wrapText="1"/>
    </xf>
    <xf numFmtId="178" fontId="80" fillId="0" borderId="31" xfId="0" applyNumberFormat="1" applyFont="1" applyFill="1" applyBorder="1" applyAlignment="1">
      <alignment vertical="center" wrapText="1"/>
    </xf>
    <xf numFmtId="178" fontId="80" fillId="39" borderId="30" xfId="0" applyNumberFormat="1" applyFont="1" applyFill="1" applyBorder="1" applyAlignment="1">
      <alignment vertical="center" wrapText="1"/>
    </xf>
    <xf numFmtId="2" fontId="80" fillId="44" borderId="31" xfId="0" applyNumberFormat="1" applyFont="1" applyFill="1" applyBorder="1" applyAlignment="1">
      <alignment vertical="center" wrapText="1"/>
    </xf>
    <xf numFmtId="2" fontId="90" fillId="0" borderId="31" xfId="0" applyNumberFormat="1" applyFont="1" applyFill="1" applyBorder="1" applyAlignment="1">
      <alignment vertical="center" wrapText="1"/>
    </xf>
    <xf numFmtId="0" fontId="32" fillId="0" borderId="0" xfId="36" applyFill="1" applyAlignment="1">
      <alignment horizontal="left" vertical="center" wrapText="1"/>
    </xf>
    <xf numFmtId="0" fontId="117" fillId="0" borderId="0" xfId="35" applyFont="1" applyFill="1" applyAlignment="1">
      <alignment horizontal="center" vertical="center"/>
    </xf>
    <xf numFmtId="0" fontId="113" fillId="0" borderId="0" xfId="35" applyFont="1" applyFill="1" applyAlignment="1">
      <alignment horizontal="center" vertical="center"/>
    </xf>
    <xf numFmtId="0" fontId="90" fillId="0" borderId="34" xfId="0" applyFont="1" applyBorder="1" applyAlignment="1">
      <alignment vertical="center" wrapText="1"/>
    </xf>
    <xf numFmtId="0" fontId="90" fillId="0" borderId="35" xfId="0" applyFont="1" applyBorder="1" applyAlignment="1">
      <alignment vertical="center" wrapText="1"/>
    </xf>
    <xf numFmtId="0" fontId="90" fillId="0" borderId="30" xfId="0" applyFont="1" applyBorder="1" applyAlignment="1">
      <alignment vertical="center" wrapText="1"/>
    </xf>
    <xf numFmtId="0" fontId="77" fillId="20" borderId="32" xfId="64" applyFont="1" applyFill="1" applyBorder="1" applyAlignment="1">
      <alignment horizontal="left" vertical="center" wrapText="1"/>
    </xf>
    <xf numFmtId="0" fontId="77" fillId="20" borderId="33" xfId="64" applyFont="1" applyFill="1" applyBorder="1" applyAlignment="1">
      <alignment horizontal="left" vertical="center" wrapText="1"/>
    </xf>
    <xf numFmtId="0" fontId="77" fillId="20" borderId="29" xfId="64" applyFont="1" applyFill="1" applyBorder="1" applyAlignment="1">
      <alignment horizontal="left" vertical="center" wrapText="1"/>
    </xf>
    <xf numFmtId="0" fontId="80" fillId="0" borderId="34" xfId="0" applyFont="1" applyBorder="1" applyAlignment="1">
      <alignment vertical="center"/>
    </xf>
    <xf numFmtId="0" fontId="80" fillId="0" borderId="35" xfId="0" applyFont="1" applyBorder="1" applyAlignment="1">
      <alignment vertical="center"/>
    </xf>
    <xf numFmtId="0" fontId="80" fillId="0" borderId="30" xfId="0" applyFont="1" applyBorder="1" applyAlignment="1">
      <alignment vertical="center"/>
    </xf>
    <xf numFmtId="0" fontId="77" fillId="20" borderId="32" xfId="0" applyFont="1" applyFill="1" applyBorder="1" applyAlignment="1">
      <alignment vertical="center" wrapText="1"/>
    </xf>
    <xf numFmtId="0" fontId="77" fillId="20" borderId="33" xfId="0" applyFont="1" applyFill="1" applyBorder="1" applyAlignment="1">
      <alignment vertical="center" wrapText="1"/>
    </xf>
    <xf numFmtId="0" fontId="77" fillId="20" borderId="29" xfId="0" applyFont="1" applyFill="1" applyBorder="1" applyAlignment="1">
      <alignment vertical="center" wrapText="1"/>
    </xf>
    <xf numFmtId="0" fontId="77" fillId="19" borderId="34" xfId="64" applyFont="1" applyFill="1" applyBorder="1" applyAlignment="1">
      <alignment horizontal="left" vertical="center" wrapText="1"/>
    </xf>
    <xf numFmtId="0" fontId="77" fillId="19" borderId="30" xfId="64" applyFont="1" applyFill="1" applyBorder="1" applyAlignment="1">
      <alignment horizontal="left" vertical="center" wrapText="1"/>
    </xf>
    <xf numFmtId="0" fontId="77" fillId="20" borderId="32" xfId="64" applyFont="1" applyFill="1" applyBorder="1" applyAlignment="1">
      <alignment vertical="center" wrapText="1"/>
    </xf>
    <xf numFmtId="0" fontId="77" fillId="20" borderId="33" xfId="64" applyFont="1" applyFill="1" applyBorder="1" applyAlignment="1">
      <alignment vertical="center" wrapText="1"/>
    </xf>
    <xf numFmtId="0" fontId="77" fillId="20" borderId="29" xfId="64" applyFont="1" applyFill="1" applyBorder="1" applyAlignment="1">
      <alignment vertical="center" wrapText="1"/>
    </xf>
    <xf numFmtId="0" fontId="77" fillId="39" borderId="51" xfId="64" applyFont="1" applyFill="1" applyBorder="1" applyAlignment="1">
      <alignment horizontal="left" vertical="center" wrapText="1"/>
    </xf>
    <xf numFmtId="0" fontId="77" fillId="19" borderId="34" xfId="0" applyFont="1" applyFill="1" applyBorder="1" applyAlignment="1">
      <alignment horizontal="center" vertical="center" wrapText="1"/>
    </xf>
    <xf numFmtId="0" fontId="77" fillId="19" borderId="35" xfId="0" applyFont="1" applyFill="1" applyBorder="1" applyAlignment="1">
      <alignment horizontal="center" vertical="center" wrapText="1"/>
    </xf>
    <xf numFmtId="0" fontId="77" fillId="19" borderId="30" xfId="0" applyFont="1" applyFill="1" applyBorder="1" applyAlignment="1">
      <alignment horizontal="center" vertical="center" wrapText="1"/>
    </xf>
    <xf numFmtId="15" fontId="77" fillId="19" borderId="39" xfId="0" applyNumberFormat="1" applyFont="1" applyFill="1" applyBorder="1" applyAlignment="1">
      <alignment horizontal="center" vertical="center" wrapText="1"/>
    </xf>
    <xf numFmtId="15" fontId="77" fillId="19" borderId="38" xfId="0" applyNumberFormat="1" applyFont="1" applyFill="1" applyBorder="1" applyAlignment="1">
      <alignment horizontal="center" vertical="center" wrapText="1"/>
    </xf>
    <xf numFmtId="0" fontId="77" fillId="19" borderId="37" xfId="0" applyFont="1" applyFill="1" applyBorder="1" applyAlignment="1">
      <alignment horizontal="center" vertical="center" wrapText="1"/>
    </xf>
    <xf numFmtId="0" fontId="77" fillId="19" borderId="31" xfId="0" applyFont="1" applyFill="1" applyBorder="1" applyAlignment="1">
      <alignment horizontal="center" vertical="center" wrapText="1"/>
    </xf>
    <xf numFmtId="0" fontId="76" fillId="20" borderId="32" xfId="0" applyFont="1" applyFill="1" applyBorder="1" applyAlignment="1">
      <alignment vertical="center" wrapText="1"/>
    </xf>
    <xf numFmtId="0" fontId="76" fillId="20" borderId="29" xfId="0" applyFont="1" applyFill="1" applyBorder="1" applyAlignment="1">
      <alignment vertical="center" wrapText="1"/>
    </xf>
    <xf numFmtId="0" fontId="76" fillId="20" borderId="33" xfId="0" applyFont="1" applyFill="1" applyBorder="1" applyAlignment="1">
      <alignment vertical="center" wrapText="1"/>
    </xf>
    <xf numFmtId="0" fontId="136" fillId="0" borderId="59" xfId="64" applyFont="1" applyBorder="1" applyAlignment="1">
      <alignment horizontal="left" vertical="center" wrapText="1"/>
    </xf>
    <xf numFmtId="0" fontId="136" fillId="0" borderId="60" xfId="64" applyFont="1" applyBorder="1" applyAlignment="1">
      <alignment horizontal="left" vertical="center" wrapText="1"/>
    </xf>
    <xf numFmtId="0" fontId="136" fillId="0" borderId="61" xfId="64" applyFont="1" applyBorder="1" applyAlignment="1">
      <alignment horizontal="left" vertical="center" wrapText="1"/>
    </xf>
    <xf numFmtId="0" fontId="135" fillId="0" borderId="59" xfId="64" applyFont="1" applyBorder="1" applyAlignment="1">
      <alignment horizontal="left" vertical="center"/>
    </xf>
    <xf numFmtId="0" fontId="135" fillId="0" borderId="60" xfId="64" applyFont="1" applyBorder="1" applyAlignment="1">
      <alignment horizontal="left" vertical="center"/>
    </xf>
    <xf numFmtId="0" fontId="135" fillId="0" borderId="61" xfId="64" applyFont="1" applyBorder="1" applyAlignment="1">
      <alignment horizontal="left" vertical="center"/>
    </xf>
    <xf numFmtId="0" fontId="136" fillId="0" borderId="59" xfId="64" applyFont="1" applyBorder="1" applyAlignment="1">
      <alignment horizontal="left" vertical="center"/>
    </xf>
    <xf numFmtId="0" fontId="136" fillId="0" borderId="60" xfId="64" applyFont="1" applyBorder="1" applyAlignment="1">
      <alignment horizontal="left" vertical="center"/>
    </xf>
    <xf numFmtId="0" fontId="136" fillId="0" borderId="61" xfId="64" applyFont="1" applyBorder="1" applyAlignment="1">
      <alignment horizontal="left" vertical="center"/>
    </xf>
    <xf numFmtId="0" fontId="136" fillId="0" borderId="59" xfId="64" applyFont="1" applyFill="1" applyBorder="1" applyAlignment="1">
      <alignment horizontal="center" vertical="center" wrapText="1"/>
    </xf>
    <xf numFmtId="0" fontId="136" fillId="0" borderId="60" xfId="64" applyFont="1" applyFill="1" applyBorder="1" applyAlignment="1">
      <alignment horizontal="center" vertical="center" wrapText="1"/>
    </xf>
    <xf numFmtId="0" fontId="136" fillId="0" borderId="61" xfId="64" applyFont="1" applyFill="1" applyBorder="1" applyAlignment="1">
      <alignment horizontal="center" vertical="center" wrapText="1"/>
    </xf>
    <xf numFmtId="0" fontId="80" fillId="0" borderId="32" xfId="0" applyFont="1" applyBorder="1" applyAlignment="1">
      <alignment horizontal="left" vertical="center" wrapText="1"/>
    </xf>
    <xf numFmtId="0" fontId="80" fillId="0" borderId="33" xfId="0" applyFont="1" applyBorder="1" applyAlignment="1">
      <alignment horizontal="left" vertical="center" wrapText="1"/>
    </xf>
    <xf numFmtId="0" fontId="80" fillId="0" borderId="29" xfId="0" applyFont="1" applyBorder="1" applyAlignment="1">
      <alignment horizontal="left" vertical="center" wrapText="1"/>
    </xf>
    <xf numFmtId="0" fontId="77" fillId="19" borderId="32" xfId="0" applyFont="1" applyFill="1" applyBorder="1" applyAlignment="1">
      <alignment horizontal="center" vertical="center" wrapText="1"/>
    </xf>
    <xf numFmtId="0" fontId="77" fillId="19" borderId="29" xfId="0" applyFont="1" applyFill="1" applyBorder="1" applyAlignment="1">
      <alignment horizontal="center" vertical="center" wrapText="1"/>
    </xf>
    <xf numFmtId="0" fontId="76" fillId="19" borderId="34" xfId="0" applyFont="1" applyFill="1" applyBorder="1" applyAlignment="1">
      <alignment vertical="center"/>
    </xf>
    <xf numFmtId="0" fontId="76" fillId="19" borderId="30" xfId="0" applyFont="1" applyFill="1" applyBorder="1" applyAlignment="1">
      <alignment vertical="center"/>
    </xf>
    <xf numFmtId="0" fontId="77" fillId="19" borderId="34" xfId="0" applyFont="1" applyFill="1" applyBorder="1" applyAlignment="1">
      <alignment vertical="center" wrapText="1"/>
    </xf>
    <xf numFmtId="0" fontId="77" fillId="19" borderId="30" xfId="0" applyFont="1" applyFill="1" applyBorder="1" applyAlignment="1">
      <alignment vertical="center" wrapText="1"/>
    </xf>
    <xf numFmtId="43" fontId="80" fillId="21" borderId="28" xfId="0" applyNumberFormat="1" applyFont="1" applyFill="1" applyBorder="1" applyAlignment="1">
      <alignment horizontal="center" vertical="center"/>
    </xf>
    <xf numFmtId="0" fontId="77" fillId="19" borderId="40" xfId="0" applyFont="1" applyFill="1" applyBorder="1" applyAlignment="1">
      <alignment vertical="center" wrapText="1"/>
    </xf>
    <xf numFmtId="179" fontId="78" fillId="0" borderId="32" xfId="64" applyNumberFormat="1" applyFont="1" applyBorder="1" applyAlignment="1">
      <alignment horizontal="center" vertical="center" wrapText="1"/>
    </xf>
    <xf numFmtId="179" fontId="78" fillId="0" borderId="33" xfId="64" applyNumberFormat="1" applyFont="1" applyBorder="1" applyAlignment="1">
      <alignment horizontal="center" vertical="center" wrapText="1"/>
    </xf>
    <xf numFmtId="179" fontId="78" fillId="0" borderId="29" xfId="64" applyNumberFormat="1" applyFont="1" applyBorder="1" applyAlignment="1">
      <alignment horizontal="center" vertical="center" wrapText="1"/>
    </xf>
    <xf numFmtId="179" fontId="78" fillId="0" borderId="39" xfId="64" applyNumberFormat="1" applyFont="1" applyBorder="1" applyAlignment="1">
      <alignment horizontal="left" vertical="center" wrapText="1"/>
    </xf>
    <xf numFmtId="179" fontId="78" fillId="0" borderId="50" xfId="64" applyNumberFormat="1" applyFont="1" applyBorder="1" applyAlignment="1">
      <alignment horizontal="left" vertical="center" wrapText="1"/>
    </xf>
    <xf numFmtId="179" fontId="78" fillId="0" borderId="38" xfId="64" applyNumberFormat="1" applyFont="1" applyBorder="1" applyAlignment="1">
      <alignment horizontal="left" vertical="center" wrapText="1"/>
    </xf>
    <xf numFmtId="179" fontId="78" fillId="0" borderId="37" xfId="64" applyNumberFormat="1" applyFont="1" applyBorder="1" applyAlignment="1">
      <alignment horizontal="left" vertical="center" wrapText="1"/>
    </xf>
    <xf numFmtId="179" fontId="78" fillId="0" borderId="49" xfId="64" applyNumberFormat="1" applyFont="1" applyBorder="1" applyAlignment="1">
      <alignment horizontal="left" vertical="center" wrapText="1"/>
    </xf>
    <xf numFmtId="179" fontId="78" fillId="0" borderId="31" xfId="64" applyNumberFormat="1" applyFont="1" applyBorder="1" applyAlignment="1">
      <alignment horizontal="left" vertical="center" wrapText="1"/>
    </xf>
    <xf numFmtId="0" fontId="77" fillId="19" borderId="32" xfId="64" applyFont="1" applyFill="1" applyBorder="1" applyAlignment="1">
      <alignment horizontal="center" vertical="center" wrapText="1"/>
    </xf>
    <xf numFmtId="0" fontId="77" fillId="19" borderId="33" xfId="64" applyFont="1" applyFill="1" applyBorder="1" applyAlignment="1">
      <alignment horizontal="center" vertical="center" wrapText="1"/>
    </xf>
    <xf numFmtId="0" fontId="77" fillId="19" borderId="29" xfId="64" applyFont="1" applyFill="1" applyBorder="1" applyAlignment="1">
      <alignment horizontal="center" vertical="center" wrapText="1"/>
    </xf>
    <xf numFmtId="0" fontId="77" fillId="19" borderId="34" xfId="64" applyFont="1" applyFill="1" applyBorder="1" applyAlignment="1">
      <alignment horizontal="center" vertical="center" textRotation="90" wrapText="1"/>
    </xf>
    <xf numFmtId="0" fontId="77" fillId="19" borderId="30" xfId="64" applyFont="1" applyFill="1" applyBorder="1" applyAlignment="1">
      <alignment horizontal="center" vertical="center" textRotation="90" wrapText="1"/>
    </xf>
    <xf numFmtId="0" fontId="83" fillId="39" borderId="32" xfId="64" applyFont="1" applyFill="1" applyBorder="1" applyAlignment="1">
      <alignment horizontal="left" vertical="center" wrapText="1"/>
    </xf>
    <xf numFmtId="0" fontId="83" fillId="39" borderId="33" xfId="64" applyFont="1" applyFill="1" applyBorder="1" applyAlignment="1">
      <alignment horizontal="left" vertical="center" wrapText="1"/>
    </xf>
    <xf numFmtId="0" fontId="83" fillId="39" borderId="29" xfId="64" applyFont="1" applyFill="1" applyBorder="1" applyAlignment="1">
      <alignment horizontal="left" vertical="center" wrapText="1"/>
    </xf>
    <xf numFmtId="0" fontId="80" fillId="0" borderId="34" xfId="0" applyFont="1" applyBorder="1" applyAlignment="1">
      <alignment vertical="center" wrapText="1"/>
    </xf>
    <xf numFmtId="0" fontId="80" fillId="0" borderId="35" xfId="0" applyFont="1" applyBorder="1" applyAlignment="1">
      <alignment vertical="center" wrapText="1"/>
    </xf>
    <xf numFmtId="0" fontId="80" fillId="0" borderId="30" xfId="0" applyFont="1" applyBorder="1" applyAlignment="1">
      <alignment vertical="center" wrapText="1"/>
    </xf>
    <xf numFmtId="0" fontId="89" fillId="0" borderId="0" xfId="64" applyFont="1" applyAlignment="1">
      <alignment horizontal="left" vertical="top" wrapText="1"/>
    </xf>
    <xf numFmtId="0" fontId="101" fillId="39" borderId="77" xfId="64" applyFont="1" applyFill="1" applyBorder="1" applyAlignment="1">
      <alignment horizontal="left" vertical="center"/>
    </xf>
    <xf numFmtId="0" fontId="101" fillId="39" borderId="78" xfId="64" applyFont="1" applyFill="1" applyBorder="1" applyAlignment="1">
      <alignment horizontal="left" vertical="center"/>
    </xf>
    <xf numFmtId="0" fontId="101" fillId="39" borderId="79" xfId="64" applyFont="1" applyFill="1" applyBorder="1" applyAlignment="1">
      <alignment horizontal="left" vertical="center"/>
    </xf>
    <xf numFmtId="0" fontId="139" fillId="0" borderId="77" xfId="64" applyFont="1" applyBorder="1" applyAlignment="1">
      <alignment horizontal="left" vertical="center"/>
    </xf>
    <xf numFmtId="0" fontId="139" fillId="0" borderId="78" xfId="64" applyFont="1" applyBorder="1" applyAlignment="1">
      <alignment horizontal="left" vertical="center"/>
    </xf>
    <xf numFmtId="0" fontId="139" fillId="0" borderId="79" xfId="64" applyFont="1" applyBorder="1" applyAlignment="1">
      <alignment horizontal="left" vertical="center"/>
    </xf>
    <xf numFmtId="0" fontId="151" fillId="39" borderId="51" xfId="0" applyFont="1" applyFill="1" applyBorder="1" applyAlignment="1">
      <alignment horizontal="left" vertical="center" wrapText="1"/>
    </xf>
    <xf numFmtId="0" fontId="127" fillId="0" borderId="51" xfId="0" applyFont="1" applyBorder="1" applyAlignment="1">
      <alignment horizontal="left" vertical="center" wrapText="1"/>
    </xf>
    <xf numFmtId="0" fontId="141" fillId="0" borderId="51" xfId="0" applyFont="1" applyBorder="1" applyAlignment="1">
      <alignment horizontal="left" vertical="center" wrapText="1"/>
    </xf>
    <xf numFmtId="0" fontId="129" fillId="0" borderId="80" xfId="64" applyFont="1" applyBorder="1" applyAlignment="1">
      <alignment horizontal="center" vertical="center"/>
    </xf>
    <xf numFmtId="0" fontId="129" fillId="0" borderId="81" xfId="64" applyFont="1" applyBorder="1" applyAlignment="1">
      <alignment horizontal="center" vertical="center"/>
    </xf>
    <xf numFmtId="0" fontId="129" fillId="0" borderId="82" xfId="64" applyFont="1" applyBorder="1" applyAlignment="1">
      <alignment horizontal="center" vertical="center"/>
    </xf>
    <xf numFmtId="0" fontId="103" fillId="39" borderId="80" xfId="0" applyFont="1" applyFill="1" applyBorder="1" applyAlignment="1">
      <alignment horizontal="center" vertical="center" wrapText="1"/>
    </xf>
    <xf numFmtId="0" fontId="103" fillId="39" borderId="81" xfId="0" applyFont="1" applyFill="1" applyBorder="1" applyAlignment="1">
      <alignment horizontal="center" vertical="center" wrapText="1"/>
    </xf>
    <xf numFmtId="0" fontId="103" fillId="39" borderId="82" xfId="0" applyFont="1" applyFill="1" applyBorder="1" applyAlignment="1">
      <alignment horizontal="center" vertical="center" wrapText="1"/>
    </xf>
    <xf numFmtId="172" fontId="135" fillId="0" borderId="66" xfId="0" applyNumberFormat="1" applyFont="1" applyFill="1" applyBorder="1" applyAlignment="1">
      <alignment horizontal="left" vertical="center"/>
    </xf>
    <xf numFmtId="172" fontId="135" fillId="0" borderId="67" xfId="0" applyNumberFormat="1" applyFont="1" applyFill="1" applyBorder="1" applyAlignment="1">
      <alignment horizontal="left" vertical="center"/>
    </xf>
    <xf numFmtId="172" fontId="135" fillId="0" borderId="68" xfId="0" applyNumberFormat="1" applyFont="1" applyFill="1" applyBorder="1" applyAlignment="1">
      <alignment horizontal="left" vertical="center"/>
    </xf>
    <xf numFmtId="0" fontId="77" fillId="37" borderId="66" xfId="0" applyFont="1" applyFill="1" applyBorder="1" applyAlignment="1">
      <alignment horizontal="left" vertical="center" wrapText="1"/>
    </xf>
    <xf numFmtId="0" fontId="77" fillId="37" borderId="67" xfId="0" applyFont="1" applyFill="1" applyBorder="1" applyAlignment="1">
      <alignment horizontal="left" vertical="center" wrapText="1"/>
    </xf>
    <xf numFmtId="0" fontId="77" fillId="37" borderId="68" xfId="0" applyFont="1" applyFill="1" applyBorder="1" applyAlignment="1">
      <alignment horizontal="left" vertical="center" wrapText="1"/>
    </xf>
    <xf numFmtId="0" fontId="77" fillId="37" borderId="66" xfId="0" applyFont="1" applyFill="1" applyBorder="1" applyAlignment="1">
      <alignment horizontal="left" vertical="center"/>
    </xf>
    <xf numFmtId="0" fontId="77" fillId="37" borderId="67" xfId="0" applyFont="1" applyFill="1" applyBorder="1" applyAlignment="1">
      <alignment horizontal="left" vertical="center"/>
    </xf>
    <xf numFmtId="0" fontId="77" fillId="37" borderId="68" xfId="0" applyFont="1" applyFill="1" applyBorder="1" applyAlignment="1">
      <alignment horizontal="left" vertical="center"/>
    </xf>
    <xf numFmtId="0" fontId="159" fillId="0" borderId="49" xfId="64" applyFont="1" applyBorder="1" applyAlignment="1">
      <alignment horizontal="center"/>
    </xf>
    <xf numFmtId="0" fontId="154" fillId="0" borderId="55" xfId="64" applyFont="1" applyBorder="1" applyAlignment="1">
      <alignment horizontal="left" vertical="top" wrapText="1"/>
    </xf>
    <xf numFmtId="0" fontId="154" fillId="0" borderId="0" xfId="64" applyFont="1" applyBorder="1" applyAlignment="1">
      <alignment horizontal="left" vertical="top" wrapText="1"/>
    </xf>
    <xf numFmtId="0" fontId="127" fillId="0" borderId="51" xfId="64" applyFont="1" applyBorder="1" applyAlignment="1">
      <alignment horizontal="left" vertical="center" wrapText="1"/>
    </xf>
    <xf numFmtId="0" fontId="141" fillId="0" borderId="51" xfId="64" applyFont="1" applyBorder="1" applyAlignment="1">
      <alignment horizontal="left" vertical="center" wrapText="1"/>
    </xf>
    <xf numFmtId="0" fontId="77" fillId="39" borderId="51" xfId="0" applyFont="1" applyFill="1" applyBorder="1" applyAlignment="1">
      <alignment horizontal="left" vertical="center" wrapText="1"/>
    </xf>
    <xf numFmtId="43" fontId="80" fillId="21" borderId="34" xfId="0" applyNumberFormat="1" applyFont="1" applyFill="1" applyBorder="1" applyAlignment="1">
      <alignment horizontal="center" vertical="center"/>
    </xf>
    <xf numFmtId="43" fontId="80" fillId="21" borderId="35" xfId="0" applyNumberFormat="1" applyFont="1" applyFill="1" applyBorder="1" applyAlignment="1">
      <alignment horizontal="center" vertical="center"/>
    </xf>
    <xf numFmtId="43" fontId="80" fillId="21" borderId="30" xfId="0" applyNumberFormat="1" applyFont="1" applyFill="1" applyBorder="1" applyAlignment="1">
      <alignment horizontal="center" vertical="center"/>
    </xf>
    <xf numFmtId="0" fontId="77" fillId="19" borderId="28" xfId="0" applyFont="1" applyFill="1" applyBorder="1" applyAlignment="1">
      <alignment horizontal="left" vertical="center"/>
    </xf>
    <xf numFmtId="0" fontId="77" fillId="43" borderId="28" xfId="0" applyFont="1" applyFill="1" applyBorder="1" applyAlignment="1">
      <alignment horizontal="center" vertical="center"/>
    </xf>
    <xf numFmtId="0" fontId="77" fillId="19" borderId="28" xfId="0" applyFont="1" applyFill="1" applyBorder="1" applyAlignment="1">
      <alignment horizontal="center" vertical="center" wrapText="1"/>
    </xf>
    <xf numFmtId="0" fontId="96" fillId="0" borderId="34" xfId="0" applyFont="1" applyBorder="1" applyAlignment="1">
      <alignment horizontal="left" vertical="center" wrapText="1"/>
    </xf>
    <xf numFmtId="0" fontId="96" fillId="0" borderId="30" xfId="0" applyFont="1" applyBorder="1" applyAlignment="1">
      <alignment horizontal="left" vertical="center" wrapText="1"/>
    </xf>
    <xf numFmtId="0" fontId="77" fillId="19" borderId="57" xfId="0" applyFont="1" applyFill="1" applyBorder="1" applyAlignment="1">
      <alignment horizontal="center" vertical="center" wrapText="1"/>
    </xf>
    <xf numFmtId="0" fontId="77" fillId="19" borderId="46" xfId="0" applyFont="1" applyFill="1" applyBorder="1" applyAlignment="1">
      <alignment horizontal="center" vertical="center" wrapText="1"/>
    </xf>
    <xf numFmtId="0" fontId="77" fillId="19" borderId="0" xfId="0" applyFont="1" applyFill="1" applyBorder="1" applyAlignment="1">
      <alignment horizontal="left" vertical="center" wrapText="1"/>
    </xf>
    <xf numFmtId="0" fontId="77" fillId="19" borderId="49" xfId="0" applyFont="1" applyFill="1" applyBorder="1" applyAlignment="1">
      <alignment horizontal="left" vertical="center" wrapText="1"/>
    </xf>
    <xf numFmtId="182" fontId="78" fillId="0" borderId="62" xfId="64" applyNumberFormat="1" applyFont="1" applyFill="1" applyBorder="1" applyAlignment="1">
      <alignment horizontal="left" vertical="center" wrapText="1"/>
    </xf>
    <xf numFmtId="182" fontId="78" fillId="0" borderId="63" xfId="64" applyNumberFormat="1" applyFont="1" applyFill="1" applyBorder="1" applyAlignment="1">
      <alignment horizontal="left" vertical="center" wrapText="1"/>
    </xf>
    <xf numFmtId="182" fontId="78" fillId="0" borderId="64" xfId="64" applyNumberFormat="1" applyFont="1" applyFill="1" applyBorder="1" applyAlignment="1">
      <alignment horizontal="left" vertical="center" wrapText="1"/>
    </xf>
    <xf numFmtId="182" fontId="78" fillId="0" borderId="62" xfId="64" applyNumberFormat="1" applyFont="1" applyFill="1" applyBorder="1" applyAlignment="1">
      <alignment horizontal="left" vertical="center"/>
    </xf>
    <xf numFmtId="182" fontId="78" fillId="0" borderId="63" xfId="64" applyNumberFormat="1" applyFont="1" applyFill="1" applyBorder="1" applyAlignment="1">
      <alignment horizontal="left" vertical="center"/>
    </xf>
    <xf numFmtId="182" fontId="78" fillId="0" borderId="64" xfId="64" applyNumberFormat="1" applyFont="1" applyFill="1" applyBorder="1" applyAlignment="1">
      <alignment horizontal="left" vertical="center"/>
    </xf>
    <xf numFmtId="0" fontId="77" fillId="19" borderId="34" xfId="0" applyFont="1" applyFill="1" applyBorder="1" applyAlignment="1">
      <alignment horizontal="left" vertical="center" wrapText="1"/>
    </xf>
    <xf numFmtId="0" fontId="77" fillId="19" borderId="30" xfId="0" applyFont="1" applyFill="1" applyBorder="1" applyAlignment="1">
      <alignment horizontal="left" vertical="center" wrapText="1"/>
    </xf>
    <xf numFmtId="0" fontId="77" fillId="19" borderId="0" xfId="0" applyFont="1" applyFill="1" applyBorder="1" applyAlignment="1">
      <alignment horizontal="left" vertical="center"/>
    </xf>
    <xf numFmtId="0" fontId="77" fillId="19" borderId="0" xfId="0" applyFont="1" applyFill="1" applyBorder="1" applyAlignment="1">
      <alignment horizontal="center" vertical="center" wrapText="1"/>
    </xf>
    <xf numFmtId="0" fontId="78" fillId="0" borderId="39" xfId="64" applyFont="1" applyBorder="1" applyAlignment="1">
      <alignment horizontal="left" vertical="center"/>
    </xf>
    <xf numFmtId="0" fontId="78" fillId="0" borderId="55" xfId="64" applyFont="1" applyBorder="1" applyAlignment="1">
      <alignment horizontal="left" vertical="center"/>
    </xf>
    <xf numFmtId="0" fontId="78" fillId="0" borderId="37" xfId="64" applyFont="1" applyBorder="1" applyAlignment="1">
      <alignment horizontal="left" vertical="center"/>
    </xf>
    <xf numFmtId="0" fontId="77" fillId="19" borderId="34" xfId="0" applyFont="1" applyFill="1" applyBorder="1" applyAlignment="1">
      <alignment horizontal="left" vertical="center"/>
    </xf>
    <xf numFmtId="0" fontId="77" fillId="19" borderId="30" xfId="0" applyFont="1" applyFill="1" applyBorder="1" applyAlignment="1">
      <alignment horizontal="left" vertical="center"/>
    </xf>
    <xf numFmtId="0" fontId="77" fillId="19" borderId="32" xfId="0" applyFont="1" applyFill="1" applyBorder="1" applyAlignment="1">
      <alignment horizontal="center" vertical="center"/>
    </xf>
    <xf numFmtId="0" fontId="77" fillId="19" borderId="33" xfId="0" applyFont="1" applyFill="1" applyBorder="1" applyAlignment="1">
      <alignment horizontal="center" vertical="center"/>
    </xf>
    <xf numFmtId="0" fontId="143" fillId="35" borderId="32" xfId="0" applyFont="1" applyFill="1" applyBorder="1" applyAlignment="1">
      <alignment horizontal="center" vertical="center"/>
    </xf>
    <xf numFmtId="0" fontId="143" fillId="35" borderId="33" xfId="0" applyFont="1" applyFill="1" applyBorder="1" applyAlignment="1">
      <alignment horizontal="center" vertical="center"/>
    </xf>
    <xf numFmtId="0" fontId="143" fillId="35" borderId="29" xfId="0" applyFont="1" applyFill="1" applyBorder="1" applyAlignment="1">
      <alignment horizontal="center" vertical="center"/>
    </xf>
    <xf numFmtId="0" fontId="122" fillId="19" borderId="37" xfId="0" applyFont="1" applyFill="1" applyBorder="1" applyAlignment="1">
      <alignment horizontal="center" vertical="center" wrapText="1"/>
    </xf>
    <xf numFmtId="0" fontId="122" fillId="19" borderId="31" xfId="0" applyFont="1" applyFill="1" applyBorder="1" applyAlignment="1">
      <alignment horizontal="center" vertical="center" wrapText="1"/>
    </xf>
    <xf numFmtId="0" fontId="132" fillId="35" borderId="28" xfId="0" applyFont="1" applyFill="1" applyBorder="1" applyAlignment="1">
      <alignment vertical="center"/>
    </xf>
    <xf numFmtId="0" fontId="131" fillId="40" borderId="28" xfId="0" applyFont="1" applyFill="1" applyBorder="1" applyAlignment="1">
      <alignment horizontal="center" vertical="center"/>
    </xf>
    <xf numFmtId="0" fontId="77" fillId="19" borderId="37" xfId="0" applyFont="1" applyFill="1" applyBorder="1" applyAlignment="1">
      <alignment horizontal="left" vertical="center"/>
    </xf>
    <xf numFmtId="0" fontId="77" fillId="19" borderId="49" xfId="0" applyFont="1" applyFill="1" applyBorder="1" applyAlignment="1">
      <alignment horizontal="left" vertical="center"/>
    </xf>
    <xf numFmtId="0" fontId="77" fillId="19" borderId="37" xfId="0" applyFont="1" applyFill="1" applyBorder="1" applyAlignment="1">
      <alignment vertical="center"/>
    </xf>
    <xf numFmtId="0" fontId="77" fillId="19" borderId="49" xfId="0" applyFont="1" applyFill="1" applyBorder="1" applyAlignment="1">
      <alignment vertical="center"/>
    </xf>
    <xf numFmtId="0" fontId="132" fillId="35" borderId="28" xfId="0" applyFont="1" applyFill="1" applyBorder="1" applyAlignment="1">
      <alignment horizontal="center" vertical="center"/>
    </xf>
  </cellXfs>
  <cellStyles count="80">
    <cellStyle name="Bad" xfId="22" builtinId="27" hidden="1"/>
    <cellStyle name="Calculation" xfId="26" builtinId="22" hidden="1"/>
    <cellStyle name="Check Cell" xfId="28" builtinId="23" hidden="1"/>
    <cellStyle name="Check RedRedGreen" xfId="44" xr:uid="{00000000-0005-0000-0000-000003000000}"/>
    <cellStyle name="Comma 2" xfId="61" xr:uid="{00000000-0005-0000-0000-000004000000}"/>
    <cellStyle name="Comma 2 2" xfId="71" xr:uid="{00000000-0005-0000-0000-000005000000}"/>
    <cellStyle name="Comma 2 2 2" xfId="79" xr:uid="{00000000-0005-0000-0000-000006000000}"/>
    <cellStyle name="Comma 2 3" xfId="75" xr:uid="{00000000-0005-0000-0000-000007000000}"/>
    <cellStyle name="Currency" xfId="1" builtinId="4" hidden="1" customBuiltin="1"/>
    <cellStyle name="Currency" xfId="40" xr:uid="{00000000-0005-0000-0000-000009000000}"/>
    <cellStyle name="Currency 2" xfId="59" xr:uid="{00000000-0005-0000-0000-00000A000000}"/>
    <cellStyle name="Currency 2 2" xfId="69" xr:uid="{00000000-0005-0000-0000-00000B000000}"/>
    <cellStyle name="Currency 2 2 2" xfId="77" xr:uid="{00000000-0005-0000-0000-00000C000000}"/>
    <cellStyle name="Currency 2 3" xfId="73" xr:uid="{00000000-0005-0000-0000-00000D000000}"/>
    <cellStyle name="Currency Assumptions" xfId="19" xr:uid="{00000000-0005-0000-0000-00000E000000}"/>
    <cellStyle name="Currency Input" xfId="49" xr:uid="{00000000-0005-0000-0000-00000F000000}"/>
    <cellStyle name="Date" xfId="11" xr:uid="{00000000-0005-0000-0000-000010000000}"/>
    <cellStyle name="Date Assumptions" xfId="12" xr:uid="{00000000-0005-0000-0000-000011000000}"/>
    <cellStyle name="Date Input" xfId="48" xr:uid="{00000000-0005-0000-0000-000012000000}"/>
    <cellStyle name="Dropdown" xfId="53" xr:uid="{00000000-0005-0000-0000-000013000000}"/>
    <cellStyle name="Explanatory Text" xfId="31" builtinId="53" hidden="1"/>
    <cellStyle name="External Link" xfId="55" xr:uid="{00000000-0005-0000-0000-000015000000}"/>
    <cellStyle name="Good" xfId="21" builtinId="26" hidden="1"/>
    <cellStyle name="Heading 1" xfId="3" builtinId="16" customBuiltin="1"/>
    <cellStyle name="Heading 1 2" xfId="66" xr:uid="{00000000-0005-0000-0000-000018000000}"/>
    <cellStyle name="Heading 2" xfId="4" builtinId="17" hidden="1" customBuiltin="1"/>
    <cellStyle name="Heading 2" xfId="67" xr:uid="{00000000-0005-0000-0000-00001A000000}"/>
    <cellStyle name="Heading 2 Input" xfId="38" xr:uid="{00000000-0005-0000-0000-00001B000000}"/>
    <cellStyle name="Heading 2 Output" xfId="39" xr:uid="{00000000-0005-0000-0000-00001C000000}"/>
    <cellStyle name="Heading 3" xfId="5" builtinId="18" hidden="1" customBuiltin="1"/>
    <cellStyle name="Heading 3 Input" xfId="34" xr:uid="{00000000-0005-0000-0000-00001E000000}"/>
    <cellStyle name="Heading 3 Output" xfId="35" xr:uid="{00000000-0005-0000-0000-00001F000000}"/>
    <cellStyle name="Heading 3 Output 2" xfId="65" xr:uid="{00000000-0005-0000-0000-000020000000}"/>
    <cellStyle name="Heading 4" xfId="6" builtinId="19" hidden="1" customBuiltin="1"/>
    <cellStyle name="Heading 4 Assumptions" xfId="8" xr:uid="{00000000-0005-0000-0000-000022000000}"/>
    <cellStyle name="Heading 4 Input" xfId="36" xr:uid="{00000000-0005-0000-0000-000023000000}"/>
    <cellStyle name="Heading 4 Output" xfId="37" xr:uid="{00000000-0005-0000-0000-000024000000}"/>
    <cellStyle name="Hyperlink" xfId="32" builtinId="8" customBuiltin="1"/>
    <cellStyle name="Input" xfId="24" builtinId="20" hidden="1"/>
    <cellStyle name="Line Item Modifier" xfId="41" xr:uid="{00000000-0005-0000-0000-000027000000}"/>
    <cellStyle name="Linked Cell" xfId="27" builtinId="24" hidden="1"/>
    <cellStyle name="Multiple" xfId="17" xr:uid="{00000000-0005-0000-0000-000029000000}"/>
    <cellStyle name="Multiple Assumptions" xfId="18" xr:uid="{00000000-0005-0000-0000-00002A000000}"/>
    <cellStyle name="Multiple Input" xfId="50" xr:uid="{00000000-0005-0000-0000-00002B000000}"/>
    <cellStyle name="Neutral" xfId="23" builtinId="28" hidden="1"/>
    <cellStyle name="Normal" xfId="0" builtinId="0" customBuiltin="1"/>
    <cellStyle name="Normal 10 2" xfId="56" xr:uid="{00000000-0005-0000-0000-00002E000000}"/>
    <cellStyle name="Normal 2" xfId="57" xr:uid="{00000000-0005-0000-0000-00002F000000}"/>
    <cellStyle name="Normal 3" xfId="58" xr:uid="{00000000-0005-0000-0000-000030000000}"/>
    <cellStyle name="Normal 3 2" xfId="68" xr:uid="{00000000-0005-0000-0000-000031000000}"/>
    <cellStyle name="Normal 3 2 2" xfId="76" xr:uid="{00000000-0005-0000-0000-000032000000}"/>
    <cellStyle name="Normal 3 3" xfId="72" xr:uid="{00000000-0005-0000-0000-000033000000}"/>
    <cellStyle name="Normal 4" xfId="64" xr:uid="{00000000-0005-0000-0000-000034000000}"/>
    <cellStyle name="Not Applicable" xfId="54" xr:uid="{00000000-0005-0000-0000-000035000000}"/>
    <cellStyle name="Note" xfId="30" builtinId="10" hidden="1"/>
    <cellStyle name="Number" xfId="13" xr:uid="{00000000-0005-0000-0000-000037000000}"/>
    <cellStyle name="Number Assumptions" xfId="14" xr:uid="{00000000-0005-0000-0000-000038000000}"/>
    <cellStyle name="Number Input" xfId="47" xr:uid="{00000000-0005-0000-0000-000039000000}"/>
    <cellStyle name="Output" xfId="25" builtinId="21" hidden="1"/>
    <cellStyle name="Percent" xfId="62" builtinId="5"/>
    <cellStyle name="Percent 2" xfId="60" xr:uid="{00000000-0005-0000-0000-00003C000000}"/>
    <cellStyle name="Percent 2 2" xfId="70" xr:uid="{00000000-0005-0000-0000-00003D000000}"/>
    <cellStyle name="Percent 2 2 2" xfId="78" xr:uid="{00000000-0005-0000-0000-00003E000000}"/>
    <cellStyle name="Percent 2 3" xfId="74" xr:uid="{00000000-0005-0000-0000-00003F000000}"/>
    <cellStyle name="Percentage" xfId="15" xr:uid="{00000000-0005-0000-0000-000040000000}"/>
    <cellStyle name="Percentage Assumptions" xfId="16" xr:uid="{00000000-0005-0000-0000-000041000000}"/>
    <cellStyle name="Percentage Input" xfId="51" xr:uid="{00000000-0005-0000-0000-000042000000}"/>
    <cellStyle name="Sheet Title Input" xfId="20" xr:uid="{00000000-0005-0000-0000-000043000000}"/>
    <cellStyle name="Sheet Title Input 2" xfId="63" xr:uid="{00000000-0005-0000-0000-000044000000}"/>
    <cellStyle name="Sheet Title Output" xfId="33" xr:uid="{00000000-0005-0000-0000-000045000000}"/>
    <cellStyle name="Table Header 1" xfId="42" xr:uid="{00000000-0005-0000-0000-000046000000}"/>
    <cellStyle name="Table Header 2" xfId="43" xr:uid="{00000000-0005-0000-0000-000047000000}"/>
    <cellStyle name="Title" xfId="2" builtinId="15" hidden="1"/>
    <cellStyle name="Total" xfId="7" builtinId="25" hidden="1"/>
    <cellStyle name="Trigger Assumption GreenRedGrey" xfId="45" xr:uid="{00000000-0005-0000-0000-00004A000000}"/>
    <cellStyle name="Trigger GreenRedGrey" xfId="46" xr:uid="{00000000-0005-0000-0000-00004B000000}"/>
    <cellStyle name="Warning Text" xfId="29" builtinId="11" hidden="1"/>
    <cellStyle name="Year" xfId="9" xr:uid="{00000000-0005-0000-0000-00004D000000}"/>
    <cellStyle name="Year Assumptions" xfId="10" xr:uid="{00000000-0005-0000-0000-00004E000000}"/>
    <cellStyle name="Year Input" xfId="52" xr:uid="{00000000-0005-0000-0000-00004F000000}"/>
  </cellStyles>
  <dxfs count="5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00B050"/>
      </font>
    </dxf>
    <dxf>
      <font>
        <b val="0"/>
        <i val="0"/>
        <color rgb="FF00B050"/>
      </font>
    </dxf>
  </dxfs>
  <tableStyles count="0" defaultTableStyle="TableStyleMedium2" defaultPivotStyle="PivotStyleLight16"/>
  <colors>
    <mruColors>
      <color rgb="FF2A3D6F"/>
      <color rgb="FF75842F"/>
      <color rgb="FFFFD339"/>
      <color rgb="FF007143"/>
      <color rgb="FF4BB0E4"/>
      <color rgb="FF0061AC"/>
      <color rgb="FFEF7D17"/>
      <color rgb="FF8C1B10"/>
      <color rgb="FFC72D2C"/>
      <color rgb="FF5343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97459936392216E-2"/>
          <c:y val="5.1207211853156714E-2"/>
          <c:w val="0.87806884598483625"/>
          <c:h val="0.64600328243362959"/>
        </c:manualLayout>
      </c:layout>
      <c:barChart>
        <c:barDir val="col"/>
        <c:grouping val="stacked"/>
        <c:varyColors val="0"/>
        <c:ser>
          <c:idx val="1"/>
          <c:order val="0"/>
          <c:tx>
            <c:strRef>
              <c:f>Charts_Revenue!$O$14</c:f>
              <c:strCache>
                <c:ptCount val="1"/>
                <c:pt idx="0">
                  <c:v>Operating Expenditure</c:v>
                </c:pt>
              </c:strCache>
            </c:strRef>
          </c:tx>
          <c:spPr>
            <a:solidFill>
              <a:srgbClr val="2A3D6F"/>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770-49AE-B7BB-B3B5821297AF}"/>
                </c:ext>
              </c:extLst>
            </c:dLbl>
            <c:dLbl>
              <c:idx val="1"/>
              <c:delete val="1"/>
              <c:extLst>
                <c:ext xmlns:c15="http://schemas.microsoft.com/office/drawing/2012/chart" uri="{CE6537A1-D6FC-4f65-9D91-7224C49458BB}"/>
                <c:ext xmlns:c16="http://schemas.microsoft.com/office/drawing/2014/chart" uri="{C3380CC4-5D6E-409C-BE32-E72D297353CC}">
                  <c16:uniqueId val="{00000001-B770-49AE-B7BB-B3B5821297AF}"/>
                </c:ext>
              </c:extLst>
            </c:dLbl>
            <c:dLbl>
              <c:idx val="2"/>
              <c:delete val="1"/>
              <c:extLst>
                <c:ext xmlns:c15="http://schemas.microsoft.com/office/drawing/2012/chart" uri="{CE6537A1-D6FC-4f65-9D91-7224C49458BB}"/>
                <c:ext xmlns:c16="http://schemas.microsoft.com/office/drawing/2014/chart" uri="{C3380CC4-5D6E-409C-BE32-E72D297353CC}">
                  <c16:uniqueId val="{00000002-B770-49AE-B7BB-B3B5821297AF}"/>
                </c:ext>
              </c:extLst>
            </c:dLbl>
            <c:dLbl>
              <c:idx val="3"/>
              <c:delete val="1"/>
              <c:extLst>
                <c:ext xmlns:c15="http://schemas.microsoft.com/office/drawing/2012/chart" uri="{CE6537A1-D6FC-4f65-9D91-7224C49458BB}"/>
                <c:ext xmlns:c16="http://schemas.microsoft.com/office/drawing/2014/chart" uri="{C3380CC4-5D6E-409C-BE32-E72D297353CC}">
                  <c16:uniqueId val="{00000003-B770-49AE-B7BB-B3B5821297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Charts_Revenue!$P$14:$Y$14</c:f>
              <c:numCache>
                <c:formatCode>_(#,##0_);\(#,##0\);_("-"_)</c:formatCode>
                <c:ptCount val="10"/>
                <c:pt idx="0">
                  <c:v>103.2108422725609</c:v>
                </c:pt>
                <c:pt idx="1">
                  <c:v>108.43259131820697</c:v>
                </c:pt>
                <c:pt idx="2">
                  <c:v>114.762519910039</c:v>
                </c:pt>
                <c:pt idx="3">
                  <c:v>109.41155678634661</c:v>
                </c:pt>
                <c:pt idx="4">
                  <c:v>103.71100069523501</c:v>
                </c:pt>
                <c:pt idx="5">
                  <c:v>67.647425813700139</c:v>
                </c:pt>
                <c:pt idx="6">
                  <c:v>69.296915708330516</c:v>
                </c:pt>
                <c:pt idx="7">
                  <c:v>73.183662994157686</c:v>
                </c:pt>
                <c:pt idx="8">
                  <c:v>75.707196212936566</c:v>
                </c:pt>
                <c:pt idx="9">
                  <c:v>79.275153273135629</c:v>
                </c:pt>
              </c:numCache>
            </c:numRef>
          </c:val>
          <c:extLst>
            <c:ext xmlns:c16="http://schemas.microsoft.com/office/drawing/2014/chart" uri="{C3380CC4-5D6E-409C-BE32-E72D297353CC}">
              <c16:uniqueId val="{00000004-B770-49AE-B7BB-B3B5821297AF}"/>
            </c:ext>
          </c:extLst>
        </c:ser>
        <c:ser>
          <c:idx val="0"/>
          <c:order val="1"/>
          <c:tx>
            <c:strRef>
              <c:f>Charts_Revenue!$O$13</c:f>
              <c:strCache>
                <c:ptCount val="1"/>
                <c:pt idx="0">
                  <c:v>Depreciation</c:v>
                </c:pt>
              </c:strCache>
            </c:strRef>
          </c:tx>
          <c:spPr>
            <a:solidFill>
              <a:srgbClr val="4BB0E4"/>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B770-49AE-B7BB-B3B5821297AF}"/>
                </c:ext>
              </c:extLst>
            </c:dLbl>
            <c:dLbl>
              <c:idx val="1"/>
              <c:delete val="1"/>
              <c:extLst>
                <c:ext xmlns:c15="http://schemas.microsoft.com/office/drawing/2012/chart" uri="{CE6537A1-D6FC-4f65-9D91-7224C49458BB}"/>
                <c:ext xmlns:c16="http://schemas.microsoft.com/office/drawing/2014/chart" uri="{C3380CC4-5D6E-409C-BE32-E72D297353CC}">
                  <c16:uniqueId val="{00000006-B770-49AE-B7BB-B3B5821297AF}"/>
                </c:ext>
              </c:extLst>
            </c:dLbl>
            <c:dLbl>
              <c:idx val="2"/>
              <c:delete val="1"/>
              <c:extLst>
                <c:ext xmlns:c15="http://schemas.microsoft.com/office/drawing/2012/chart" uri="{CE6537A1-D6FC-4f65-9D91-7224C49458BB}"/>
                <c:ext xmlns:c16="http://schemas.microsoft.com/office/drawing/2014/chart" uri="{C3380CC4-5D6E-409C-BE32-E72D297353CC}">
                  <c16:uniqueId val="{00000007-B770-49AE-B7BB-B3B5821297AF}"/>
                </c:ext>
              </c:extLst>
            </c:dLbl>
            <c:dLbl>
              <c:idx val="3"/>
              <c:delete val="1"/>
              <c:extLst>
                <c:ext xmlns:c15="http://schemas.microsoft.com/office/drawing/2012/chart" uri="{CE6537A1-D6FC-4f65-9D91-7224C49458BB}"/>
                <c:ext xmlns:c16="http://schemas.microsoft.com/office/drawing/2014/chart" uri="{C3380CC4-5D6E-409C-BE32-E72D297353CC}">
                  <c16:uniqueId val="{00000008-B770-49AE-B7BB-B3B5821297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Charts_Revenue!$P$13:$Y$13</c:f>
              <c:numCache>
                <c:formatCode>_(#,##0_);\(#,##0\);_("-"_)</c:formatCode>
                <c:ptCount val="10"/>
                <c:pt idx="0">
                  <c:v>28.490464006480725</c:v>
                </c:pt>
                <c:pt idx="1">
                  <c:v>34.143121076443251</c:v>
                </c:pt>
                <c:pt idx="2">
                  <c:v>31.90165004523816</c:v>
                </c:pt>
                <c:pt idx="3">
                  <c:v>34.505409841174924</c:v>
                </c:pt>
                <c:pt idx="4">
                  <c:v>37.850963199394336</c:v>
                </c:pt>
                <c:pt idx="5">
                  <c:v>24.608747246603439</c:v>
                </c:pt>
                <c:pt idx="6">
                  <c:v>29.033720024002978</c:v>
                </c:pt>
                <c:pt idx="7">
                  <c:v>31.561292751106805</c:v>
                </c:pt>
                <c:pt idx="8">
                  <c:v>35.807226085283396</c:v>
                </c:pt>
                <c:pt idx="9">
                  <c:v>40.140571274283083</c:v>
                </c:pt>
              </c:numCache>
            </c:numRef>
          </c:val>
          <c:extLst>
            <c:ext xmlns:c16="http://schemas.microsoft.com/office/drawing/2014/chart" uri="{C3380CC4-5D6E-409C-BE32-E72D297353CC}">
              <c16:uniqueId val="{00000009-B770-49AE-B7BB-B3B5821297AF}"/>
            </c:ext>
          </c:extLst>
        </c:ser>
        <c:ser>
          <c:idx val="2"/>
          <c:order val="2"/>
          <c:tx>
            <c:strRef>
              <c:f>Charts_Revenue!$O$15</c:f>
              <c:strCache>
                <c:ptCount val="1"/>
                <c:pt idx="0">
                  <c:v>Revenue Adjustments</c:v>
                </c:pt>
              </c:strCache>
            </c:strRef>
          </c:tx>
          <c:spPr>
            <a:solidFill>
              <a:srgbClr val="EF7D17"/>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B770-49AE-B7BB-B3B5821297AF}"/>
                </c:ext>
              </c:extLst>
            </c:dLbl>
            <c:dLbl>
              <c:idx val="1"/>
              <c:delete val="1"/>
              <c:extLst>
                <c:ext xmlns:c15="http://schemas.microsoft.com/office/drawing/2012/chart" uri="{CE6537A1-D6FC-4f65-9D91-7224C49458BB}"/>
                <c:ext xmlns:c16="http://schemas.microsoft.com/office/drawing/2014/chart" uri="{C3380CC4-5D6E-409C-BE32-E72D297353CC}">
                  <c16:uniqueId val="{0000000B-B770-49AE-B7BB-B3B5821297AF}"/>
                </c:ext>
              </c:extLst>
            </c:dLbl>
            <c:dLbl>
              <c:idx val="2"/>
              <c:delete val="1"/>
              <c:extLst>
                <c:ext xmlns:c15="http://schemas.microsoft.com/office/drawing/2012/chart" uri="{CE6537A1-D6FC-4f65-9D91-7224C49458BB}"/>
                <c:ext xmlns:c16="http://schemas.microsoft.com/office/drawing/2014/chart" uri="{C3380CC4-5D6E-409C-BE32-E72D297353CC}">
                  <c16:uniqueId val="{0000000C-B770-49AE-B7BB-B3B5821297AF}"/>
                </c:ext>
              </c:extLst>
            </c:dLbl>
            <c:dLbl>
              <c:idx val="3"/>
              <c:delete val="1"/>
              <c:extLst>
                <c:ext xmlns:c15="http://schemas.microsoft.com/office/drawing/2012/chart" uri="{CE6537A1-D6FC-4f65-9D91-7224C49458BB}"/>
                <c:ext xmlns:c16="http://schemas.microsoft.com/office/drawing/2014/chart" uri="{C3380CC4-5D6E-409C-BE32-E72D297353CC}">
                  <c16:uniqueId val="{0000000D-B770-49AE-B7BB-B3B5821297AF}"/>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0-2787-4916-9FC8-53B4672426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Charts_Revenue!$P$15:$Y$15</c:f>
              <c:numCache>
                <c:formatCode>_(#,##0_);\(#,##0\);_("-"_)</c:formatCode>
                <c:ptCount val="10"/>
                <c:pt idx="0">
                  <c:v>7.3685716277492181</c:v>
                </c:pt>
                <c:pt idx="1">
                  <c:v>8.685697290987056</c:v>
                </c:pt>
                <c:pt idx="2">
                  <c:v>10.053368420189708</c:v>
                </c:pt>
                <c:pt idx="3">
                  <c:v>10.958521346319987</c:v>
                </c:pt>
                <c:pt idx="4">
                  <c:v>11.979803846394363</c:v>
                </c:pt>
                <c:pt idx="5">
                  <c:v>6.8176419702615176E-2</c:v>
                </c:pt>
                <c:pt idx="6">
                  <c:v>7.4864690253208147E-2</c:v>
                </c:pt>
                <c:pt idx="7">
                  <c:v>8.0298936060156631E-2</c:v>
                </c:pt>
                <c:pt idx="8">
                  <c:v>8.7170176293116255E-2</c:v>
                </c:pt>
                <c:pt idx="9">
                  <c:v>9.3654690522419634E-2</c:v>
                </c:pt>
              </c:numCache>
            </c:numRef>
          </c:val>
          <c:extLst>
            <c:ext xmlns:c16="http://schemas.microsoft.com/office/drawing/2014/chart" uri="{C3380CC4-5D6E-409C-BE32-E72D297353CC}">
              <c16:uniqueId val="{0000000F-B770-49AE-B7BB-B3B5821297AF}"/>
            </c:ext>
          </c:extLst>
        </c:ser>
        <c:ser>
          <c:idx val="3"/>
          <c:order val="3"/>
          <c:tx>
            <c:strRef>
              <c:f>Charts_Revenue!$O$16</c:f>
              <c:strCache>
                <c:ptCount val="1"/>
                <c:pt idx="0">
                  <c:v>Net Tax Allowance</c:v>
                </c:pt>
              </c:strCache>
            </c:strRef>
          </c:tx>
          <c:spPr>
            <a:solidFill>
              <a:srgbClr val="FFD339"/>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B770-49AE-B7BB-B3B5821297AF}"/>
                </c:ext>
              </c:extLst>
            </c:dLbl>
            <c:dLbl>
              <c:idx val="1"/>
              <c:delete val="1"/>
              <c:extLst>
                <c:ext xmlns:c15="http://schemas.microsoft.com/office/drawing/2012/chart" uri="{CE6537A1-D6FC-4f65-9D91-7224C49458BB}"/>
                <c:ext xmlns:c16="http://schemas.microsoft.com/office/drawing/2014/chart" uri="{C3380CC4-5D6E-409C-BE32-E72D297353CC}">
                  <c16:uniqueId val="{00000011-B770-49AE-B7BB-B3B5821297AF}"/>
                </c:ext>
              </c:extLst>
            </c:dLbl>
            <c:dLbl>
              <c:idx val="2"/>
              <c:delete val="1"/>
              <c:extLst>
                <c:ext xmlns:c15="http://schemas.microsoft.com/office/drawing/2012/chart" uri="{CE6537A1-D6FC-4f65-9D91-7224C49458BB}"/>
                <c:ext xmlns:c16="http://schemas.microsoft.com/office/drawing/2014/chart" uri="{C3380CC4-5D6E-409C-BE32-E72D297353CC}">
                  <c16:uniqueId val="{00000012-B770-49AE-B7BB-B3B5821297AF}"/>
                </c:ext>
              </c:extLst>
            </c:dLbl>
            <c:dLbl>
              <c:idx val="3"/>
              <c:delete val="1"/>
              <c:extLst>
                <c:ext xmlns:c15="http://schemas.microsoft.com/office/drawing/2012/chart" uri="{CE6537A1-D6FC-4f65-9D91-7224C49458BB}"/>
                <c:ext xmlns:c16="http://schemas.microsoft.com/office/drawing/2014/chart" uri="{C3380CC4-5D6E-409C-BE32-E72D297353CC}">
                  <c16:uniqueId val="{00000013-B770-49AE-B7BB-B3B5821297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Charts_Revenue!$P$16:$Y$16</c:f>
              <c:numCache>
                <c:formatCode>_(#,##0_);\(#,##0\);_("-"_)</c:formatCode>
                <c:ptCount val="10"/>
                <c:pt idx="0">
                  <c:v>0</c:v>
                </c:pt>
                <c:pt idx="1">
                  <c:v>0</c:v>
                </c:pt>
                <c:pt idx="2">
                  <c:v>0</c:v>
                </c:pt>
                <c:pt idx="3">
                  <c:v>0</c:v>
                </c:pt>
                <c:pt idx="4">
                  <c:v>0</c:v>
                </c:pt>
                <c:pt idx="5">
                  <c:v>8.2051513294607066</c:v>
                </c:pt>
                <c:pt idx="6">
                  <c:v>7.7985115617649585</c:v>
                </c:pt>
                <c:pt idx="7">
                  <c:v>7.377842954263123</c:v>
                </c:pt>
                <c:pt idx="8">
                  <c:v>6.8581163200322157</c:v>
                </c:pt>
                <c:pt idx="9">
                  <c:v>7.1855425294599264</c:v>
                </c:pt>
              </c:numCache>
            </c:numRef>
          </c:val>
          <c:extLst>
            <c:ext xmlns:c16="http://schemas.microsoft.com/office/drawing/2014/chart" uri="{C3380CC4-5D6E-409C-BE32-E72D297353CC}">
              <c16:uniqueId val="{00000014-B770-49AE-B7BB-B3B5821297AF}"/>
            </c:ext>
          </c:extLst>
        </c:ser>
        <c:ser>
          <c:idx val="4"/>
          <c:order val="4"/>
          <c:tx>
            <c:strRef>
              <c:f>Charts_Revenue!$O$17</c:f>
              <c:strCache>
                <c:ptCount val="1"/>
                <c:pt idx="0">
                  <c:v>Return on Asset</c:v>
                </c:pt>
              </c:strCache>
            </c:strRef>
          </c:tx>
          <c:spPr>
            <a:solidFill>
              <a:srgbClr val="75842F"/>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5-B770-49AE-B7BB-B3B5821297AF}"/>
                </c:ext>
              </c:extLst>
            </c:dLbl>
            <c:dLbl>
              <c:idx val="1"/>
              <c:delete val="1"/>
              <c:extLst>
                <c:ext xmlns:c15="http://schemas.microsoft.com/office/drawing/2012/chart" uri="{CE6537A1-D6FC-4f65-9D91-7224C49458BB}"/>
                <c:ext xmlns:c16="http://schemas.microsoft.com/office/drawing/2014/chart" uri="{C3380CC4-5D6E-409C-BE32-E72D297353CC}">
                  <c16:uniqueId val="{00000016-B770-49AE-B7BB-B3B5821297AF}"/>
                </c:ext>
              </c:extLst>
            </c:dLbl>
            <c:dLbl>
              <c:idx val="2"/>
              <c:delete val="1"/>
              <c:extLst>
                <c:ext xmlns:c15="http://schemas.microsoft.com/office/drawing/2012/chart" uri="{CE6537A1-D6FC-4f65-9D91-7224C49458BB}"/>
                <c:ext xmlns:c16="http://schemas.microsoft.com/office/drawing/2014/chart" uri="{C3380CC4-5D6E-409C-BE32-E72D297353CC}">
                  <c16:uniqueId val="{00000017-B770-49AE-B7BB-B3B5821297AF}"/>
                </c:ext>
              </c:extLst>
            </c:dLbl>
            <c:dLbl>
              <c:idx val="3"/>
              <c:delete val="1"/>
              <c:extLst>
                <c:ext xmlns:c15="http://schemas.microsoft.com/office/drawing/2012/chart" uri="{CE6537A1-D6FC-4f65-9D91-7224C49458BB}"/>
                <c:ext xmlns:c16="http://schemas.microsoft.com/office/drawing/2014/chart" uri="{C3380CC4-5D6E-409C-BE32-E72D297353CC}">
                  <c16:uniqueId val="{00000018-B770-49AE-B7BB-B3B5821297AF}"/>
                </c:ext>
              </c:extLst>
            </c:dLbl>
            <c:dLbl>
              <c:idx val="4"/>
              <c:layout>
                <c:manualLayout>
                  <c:x val="1.5723339249533168E-2"/>
                  <c:y val="3.54906653281103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770-49AE-B7BB-B3B5821297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Charts_Revenue!$P$17:$Y$17</c:f>
              <c:numCache>
                <c:formatCode>_(#,##0_);\(#,##0\);_("-"_)</c:formatCode>
                <c:ptCount val="10"/>
                <c:pt idx="0">
                  <c:v>40.126182048622823</c:v>
                </c:pt>
                <c:pt idx="1">
                  <c:v>45.599081075941257</c:v>
                </c:pt>
                <c:pt idx="2">
                  <c:v>49.475517671645832</c:v>
                </c:pt>
                <c:pt idx="3">
                  <c:v>50.184331037236213</c:v>
                </c:pt>
                <c:pt idx="4">
                  <c:v>51.436027342449563</c:v>
                </c:pt>
                <c:pt idx="5">
                  <c:v>64.469113068697538</c:v>
                </c:pt>
                <c:pt idx="6">
                  <c:v>68.501151446101417</c:v>
                </c:pt>
                <c:pt idx="7">
                  <c:v>72.779632896917192</c:v>
                </c:pt>
                <c:pt idx="8">
                  <c:v>77.405198248589372</c:v>
                </c:pt>
                <c:pt idx="9">
                  <c:v>80.692339197884934</c:v>
                </c:pt>
              </c:numCache>
            </c:numRef>
          </c:val>
          <c:extLst>
            <c:ext xmlns:c16="http://schemas.microsoft.com/office/drawing/2014/chart" uri="{C3380CC4-5D6E-409C-BE32-E72D297353CC}">
              <c16:uniqueId val="{0000001A-B770-49AE-B7BB-B3B5821297AF}"/>
            </c:ext>
          </c:extLst>
        </c:ser>
        <c:dLbls>
          <c:dLblPos val="ctr"/>
          <c:showLegendKey val="0"/>
          <c:showVal val="1"/>
          <c:showCatName val="0"/>
          <c:showSerName val="0"/>
          <c:showPercent val="0"/>
          <c:showBubbleSize val="0"/>
        </c:dLbls>
        <c:gapWidth val="10"/>
        <c:overlap val="100"/>
        <c:axId val="161528448"/>
        <c:axId val="161558912"/>
      </c:barChart>
      <c:lineChart>
        <c:grouping val="standard"/>
        <c:varyColors val="0"/>
        <c:ser>
          <c:idx val="7"/>
          <c:order val="5"/>
          <c:tx>
            <c:v>MD Revenue</c:v>
          </c:tx>
          <c:spPr>
            <a:ln w="31750" cap="rnd" cmpd="sng">
              <a:solidFill>
                <a:srgbClr val="2A3D6F"/>
              </a:solidFill>
              <a:prstDash val="dash"/>
              <a:round/>
            </a:ln>
            <a:effectLst/>
          </c:spPr>
          <c:marker>
            <c:symbol val="none"/>
          </c:marker>
          <c:dPt>
            <c:idx val="5"/>
            <c:bubble3D val="0"/>
            <c:extLst>
              <c:ext xmlns:c16="http://schemas.microsoft.com/office/drawing/2014/chart" uri="{C3380CC4-5D6E-409C-BE32-E72D297353CC}">
                <c16:uniqueId val="{0000001B-B770-49AE-B7BB-B3B5821297AF}"/>
              </c:ext>
            </c:extLst>
          </c:dPt>
          <c:dPt>
            <c:idx val="6"/>
            <c:bubble3D val="0"/>
            <c:extLst>
              <c:ext xmlns:c16="http://schemas.microsoft.com/office/drawing/2014/chart" uri="{C3380CC4-5D6E-409C-BE32-E72D297353CC}">
                <c16:uniqueId val="{0000001C-B770-49AE-B7BB-B3B5821297AF}"/>
              </c:ext>
            </c:extLst>
          </c:dPt>
          <c:dPt>
            <c:idx val="7"/>
            <c:bubble3D val="0"/>
            <c:extLst>
              <c:ext xmlns:c16="http://schemas.microsoft.com/office/drawing/2014/chart" uri="{C3380CC4-5D6E-409C-BE32-E72D297353CC}">
                <c16:uniqueId val="{0000001D-B770-49AE-B7BB-B3B5821297AF}"/>
              </c:ext>
            </c:extLst>
          </c:dPt>
          <c:dPt>
            <c:idx val="8"/>
            <c:bubble3D val="0"/>
            <c:extLst>
              <c:ext xmlns:c16="http://schemas.microsoft.com/office/drawing/2014/chart" uri="{C3380CC4-5D6E-409C-BE32-E72D297353CC}">
                <c16:uniqueId val="{0000001E-B770-49AE-B7BB-B3B5821297AF}"/>
              </c:ext>
            </c:extLst>
          </c:dPt>
          <c:dPt>
            <c:idx val="9"/>
            <c:bubble3D val="0"/>
            <c:extLst>
              <c:ext xmlns:c16="http://schemas.microsoft.com/office/drawing/2014/chart" uri="{C3380CC4-5D6E-409C-BE32-E72D297353CC}">
                <c16:uniqueId val="{0000001F-B770-49AE-B7BB-B3B5821297AF}"/>
              </c:ext>
            </c:extLst>
          </c:dPt>
          <c:dLbls>
            <c:dLbl>
              <c:idx val="0"/>
              <c:layout>
                <c:manualLayout>
                  <c:x val="-3.4456430173191235E-2"/>
                  <c:y val="-3.7501306503150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770-49AE-B7BB-B3B5821297AF}"/>
                </c:ext>
              </c:extLst>
            </c:dLbl>
            <c:dLbl>
              <c:idx val="1"/>
              <c:layout>
                <c:manualLayout>
                  <c:x val="-3.4456430173191235E-2"/>
                  <c:y val="-4.5402539842124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770-49AE-B7BB-B3B5821297AF}"/>
                </c:ext>
              </c:extLst>
            </c:dLbl>
            <c:dLbl>
              <c:idx val="2"/>
              <c:layout>
                <c:manualLayout>
                  <c:x val="-3.4456430173191277E-2"/>
                  <c:y val="-3.7501306503150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770-49AE-B7BB-B3B5821297AF}"/>
                </c:ext>
              </c:extLst>
            </c:dLbl>
            <c:dLbl>
              <c:idx val="3"/>
              <c:layout>
                <c:manualLayout>
                  <c:x val="-3.4456430173191235E-2"/>
                  <c:y val="-4.1451923172637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770-49AE-B7BB-B3B5821297AF}"/>
                </c:ext>
              </c:extLst>
            </c:dLbl>
            <c:dLbl>
              <c:idx val="4"/>
              <c:layout>
                <c:manualLayout>
                  <c:x val="-3.4456430173191235E-2"/>
                  <c:y val="-4.1451923172637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770-49AE-B7BB-B3B5821297AF}"/>
                </c:ext>
              </c:extLst>
            </c:dLbl>
            <c:dLbl>
              <c:idx val="5"/>
              <c:delete val="1"/>
              <c:extLst>
                <c:ext xmlns:c15="http://schemas.microsoft.com/office/drawing/2012/chart" uri="{CE6537A1-D6FC-4f65-9D91-7224C49458BB}"/>
                <c:ext xmlns:c16="http://schemas.microsoft.com/office/drawing/2014/chart" uri="{C3380CC4-5D6E-409C-BE32-E72D297353CC}">
                  <c16:uniqueId val="{0000001B-B770-49AE-B7BB-B3B5821297AF}"/>
                </c:ext>
              </c:extLst>
            </c:dLbl>
            <c:dLbl>
              <c:idx val="6"/>
              <c:delete val="1"/>
              <c:extLst>
                <c:ext xmlns:c15="http://schemas.microsoft.com/office/drawing/2012/chart" uri="{CE6537A1-D6FC-4f65-9D91-7224C49458BB}"/>
                <c:ext xmlns:c16="http://schemas.microsoft.com/office/drawing/2014/chart" uri="{C3380CC4-5D6E-409C-BE32-E72D297353CC}">
                  <c16:uniqueId val="{0000001C-B770-49AE-B7BB-B3B5821297AF}"/>
                </c:ext>
              </c:extLst>
            </c:dLbl>
            <c:dLbl>
              <c:idx val="7"/>
              <c:delete val="1"/>
              <c:extLst>
                <c:ext xmlns:c15="http://schemas.microsoft.com/office/drawing/2012/chart" uri="{CE6537A1-D6FC-4f65-9D91-7224C49458BB}"/>
                <c:ext xmlns:c16="http://schemas.microsoft.com/office/drawing/2014/chart" uri="{C3380CC4-5D6E-409C-BE32-E72D297353CC}">
                  <c16:uniqueId val="{0000001D-B770-49AE-B7BB-B3B5821297AF}"/>
                </c:ext>
              </c:extLst>
            </c:dLbl>
            <c:dLbl>
              <c:idx val="8"/>
              <c:delete val="1"/>
              <c:extLst>
                <c:ext xmlns:c15="http://schemas.microsoft.com/office/drawing/2012/chart" uri="{CE6537A1-D6FC-4f65-9D91-7224C49458BB}"/>
                <c:ext xmlns:c16="http://schemas.microsoft.com/office/drawing/2014/chart" uri="{C3380CC4-5D6E-409C-BE32-E72D297353CC}">
                  <c16:uniqueId val="{0000001E-B770-49AE-B7BB-B3B5821297AF}"/>
                </c:ext>
              </c:extLst>
            </c:dLbl>
            <c:dLbl>
              <c:idx val="9"/>
              <c:delete val="1"/>
              <c:extLst>
                <c:ext xmlns:c15="http://schemas.microsoft.com/office/drawing/2012/chart" uri="{CE6537A1-D6FC-4f65-9D91-7224C49458BB}"/>
                <c:ext xmlns:c16="http://schemas.microsoft.com/office/drawing/2014/chart" uri="{C3380CC4-5D6E-409C-BE32-E72D297353CC}">
                  <c16:uniqueId val="{0000001F-B770-49AE-B7BB-B3B5821297A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'17'!#REF!</c:f>
            </c:multiLvlStrRef>
          </c:cat>
          <c:val>
            <c:numRef>
              <c:f>Charts_Revenue!$J$71:$N$71</c:f>
              <c:numCache>
                <c:formatCode>_(#,##0.0_);\(#,##0.0\);_("-"_)</c:formatCode>
                <c:ptCount val="5"/>
                <c:pt idx="0">
                  <c:v>148.71926047034009</c:v>
                </c:pt>
                <c:pt idx="1">
                  <c:v>163.37941029046439</c:v>
                </c:pt>
                <c:pt idx="2">
                  <c:v>166.14052232437322</c:v>
                </c:pt>
                <c:pt idx="3">
                  <c:v>168.59940205477395</c:v>
                </c:pt>
                <c:pt idx="4">
                  <c:v>171.9713900958694</c:v>
                </c:pt>
              </c:numCache>
            </c:numRef>
          </c:val>
          <c:smooth val="1"/>
          <c:extLst>
            <c:ext xmlns:c16="http://schemas.microsoft.com/office/drawing/2014/chart" uri="{C3380CC4-5D6E-409C-BE32-E72D297353CC}">
              <c16:uniqueId val="{00000025-B770-49AE-B7BB-B3B5821297AF}"/>
            </c:ext>
          </c:extLst>
        </c:ser>
        <c:ser>
          <c:idx val="6"/>
          <c:order val="6"/>
          <c:tx>
            <c:v>UC Revenue</c:v>
          </c:tx>
          <c:spPr>
            <a:ln w="31750" cap="rnd">
              <a:noFill/>
              <a:prstDash val="dash"/>
              <a:round/>
            </a:ln>
            <a:effectLst/>
          </c:spPr>
          <c:marker>
            <c:symbol val="none"/>
          </c:marker>
          <c:cat>
            <c:multiLvlStrRef>
              <c:f>'17'!#REF!</c:f>
            </c:multiLvlStrRef>
          </c:cat>
          <c:val>
            <c:numRef>
              <c:f>Charts_Revenue!$J$70:$N$70</c:f>
              <c:numCache>
                <c:formatCode>_(#,##0.0_);\(#,##0.0\);_("-"_)</c:formatCode>
                <c:ptCount val="5"/>
                <c:pt idx="0">
                  <c:v>179.19605995541366</c:v>
                </c:pt>
                <c:pt idx="1">
                  <c:v>196.86049076157855</c:v>
                </c:pt>
                <c:pt idx="2">
                  <c:v>206.19305604711266</c:v>
                </c:pt>
                <c:pt idx="3">
                  <c:v>205.05981901107774</c:v>
                </c:pt>
                <c:pt idx="4">
                  <c:v>204.9777950834733</c:v>
                </c:pt>
              </c:numCache>
            </c:numRef>
          </c:val>
          <c:smooth val="1"/>
          <c:extLst>
            <c:ext xmlns:c16="http://schemas.microsoft.com/office/drawing/2014/chart" uri="{C3380CC4-5D6E-409C-BE32-E72D297353CC}">
              <c16:uniqueId val="{00000026-B770-49AE-B7BB-B3B5821297AF}"/>
            </c:ext>
          </c:extLst>
        </c:ser>
        <c:ser>
          <c:idx val="8"/>
          <c:order val="7"/>
          <c:tx>
            <c:v>Forecast Revenue</c:v>
          </c:tx>
          <c:spPr>
            <a:ln w="28575" cap="rnd">
              <a:noFill/>
              <a:prstDash val="dash"/>
              <a:round/>
            </a:ln>
            <a:effectLst/>
          </c:spPr>
          <c:marker>
            <c:symbol val="none"/>
          </c:marker>
          <c:dPt>
            <c:idx val="5"/>
            <c:bubble3D val="0"/>
            <c:extLst>
              <c:ext xmlns:c16="http://schemas.microsoft.com/office/drawing/2014/chart" uri="{C3380CC4-5D6E-409C-BE32-E72D297353CC}">
                <c16:uniqueId val="{00000027-B770-49AE-B7BB-B3B5821297AF}"/>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'17'!#REF!</c:f>
            </c:multiLvlStrRef>
          </c:cat>
          <c:val>
            <c:numRef>
              <c:f>Charts_Revenue!$J$70:$S$70</c:f>
              <c:numCache>
                <c:formatCode>_(#,##0.0_);\(#,##0.0\);_("-"_)</c:formatCode>
                <c:ptCount val="10"/>
                <c:pt idx="0">
                  <c:v>179.19605995541366</c:v>
                </c:pt>
                <c:pt idx="1">
                  <c:v>196.86049076157855</c:v>
                </c:pt>
                <c:pt idx="2">
                  <c:v>206.19305604711266</c:v>
                </c:pt>
                <c:pt idx="3">
                  <c:v>205.05981901107774</c:v>
                </c:pt>
                <c:pt idx="4">
                  <c:v>204.9777950834733</c:v>
                </c:pt>
                <c:pt idx="5">
                  <c:v>164.99861387816443</c:v>
                </c:pt>
                <c:pt idx="6">
                  <c:v>174.7051634304531</c:v>
                </c:pt>
                <c:pt idx="7">
                  <c:v>184.98273053250497</c:v>
                </c:pt>
                <c:pt idx="8">
                  <c:v>195.86490704313468</c:v>
                </c:pt>
                <c:pt idx="9">
                  <c:v>207.387260965286</c:v>
                </c:pt>
              </c:numCache>
            </c:numRef>
          </c:val>
          <c:smooth val="0"/>
          <c:extLst>
            <c:ext xmlns:c16="http://schemas.microsoft.com/office/drawing/2014/chart" uri="{C3380CC4-5D6E-409C-BE32-E72D297353CC}">
              <c16:uniqueId val="{00000028-B770-49AE-B7BB-B3B5821297AF}"/>
            </c:ext>
          </c:extLst>
        </c:ser>
        <c:dLbls>
          <c:showLegendKey val="0"/>
          <c:showVal val="0"/>
          <c:showCatName val="0"/>
          <c:showSerName val="0"/>
          <c:showPercent val="0"/>
          <c:showBubbleSize val="0"/>
        </c:dLbls>
        <c:marker val="1"/>
        <c:smooth val="0"/>
        <c:axId val="161528448"/>
        <c:axId val="161558912"/>
      </c:lineChart>
      <c:catAx>
        <c:axId val="161528448"/>
        <c:scaling>
          <c:orientation val="minMax"/>
        </c:scaling>
        <c:delete val="0"/>
        <c:axPos val="b"/>
        <c:numFmt formatCode="General" sourceLinked="1"/>
        <c:majorTickMark val="none"/>
        <c:minorTickMark val="none"/>
        <c:tickLblPos val="nextTo"/>
        <c:spPr>
          <a:ln>
            <a:solidFill>
              <a:schemeClr val="tx1">
                <a:lumMod val="15000"/>
                <a:lumOff val="85000"/>
              </a:schemeClr>
            </a:solid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1558912"/>
        <c:crosses val="autoZero"/>
        <c:auto val="1"/>
        <c:lblAlgn val="ctr"/>
        <c:lblOffset val="100"/>
        <c:noMultiLvlLbl val="0"/>
      </c:catAx>
      <c:valAx>
        <c:axId val="161558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1528448"/>
        <c:crosses val="autoZero"/>
        <c:crossBetween val="between"/>
      </c:valAx>
      <c:spPr>
        <a:noFill/>
        <a:ln>
          <a:noFill/>
        </a:ln>
        <a:effectLst/>
      </c:spPr>
    </c:plotArea>
    <c:legend>
      <c:legendPos val="b"/>
      <c:legendEntry>
        <c:idx val="7"/>
        <c:delete val="1"/>
      </c:legendEntry>
      <c:layout>
        <c:manualLayout>
          <c:xMode val="edge"/>
          <c:yMode val="edge"/>
          <c:x val="9.6962189330494539E-2"/>
          <c:y val="0.85827582645656442"/>
          <c:w val="0.82891380834125838"/>
          <c:h val="0.141724173543435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Charts_Capex!$P$224</c:f>
          <c:strCache>
            <c:ptCount val="1"/>
            <c:pt idx="0">
              <c:v>Non Network IT Capex - Direct Escalated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Charts_Capex!$O$215</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3DB4-4544-B648-0EB672890294}"/>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3DB4-4544-B648-0EB672890294}"/>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Charts_Capex!$P$215:$AE$215</c:f>
              <c:numCache>
                <c:formatCode>_(#,##0.0_);\(#,##0.0\);_("-"_)</c:formatCode>
                <c:ptCount val="16"/>
                <c:pt idx="0">
                  <c:v>0</c:v>
                </c:pt>
                <c:pt idx="1">
                  <c:v>5.4709260000000003E-2</c:v>
                </c:pt>
                <c:pt idx="2">
                  <c:v>3.65478755</c:v>
                </c:pt>
                <c:pt idx="3">
                  <c:v>2.7270793900000001</c:v>
                </c:pt>
                <c:pt idx="4">
                  <c:v>2.4689446099999999</c:v>
                </c:pt>
                <c:pt idx="5">
                  <c:v>0.606936146939832</c:v>
                </c:pt>
                <c:pt idx="6">
                  <c:v>0.41995391153095207</c:v>
                </c:pt>
                <c:pt idx="7">
                  <c:v>0.89492849489630399</c:v>
                </c:pt>
                <c:pt idx="8">
                  <c:v>2.7367044091650485</c:v>
                </c:pt>
                <c:pt idx="9">
                  <c:v>4.4524210543727776</c:v>
                </c:pt>
                <c:pt idx="10">
                  <c:v>4.7595063195971949</c:v>
                </c:pt>
                <c:pt idx="11">
                  <c:v>#N/A</c:v>
                </c:pt>
                <c:pt idx="12">
                  <c:v>#N/A</c:v>
                </c:pt>
                <c:pt idx="13">
                  <c:v>#N/A</c:v>
                </c:pt>
                <c:pt idx="14">
                  <c:v>#N/A</c:v>
                </c:pt>
                <c:pt idx="15">
                  <c:v>#N/A</c:v>
                </c:pt>
              </c:numCache>
            </c:numRef>
          </c:val>
          <c:extLst>
            <c:ext xmlns:c16="http://schemas.microsoft.com/office/drawing/2014/chart" uri="{C3380CC4-5D6E-409C-BE32-E72D297353CC}">
              <c16:uniqueId val="{00000004-3DB4-4544-B648-0EB672890294}"/>
            </c:ext>
          </c:extLst>
        </c:ser>
        <c:ser>
          <c:idx val="3"/>
          <c:order val="1"/>
          <c:tx>
            <c:strRef>
              <c:f>Charts_Capex!$O$216</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Charts_Capex!$P$216:$AE$216</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10.891146204585748</c:v>
                </c:pt>
                <c:pt idx="12">
                  <c:v>9.7759487708203281</c:v>
                </c:pt>
                <c:pt idx="13">
                  <c:v>7.8140010753351978</c:v>
                </c:pt>
                <c:pt idx="14">
                  <c:v>5.3196166174428292</c:v>
                </c:pt>
                <c:pt idx="15">
                  <c:v>5.6265357396241056</c:v>
                </c:pt>
              </c:numCache>
            </c:numRef>
          </c:val>
          <c:extLst>
            <c:ext xmlns:c16="http://schemas.microsoft.com/office/drawing/2014/chart" uri="{C3380CC4-5D6E-409C-BE32-E72D297353CC}">
              <c16:uniqueId val="{00000005-3DB4-4544-B648-0EB672890294}"/>
            </c:ext>
          </c:extLst>
        </c:ser>
        <c:dLbls>
          <c:showLegendKey val="0"/>
          <c:showVal val="0"/>
          <c:showCatName val="0"/>
          <c:showSerName val="0"/>
          <c:showPercent val="0"/>
          <c:showBubbleSize val="0"/>
        </c:dLbls>
        <c:gapWidth val="20"/>
        <c:overlap val="100"/>
        <c:axId val="163659776"/>
        <c:axId val="163661312"/>
      </c:barChart>
      <c:lineChart>
        <c:grouping val="standard"/>
        <c:varyColors val="0"/>
        <c:ser>
          <c:idx val="4"/>
          <c:order val="2"/>
          <c:tx>
            <c:strRef>
              <c:f>Charts_Capex!$O$217</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B4-4544-B648-0EB6728902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Charts_Capex!$P$217:$AE$217</c:f>
              <c:numCache>
                <c:formatCode>_(#,##0.0_);\(#,##0.0\);_("-"_)</c:formatCode>
                <c:ptCount val="16"/>
                <c:pt idx="0">
                  <c:v>#N/A</c:v>
                </c:pt>
                <c:pt idx="1">
                  <c:v>1.9024913913879664</c:v>
                </c:pt>
                <c:pt idx="2">
                  <c:v>1.9024913913879664</c:v>
                </c:pt>
                <c:pt idx="3">
                  <c:v>1.9024913913879664</c:v>
                </c:pt>
                <c:pt idx="4">
                  <c:v>1.9024913913879664</c:v>
                </c:pt>
                <c:pt idx="5">
                  <c:v>1.9024913913879664</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7-3DB4-4544-B648-0EB672890294}"/>
            </c:ext>
          </c:extLst>
        </c:ser>
        <c:ser>
          <c:idx val="5"/>
          <c:order val="3"/>
          <c:tx>
            <c:strRef>
              <c:f>Charts_Capex!$O$218</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DB4-4544-B648-0EB6728902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Charts_Capex!$P$218:$AE$218</c:f>
              <c:numCache>
                <c:formatCode>_(#,##0.0_);\(#,##0.0\);_("-"_)</c:formatCode>
                <c:ptCount val="16"/>
                <c:pt idx="0">
                  <c:v>#N/A</c:v>
                </c:pt>
                <c:pt idx="1">
                  <c:v>#N/A</c:v>
                </c:pt>
                <c:pt idx="2">
                  <c:v>#N/A</c:v>
                </c:pt>
                <c:pt idx="3">
                  <c:v>#N/A</c:v>
                </c:pt>
                <c:pt idx="4">
                  <c:v>#N/A</c:v>
                </c:pt>
                <c:pt idx="5">
                  <c:v>#N/A</c:v>
                </c:pt>
                <c:pt idx="6">
                  <c:v>2.6527028379124555</c:v>
                </c:pt>
                <c:pt idx="7">
                  <c:v>2.6527028379124555</c:v>
                </c:pt>
                <c:pt idx="8">
                  <c:v>2.6527028379124555</c:v>
                </c:pt>
                <c:pt idx="9">
                  <c:v>2.6527028379124555</c:v>
                </c:pt>
                <c:pt idx="10">
                  <c:v>2.6527028379124555</c:v>
                </c:pt>
                <c:pt idx="11">
                  <c:v>#N/A</c:v>
                </c:pt>
                <c:pt idx="12">
                  <c:v>#N/A</c:v>
                </c:pt>
                <c:pt idx="13">
                  <c:v>#N/A</c:v>
                </c:pt>
                <c:pt idx="14">
                  <c:v>#N/A</c:v>
                </c:pt>
                <c:pt idx="15">
                  <c:v>#N/A</c:v>
                </c:pt>
              </c:numCache>
            </c:numRef>
          </c:val>
          <c:smooth val="0"/>
          <c:extLst>
            <c:ext xmlns:c16="http://schemas.microsoft.com/office/drawing/2014/chart" uri="{C3380CC4-5D6E-409C-BE32-E72D297353CC}">
              <c16:uniqueId val="{00000009-3DB4-4544-B648-0EB672890294}"/>
            </c:ext>
          </c:extLst>
        </c:ser>
        <c:ser>
          <c:idx val="6"/>
          <c:order val="4"/>
          <c:tx>
            <c:strRef>
              <c:f>Charts_Capex!$O$219</c:f>
              <c:strCache>
                <c:ptCount val="1"/>
                <c:pt idx="0">
                  <c:v>Avg: 20-24</c:v>
                </c:pt>
              </c:strCache>
            </c:strRef>
          </c:tx>
          <c:spPr>
            <a:ln w="28575" cap="rnd">
              <a:solidFill>
                <a:srgbClr val="EF7D17"/>
              </a:solidFill>
              <a:prstDash val="sysDash"/>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F6-4447-B6F8-9B84E3B9923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Charts_Capex!$P$219:$AE$219</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7.8854496815616413</c:v>
                </c:pt>
                <c:pt idx="12">
                  <c:v>7.8854496815616413</c:v>
                </c:pt>
                <c:pt idx="13">
                  <c:v>7.8854496815616413</c:v>
                </c:pt>
                <c:pt idx="14">
                  <c:v>7.8854496815616413</c:v>
                </c:pt>
                <c:pt idx="15">
                  <c:v>7.8854496815616413</c:v>
                </c:pt>
              </c:numCache>
            </c:numRef>
          </c:val>
          <c:smooth val="0"/>
          <c:extLst>
            <c:ext xmlns:c16="http://schemas.microsoft.com/office/drawing/2014/chart" uri="{C3380CC4-5D6E-409C-BE32-E72D297353CC}">
              <c16:uniqueId val="{0000000B-3DB4-4544-B648-0EB672890294}"/>
            </c:ext>
          </c:extLst>
        </c:ser>
        <c:dLbls>
          <c:showLegendKey val="0"/>
          <c:showVal val="0"/>
          <c:showCatName val="0"/>
          <c:showSerName val="0"/>
          <c:showPercent val="0"/>
          <c:showBubbleSize val="0"/>
        </c:dLbls>
        <c:marker val="1"/>
        <c:smooth val="0"/>
        <c:axId val="163659776"/>
        <c:axId val="163661312"/>
      </c:lineChart>
      <c:catAx>
        <c:axId val="16365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661312"/>
        <c:crosses val="autoZero"/>
        <c:auto val="1"/>
        <c:lblAlgn val="ctr"/>
        <c:lblOffset val="100"/>
        <c:noMultiLvlLbl val="0"/>
      </c:catAx>
      <c:valAx>
        <c:axId val="163661312"/>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Charts_Capex!$P$223</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659776"/>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Charts_Capex!$P$249</c:f>
          <c:strCache>
            <c:ptCount val="1"/>
            <c:pt idx="0">
              <c:v>Non Network IT Capex - Direct Escalated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Charts_Capex!$O$240</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64ED-4291-B44E-EDD186ADE652}"/>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64ED-4291-B44E-EDD186ADE652}"/>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Charts_Capex!$P$240:$AE$240</c:f>
              <c:numCache>
                <c:formatCode>_(#,##0.0_);\(#,##0.0\);_("-"_)</c:formatCode>
                <c:ptCount val="16"/>
                <c:pt idx="0">
                  <c:v>0</c:v>
                </c:pt>
                <c:pt idx="1">
                  <c:v>6.6954741602431131E-2</c:v>
                </c:pt>
                <c:pt idx="2">
                  <c:v>4.3284724288216845</c:v>
                </c:pt>
                <c:pt idx="3">
                  <c:v>3.1549043582424359</c:v>
                </c:pt>
                <c:pt idx="4">
                  <c:v>2.8058150627847529</c:v>
                </c:pt>
                <c:pt idx="5">
                  <c:v>0.67159828000529098</c:v>
                </c:pt>
                <c:pt idx="6">
                  <c:v>0.45442323372840304</c:v>
                </c:pt>
                <c:pt idx="7">
                  <c:v>0.95626949276551076</c:v>
                </c:pt>
                <c:pt idx="8">
                  <c:v>2.8817100302687852</c:v>
                </c:pt>
                <c:pt idx="9">
                  <c:v>4.5979011515897028</c:v>
                </c:pt>
                <c:pt idx="10">
                  <c:v>4.8127529196320751</c:v>
                </c:pt>
                <c:pt idx="11">
                  <c:v>#N/A</c:v>
                </c:pt>
                <c:pt idx="12">
                  <c:v>#N/A</c:v>
                </c:pt>
                <c:pt idx="13">
                  <c:v>#N/A</c:v>
                </c:pt>
                <c:pt idx="14">
                  <c:v>#N/A</c:v>
                </c:pt>
                <c:pt idx="15">
                  <c:v>#N/A</c:v>
                </c:pt>
              </c:numCache>
            </c:numRef>
          </c:val>
          <c:extLst>
            <c:ext xmlns:c16="http://schemas.microsoft.com/office/drawing/2014/chart" uri="{C3380CC4-5D6E-409C-BE32-E72D297353CC}">
              <c16:uniqueId val="{00000004-64ED-4291-B44E-EDD186ADE652}"/>
            </c:ext>
          </c:extLst>
        </c:ser>
        <c:ser>
          <c:idx val="3"/>
          <c:order val="1"/>
          <c:tx>
            <c:strRef>
              <c:f>Charts_Capex!$O$241</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Charts_Capex!$P$241:$AE$241</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10.761451866960643</c:v>
                </c:pt>
                <c:pt idx="12">
                  <c:v>9.4308482188013425</c:v>
                </c:pt>
                <c:pt idx="13">
                  <c:v>7.3596957973945534</c:v>
                </c:pt>
                <c:pt idx="14">
                  <c:v>4.8917166176201921</c:v>
                </c:pt>
                <c:pt idx="15">
                  <c:v>5.0514562576843405</c:v>
                </c:pt>
              </c:numCache>
            </c:numRef>
          </c:val>
          <c:extLst>
            <c:ext xmlns:c16="http://schemas.microsoft.com/office/drawing/2014/chart" uri="{C3380CC4-5D6E-409C-BE32-E72D297353CC}">
              <c16:uniqueId val="{00000005-64ED-4291-B44E-EDD186ADE652}"/>
            </c:ext>
          </c:extLst>
        </c:ser>
        <c:dLbls>
          <c:showLegendKey val="0"/>
          <c:showVal val="0"/>
          <c:showCatName val="0"/>
          <c:showSerName val="0"/>
          <c:showPercent val="0"/>
          <c:showBubbleSize val="0"/>
        </c:dLbls>
        <c:gapWidth val="20"/>
        <c:overlap val="100"/>
        <c:axId val="164065664"/>
        <c:axId val="164067200"/>
      </c:barChart>
      <c:lineChart>
        <c:grouping val="standard"/>
        <c:varyColors val="0"/>
        <c:ser>
          <c:idx val="4"/>
          <c:order val="2"/>
          <c:tx>
            <c:strRef>
              <c:f>Charts_Capex!$O$242</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ED-4291-B44E-EDD186ADE65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Charts_Capex!$P$242:$AE$242</c:f>
              <c:numCache>
                <c:formatCode>_(#,##0.0_);\(#,##0.0\);_("-"_)</c:formatCode>
                <c:ptCount val="16"/>
                <c:pt idx="0">
                  <c:v>#N/A</c:v>
                </c:pt>
                <c:pt idx="1">
                  <c:v>2.205548974291319</c:v>
                </c:pt>
                <c:pt idx="2">
                  <c:v>2.205548974291319</c:v>
                </c:pt>
                <c:pt idx="3">
                  <c:v>2.205548974291319</c:v>
                </c:pt>
                <c:pt idx="4">
                  <c:v>2.205548974291319</c:v>
                </c:pt>
                <c:pt idx="5">
                  <c:v>2.205548974291319</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7-64ED-4291-B44E-EDD186ADE652}"/>
            </c:ext>
          </c:extLst>
        </c:ser>
        <c:ser>
          <c:idx val="5"/>
          <c:order val="3"/>
          <c:tx>
            <c:strRef>
              <c:f>Charts_Capex!$O$243</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ED-4291-B44E-EDD186ADE65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Charts_Capex!$P$243:$AE$243</c:f>
              <c:numCache>
                <c:formatCode>_(#,##0.0_);\(#,##0.0\);_("-"_)</c:formatCode>
                <c:ptCount val="16"/>
                <c:pt idx="0">
                  <c:v>#N/A</c:v>
                </c:pt>
                <c:pt idx="1">
                  <c:v>#N/A</c:v>
                </c:pt>
                <c:pt idx="2">
                  <c:v>#N/A</c:v>
                </c:pt>
                <c:pt idx="3">
                  <c:v>#N/A</c:v>
                </c:pt>
                <c:pt idx="4">
                  <c:v>#N/A</c:v>
                </c:pt>
                <c:pt idx="5">
                  <c:v>#N/A</c:v>
                </c:pt>
                <c:pt idx="6">
                  <c:v>2.7406113655968953</c:v>
                </c:pt>
                <c:pt idx="7">
                  <c:v>2.7406113655968953</c:v>
                </c:pt>
                <c:pt idx="8">
                  <c:v>2.7406113655968953</c:v>
                </c:pt>
                <c:pt idx="9">
                  <c:v>2.7406113655968953</c:v>
                </c:pt>
                <c:pt idx="10">
                  <c:v>2.7406113655968953</c:v>
                </c:pt>
                <c:pt idx="11">
                  <c:v>#N/A</c:v>
                </c:pt>
                <c:pt idx="12">
                  <c:v>#N/A</c:v>
                </c:pt>
                <c:pt idx="13">
                  <c:v>#N/A</c:v>
                </c:pt>
                <c:pt idx="14">
                  <c:v>#N/A</c:v>
                </c:pt>
                <c:pt idx="15">
                  <c:v>#N/A</c:v>
                </c:pt>
              </c:numCache>
            </c:numRef>
          </c:val>
          <c:smooth val="0"/>
          <c:extLst>
            <c:ext xmlns:c16="http://schemas.microsoft.com/office/drawing/2014/chart" uri="{C3380CC4-5D6E-409C-BE32-E72D297353CC}">
              <c16:uniqueId val="{00000009-64ED-4291-B44E-EDD186ADE652}"/>
            </c:ext>
          </c:extLst>
        </c:ser>
        <c:ser>
          <c:idx val="6"/>
          <c:order val="4"/>
          <c:tx>
            <c:strRef>
              <c:f>Charts_Capex!$O$244</c:f>
              <c:strCache>
                <c:ptCount val="1"/>
                <c:pt idx="0">
                  <c:v>Avg: 20-24</c:v>
                </c:pt>
              </c:strCache>
            </c:strRef>
          </c:tx>
          <c:spPr>
            <a:ln w="28575" cap="rnd">
              <a:solidFill>
                <a:srgbClr val="EF7D17"/>
              </a:solidFill>
              <a:prstDash val="sysDash"/>
              <a:round/>
            </a:ln>
            <a:effectLst/>
          </c:spPr>
          <c:marker>
            <c:symbol val="none"/>
          </c:marker>
          <c:dLbls>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E9-4EE3-8186-FEA6BF863FC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Charts_Capex!$P$244:$AE$244</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7.499033751692215</c:v>
                </c:pt>
                <c:pt idx="12">
                  <c:v>7.499033751692215</c:v>
                </c:pt>
                <c:pt idx="13">
                  <c:v>7.499033751692215</c:v>
                </c:pt>
                <c:pt idx="14">
                  <c:v>7.499033751692215</c:v>
                </c:pt>
                <c:pt idx="15">
                  <c:v>7.499033751692215</c:v>
                </c:pt>
              </c:numCache>
            </c:numRef>
          </c:val>
          <c:smooth val="0"/>
          <c:extLst>
            <c:ext xmlns:c16="http://schemas.microsoft.com/office/drawing/2014/chart" uri="{C3380CC4-5D6E-409C-BE32-E72D297353CC}">
              <c16:uniqueId val="{0000000B-64ED-4291-B44E-EDD186ADE652}"/>
            </c:ext>
          </c:extLst>
        </c:ser>
        <c:dLbls>
          <c:showLegendKey val="0"/>
          <c:showVal val="0"/>
          <c:showCatName val="0"/>
          <c:showSerName val="0"/>
          <c:showPercent val="0"/>
          <c:showBubbleSize val="0"/>
        </c:dLbls>
        <c:marker val="1"/>
        <c:smooth val="0"/>
        <c:axId val="164065664"/>
        <c:axId val="164067200"/>
      </c:lineChart>
      <c:catAx>
        <c:axId val="16406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067200"/>
        <c:crosses val="autoZero"/>
        <c:auto val="1"/>
        <c:lblAlgn val="ctr"/>
        <c:lblOffset val="100"/>
        <c:noMultiLvlLbl val="0"/>
      </c:catAx>
      <c:valAx>
        <c:axId val="164067200"/>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Charts_Capex!$P$248</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065664"/>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Charts_Capex!$P$338</c:f>
          <c:strCache>
            <c:ptCount val="1"/>
            <c:pt idx="0">
              <c:v>Capitalised Overheads - Escalated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Charts_Capex!$O$329</c:f>
              <c:strCache>
                <c:ptCount val="1"/>
                <c:pt idx="0">
                  <c:v>Actuals/Estimate</c:v>
                </c:pt>
              </c:strCache>
            </c:strRef>
          </c:tx>
          <c:spPr>
            <a:solidFill>
              <a:srgbClr val="2A3D6F"/>
            </a:solidFill>
            <a:ln>
              <a:solidFill>
                <a:schemeClr val="bg1"/>
              </a:solidFill>
            </a:ln>
            <a:effectLst/>
          </c:spPr>
          <c:invertIfNegative val="0"/>
          <c:dPt>
            <c:idx val="3"/>
            <c:invertIfNegative val="0"/>
            <c:bubble3D val="0"/>
            <c:spPr>
              <a:solidFill>
                <a:srgbClr val="0061AC"/>
              </a:solidFill>
              <a:ln>
                <a:solidFill>
                  <a:schemeClr val="bg1"/>
                </a:solidFill>
              </a:ln>
              <a:effectLst/>
            </c:spPr>
            <c:extLst>
              <c:ext xmlns:c16="http://schemas.microsoft.com/office/drawing/2014/chart" uri="{C3380CC4-5D6E-409C-BE32-E72D297353CC}">
                <c16:uniqueId val="{00000001-F3C0-45AB-A78C-5CA36ED5DC3A}"/>
              </c:ext>
            </c:extLst>
          </c:dPt>
          <c:dPt>
            <c:idx val="4"/>
            <c:invertIfNegative val="0"/>
            <c:bubble3D val="0"/>
            <c:spPr>
              <a:solidFill>
                <a:srgbClr val="0061AC"/>
              </a:solidFill>
              <a:ln>
                <a:solidFill>
                  <a:schemeClr val="bg1"/>
                </a:solidFill>
              </a:ln>
              <a:effectLst/>
            </c:spPr>
            <c:extLst>
              <c:ext xmlns:c16="http://schemas.microsoft.com/office/drawing/2014/chart" uri="{C3380CC4-5D6E-409C-BE32-E72D297353CC}">
                <c16:uniqueId val="{00000003-F3C0-45AB-A78C-5CA36ED5DC3A}"/>
              </c:ext>
            </c:extLst>
          </c:dPt>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Charts_Capex!$P$329:$AE$329</c15:sqref>
                  </c15:fullRef>
                </c:ext>
              </c:extLst>
              <c:f>Charts_Capex!$V$329:$AE$329</c:f>
              <c:numCache>
                <c:formatCode>_(#,##0.0_);\(#,##0.0\);_("-"_)</c:formatCode>
                <c:ptCount val="10"/>
                <c:pt idx="0">
                  <c:v>0.19186936732656007</c:v>
                </c:pt>
                <c:pt idx="1">
                  <c:v>0.13483004248800004</c:v>
                </c:pt>
                <c:pt idx="2">
                  <c:v>10.82311014446767</c:v>
                </c:pt>
                <c:pt idx="3">
                  <c:v>12.292894171000462</c:v>
                </c:pt>
                <c:pt idx="4">
                  <c:v>12.715542691049562</c:v>
                </c:pt>
                <c:pt idx="5">
                  <c:v>#N/A</c:v>
                </c:pt>
                <c:pt idx="6">
                  <c:v>#N/A</c:v>
                </c:pt>
                <c:pt idx="7">
                  <c:v>#N/A</c:v>
                </c:pt>
                <c:pt idx="8">
                  <c:v>#N/A</c:v>
                </c:pt>
                <c:pt idx="9">
                  <c:v>#N/A</c:v>
                </c:pt>
              </c:numCache>
            </c:numRef>
          </c:val>
          <c:extLst>
            <c:ext xmlns:c16="http://schemas.microsoft.com/office/drawing/2014/chart" uri="{C3380CC4-5D6E-409C-BE32-E72D297353CC}">
              <c16:uniqueId val="{00000004-B916-4011-AAA6-74EA4F1265AF}"/>
            </c:ext>
          </c:extLst>
        </c:ser>
        <c:ser>
          <c:idx val="3"/>
          <c:order val="1"/>
          <c:tx>
            <c:strRef>
              <c:f>Charts_Capex!$O$330</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Charts_Capex!$P$330:$AE$330</c15:sqref>
                  </c15:fullRef>
                </c:ext>
              </c:extLst>
              <c:f>Charts_Capex!$V$330:$AE$330</c:f>
              <c:numCache>
                <c:formatCode>_(#,##0.0_);\(#,##0.0\);_("-"_)</c:formatCode>
                <c:ptCount val="10"/>
                <c:pt idx="0">
                  <c:v>#N/A</c:v>
                </c:pt>
                <c:pt idx="1">
                  <c:v>#N/A</c:v>
                </c:pt>
                <c:pt idx="2">
                  <c:v>#N/A</c:v>
                </c:pt>
                <c:pt idx="3">
                  <c:v>#N/A</c:v>
                </c:pt>
                <c:pt idx="4">
                  <c:v>#N/A</c:v>
                </c:pt>
                <c:pt idx="5">
                  <c:v>13.169697382615979</c:v>
                </c:pt>
                <c:pt idx="6">
                  <c:v>13.673844647107252</c:v>
                </c:pt>
                <c:pt idx="7">
                  <c:v>14.220219017088651</c:v>
                </c:pt>
                <c:pt idx="8">
                  <c:v>14.743421805776268</c:v>
                </c:pt>
                <c:pt idx="9">
                  <c:v>15.266295937240194</c:v>
                </c:pt>
              </c:numCache>
            </c:numRef>
          </c:val>
          <c:extLst>
            <c:ext xmlns:c16="http://schemas.microsoft.com/office/drawing/2014/chart" uri="{C3380CC4-5D6E-409C-BE32-E72D297353CC}">
              <c16:uniqueId val="{00000005-B916-4011-AAA6-74EA4F1265AF}"/>
            </c:ext>
          </c:extLst>
        </c:ser>
        <c:dLbls>
          <c:showLegendKey val="0"/>
          <c:showVal val="0"/>
          <c:showCatName val="0"/>
          <c:showSerName val="0"/>
          <c:showPercent val="0"/>
          <c:showBubbleSize val="0"/>
        </c:dLbls>
        <c:gapWidth val="20"/>
        <c:overlap val="100"/>
        <c:axId val="164107008"/>
        <c:axId val="164108544"/>
      </c:barChart>
      <c:lineChart>
        <c:grouping val="standard"/>
        <c:varyColors val="0"/>
        <c:ser>
          <c:idx val="4"/>
          <c:order val="2"/>
          <c:tx>
            <c:strRef>
              <c:f>Charts_Capex!$O$331</c:f>
              <c:strCache>
                <c:ptCount val="1"/>
                <c:pt idx="0">
                  <c:v>Avg: 10-14</c:v>
                </c:pt>
              </c:strCache>
            </c:strRef>
          </c:tx>
          <c:spPr>
            <a:ln w="28575" cap="rnd">
              <a:solidFill>
                <a:srgbClr val="007143"/>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Charts_Capex!$P$331:$AE$331</c15:sqref>
                  </c15:fullRef>
                </c:ext>
              </c:extLst>
              <c:f>Charts_Capex!$V$331:$AE$331</c:f>
              <c:numCache>
                <c:formatCode>_(#,##0.0_);\(#,##0.0\);_("-"_)</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5="http://schemas.microsoft.com/office/drawing/2012/chart" uri="{02D57815-91ED-43cb-92C2-25804820EDAC}">
              <c15:categoryFilterExceptions>
                <c15:categoryFilterException>
                  <c15:sqref>Charts_Capex!$U$331</c15:sqref>
                  <c15:dLbl>
                    <c:idx val="-1"/>
                    <c:dLblPos val="t"/>
                    <c:showLegendKey val="0"/>
                    <c:showVal val="1"/>
                    <c:showCatName val="0"/>
                    <c:showSerName val="0"/>
                    <c:showPercent val="0"/>
                    <c:showBubbleSize val="0"/>
                    <c:extLst>
                      <c:ext uri="{CE6537A1-D6FC-4f65-9D91-7224C49458BB}"/>
                      <c:ext xmlns:c16="http://schemas.microsoft.com/office/drawing/2014/chart" uri="{C3380CC4-5D6E-409C-BE32-E72D297353CC}">
                        <c16:uniqueId val="{00000004-0F22-45CC-AC9C-60794789E619}"/>
                      </c:ext>
                    </c:extLst>
                  </c15:dLbl>
                </c15:categoryFilterException>
              </c15:categoryFilterExceptions>
            </c:ext>
            <c:ext xmlns:c16="http://schemas.microsoft.com/office/drawing/2014/chart" uri="{C3380CC4-5D6E-409C-BE32-E72D297353CC}">
              <c16:uniqueId val="{00000007-B916-4011-AAA6-74EA4F1265AF}"/>
            </c:ext>
          </c:extLst>
        </c:ser>
        <c:ser>
          <c:idx val="5"/>
          <c:order val="3"/>
          <c:tx>
            <c:strRef>
              <c:f>Charts_Capex!$O$332</c:f>
              <c:strCache>
                <c:ptCount val="1"/>
                <c:pt idx="0">
                  <c:v>Avg: 15-19</c:v>
                </c:pt>
              </c:strCache>
            </c:strRef>
          </c:tx>
          <c:spPr>
            <a:ln w="28575" cap="rnd">
              <a:solidFill>
                <a:srgbClr val="4BB0E4"/>
              </a:solidFill>
              <a:prstDash val="sysDash"/>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16-4011-AAA6-74EA4F1265A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Charts_Capex!$P$332:$AE$332</c15:sqref>
                  </c15:fullRef>
                </c:ext>
              </c:extLst>
              <c:f>Charts_Capex!$V$332:$AE$332</c:f>
              <c:numCache>
                <c:formatCode>_(#,##0.0_);\(#,##0.0\);_("-"_)</c:formatCode>
                <c:ptCount val="10"/>
                <c:pt idx="0">
                  <c:v>7.2316492832664512</c:v>
                </c:pt>
                <c:pt idx="1">
                  <c:v>7.2316492832664512</c:v>
                </c:pt>
                <c:pt idx="2">
                  <c:v>7.2316492832664512</c:v>
                </c:pt>
                <c:pt idx="3">
                  <c:v>7.2316492832664512</c:v>
                </c:pt>
                <c:pt idx="4">
                  <c:v>7.2316492832664512</c:v>
                </c:pt>
                <c:pt idx="5">
                  <c:v>#N/A</c:v>
                </c:pt>
                <c:pt idx="6">
                  <c:v>#N/A</c:v>
                </c:pt>
                <c:pt idx="7">
                  <c:v>#N/A</c:v>
                </c:pt>
                <c:pt idx="8">
                  <c:v>#N/A</c:v>
                </c:pt>
                <c:pt idx="9">
                  <c:v>#N/A</c:v>
                </c:pt>
              </c:numCache>
            </c:numRef>
          </c:val>
          <c:smooth val="0"/>
          <c:extLst>
            <c:ext xmlns:c16="http://schemas.microsoft.com/office/drawing/2014/chart" uri="{C3380CC4-5D6E-409C-BE32-E72D297353CC}">
              <c16:uniqueId val="{00000009-B916-4011-AAA6-74EA4F1265AF}"/>
            </c:ext>
          </c:extLst>
        </c:ser>
        <c:ser>
          <c:idx val="6"/>
          <c:order val="4"/>
          <c:tx>
            <c:strRef>
              <c:f>Charts_Capex!$O$333</c:f>
              <c:strCache>
                <c:ptCount val="1"/>
                <c:pt idx="0">
                  <c:v>Avg: 20-24</c:v>
                </c:pt>
              </c:strCache>
            </c:strRef>
          </c:tx>
          <c:spPr>
            <a:ln w="28575" cap="rnd">
              <a:solidFill>
                <a:srgbClr val="EF7D17"/>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16-4011-AAA6-74EA4F1265A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Charts_Capex!$P$333:$AE$333</c15:sqref>
                  </c15:fullRef>
                </c:ext>
              </c:extLst>
              <c:f>Charts_Capex!$V$333:$AE$333</c:f>
              <c:numCache>
                <c:formatCode>_(#,##0.0_);\(#,##0.0\);_("-"_)</c:formatCode>
                <c:ptCount val="10"/>
                <c:pt idx="0">
                  <c:v>#N/A</c:v>
                </c:pt>
                <c:pt idx="1">
                  <c:v>#N/A</c:v>
                </c:pt>
                <c:pt idx="2">
                  <c:v>#N/A</c:v>
                </c:pt>
                <c:pt idx="3">
                  <c:v>#N/A</c:v>
                </c:pt>
                <c:pt idx="4">
                  <c:v>#N/A</c:v>
                </c:pt>
                <c:pt idx="5">
                  <c:v>14.214695757965671</c:v>
                </c:pt>
                <c:pt idx="6">
                  <c:v>14.214695757965671</c:v>
                </c:pt>
                <c:pt idx="7">
                  <c:v>14.214695757965671</c:v>
                </c:pt>
                <c:pt idx="8">
                  <c:v>14.214695757965671</c:v>
                </c:pt>
                <c:pt idx="9">
                  <c:v>14.214695757965671</c:v>
                </c:pt>
              </c:numCache>
            </c:numRef>
          </c:val>
          <c:smooth val="0"/>
          <c:extLst>
            <c:ext xmlns:c16="http://schemas.microsoft.com/office/drawing/2014/chart" uri="{C3380CC4-5D6E-409C-BE32-E72D297353CC}">
              <c16:uniqueId val="{0000000B-B916-4011-AAA6-74EA4F1265AF}"/>
            </c:ext>
          </c:extLst>
        </c:ser>
        <c:dLbls>
          <c:showLegendKey val="0"/>
          <c:showVal val="0"/>
          <c:showCatName val="0"/>
          <c:showSerName val="0"/>
          <c:showPercent val="0"/>
          <c:showBubbleSize val="0"/>
        </c:dLbls>
        <c:marker val="1"/>
        <c:smooth val="0"/>
        <c:axId val="164107008"/>
        <c:axId val="164108544"/>
      </c:lineChart>
      <c:catAx>
        <c:axId val="16410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108544"/>
        <c:crosses val="autoZero"/>
        <c:auto val="1"/>
        <c:lblAlgn val="ctr"/>
        <c:lblOffset val="100"/>
        <c:noMultiLvlLbl val="0"/>
      </c:catAx>
      <c:valAx>
        <c:axId val="164108544"/>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Charts_Capex!$P$337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107008"/>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Charts_Capex!$P$363</c:f>
          <c:strCache>
            <c:ptCount val="1"/>
            <c:pt idx="0">
              <c:v>Capitalised Overheads - Escalated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Charts_Capex!$O$354</c:f>
              <c:strCache>
                <c:ptCount val="1"/>
                <c:pt idx="0">
                  <c:v>Actuals/Estimate</c:v>
                </c:pt>
              </c:strCache>
            </c:strRef>
          </c:tx>
          <c:spPr>
            <a:solidFill>
              <a:srgbClr val="2A3D6F"/>
            </a:solidFill>
            <a:ln>
              <a:solidFill>
                <a:schemeClr val="bg1"/>
              </a:solidFill>
            </a:ln>
            <a:effectLst/>
          </c:spPr>
          <c:invertIfNegative val="0"/>
          <c:dPt>
            <c:idx val="3"/>
            <c:invertIfNegative val="0"/>
            <c:bubble3D val="0"/>
            <c:spPr>
              <a:solidFill>
                <a:srgbClr val="0061AC"/>
              </a:solidFill>
              <a:ln>
                <a:solidFill>
                  <a:schemeClr val="bg1"/>
                </a:solidFill>
              </a:ln>
              <a:effectLst/>
            </c:spPr>
            <c:extLst>
              <c:ext xmlns:c16="http://schemas.microsoft.com/office/drawing/2014/chart" uri="{C3380CC4-5D6E-409C-BE32-E72D297353CC}">
                <c16:uniqueId val="{00000001-8BA7-4BCD-904A-822933564ADF}"/>
              </c:ext>
            </c:extLst>
          </c:dPt>
          <c:dPt>
            <c:idx val="4"/>
            <c:invertIfNegative val="0"/>
            <c:bubble3D val="0"/>
            <c:spPr>
              <a:solidFill>
                <a:srgbClr val="0061AC"/>
              </a:solidFill>
              <a:ln>
                <a:solidFill>
                  <a:schemeClr val="bg1"/>
                </a:solidFill>
              </a:ln>
              <a:effectLst/>
            </c:spPr>
            <c:extLst>
              <c:ext xmlns:c16="http://schemas.microsoft.com/office/drawing/2014/chart" uri="{C3380CC4-5D6E-409C-BE32-E72D297353CC}">
                <c16:uniqueId val="{00000003-8BA7-4BCD-904A-822933564ADF}"/>
              </c:ext>
            </c:extLst>
          </c:dPt>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Charts_Capex!$P$354:$AE$354</c15:sqref>
                  </c15:fullRef>
                </c:ext>
              </c:extLst>
              <c:f>Charts_Capex!$V$354:$AE$354</c:f>
              <c:numCache>
                <c:formatCode>_(#,##0.0_);\(#,##0.0\);_("-"_)</c:formatCode>
                <c:ptCount val="10"/>
                <c:pt idx="0">
                  <c:v>0.20761777890365482</c:v>
                </c:pt>
                <c:pt idx="1">
                  <c:v>0.14407168514004207</c:v>
                </c:pt>
                <c:pt idx="2">
                  <c:v>11.396577926927781</c:v>
                </c:pt>
                <c:pt idx="3">
                  <c:v>12.694556865798416</c:v>
                </c:pt>
                <c:pt idx="4">
                  <c:v>12.857796817934315</c:v>
                </c:pt>
                <c:pt idx="5">
                  <c:v>#N/A</c:v>
                </c:pt>
                <c:pt idx="6">
                  <c:v>#N/A</c:v>
                </c:pt>
                <c:pt idx="7">
                  <c:v>#N/A</c:v>
                </c:pt>
                <c:pt idx="8">
                  <c:v>#N/A</c:v>
                </c:pt>
                <c:pt idx="9">
                  <c:v>#N/A</c:v>
                </c:pt>
              </c:numCache>
            </c:numRef>
          </c:val>
          <c:extLst>
            <c:ext xmlns:c16="http://schemas.microsoft.com/office/drawing/2014/chart" uri="{C3380CC4-5D6E-409C-BE32-E72D297353CC}">
              <c16:uniqueId val="{00000004-40BA-4D13-B865-125434CBF5C4}"/>
            </c:ext>
          </c:extLst>
        </c:ser>
        <c:ser>
          <c:idx val="3"/>
          <c:order val="1"/>
          <c:tx>
            <c:strRef>
              <c:f>Charts_Capex!$O$355</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Charts_Capex!$P$355:$AE$355</c15:sqref>
                  </c15:fullRef>
                </c:ext>
              </c:extLst>
              <c:f>Charts_Capex!$V$355:$AE$355</c:f>
              <c:numCache>
                <c:formatCode>_(#,##0.0_);\(#,##0.0\);_("-"_)</c:formatCode>
                <c:ptCount val="10"/>
                <c:pt idx="0">
                  <c:v>#N/A</c:v>
                </c:pt>
                <c:pt idx="1">
                  <c:v>#N/A</c:v>
                </c:pt>
                <c:pt idx="2">
                  <c:v>#N/A</c:v>
                </c:pt>
                <c:pt idx="3">
                  <c:v>#N/A</c:v>
                </c:pt>
                <c:pt idx="4">
                  <c:v>#N/A</c:v>
                </c:pt>
                <c:pt idx="5">
                  <c:v>13.012869520178295</c:v>
                </c:pt>
                <c:pt idx="6">
                  <c:v>13.19114455870012</c:v>
                </c:pt>
                <c:pt idx="7">
                  <c:v>13.393456838449179</c:v>
                </c:pt>
                <c:pt idx="8">
                  <c:v>13.557488562506313</c:v>
                </c:pt>
                <c:pt idx="9">
                  <c:v>13.705951532618363</c:v>
                </c:pt>
              </c:numCache>
            </c:numRef>
          </c:val>
          <c:extLst>
            <c:ext xmlns:c16="http://schemas.microsoft.com/office/drawing/2014/chart" uri="{C3380CC4-5D6E-409C-BE32-E72D297353CC}">
              <c16:uniqueId val="{00000005-40BA-4D13-B865-125434CBF5C4}"/>
            </c:ext>
          </c:extLst>
        </c:ser>
        <c:dLbls>
          <c:showLegendKey val="0"/>
          <c:showVal val="0"/>
          <c:showCatName val="0"/>
          <c:showSerName val="0"/>
          <c:showPercent val="0"/>
          <c:showBubbleSize val="0"/>
        </c:dLbls>
        <c:gapWidth val="20"/>
        <c:overlap val="100"/>
        <c:axId val="163853056"/>
        <c:axId val="163854592"/>
      </c:barChart>
      <c:lineChart>
        <c:grouping val="standard"/>
        <c:varyColors val="0"/>
        <c:ser>
          <c:idx val="4"/>
          <c:order val="2"/>
          <c:tx>
            <c:strRef>
              <c:f>Charts_Capex!$O$356</c:f>
              <c:strCache>
                <c:ptCount val="1"/>
                <c:pt idx="0">
                  <c:v>Avg: 10-14</c:v>
                </c:pt>
              </c:strCache>
            </c:strRef>
          </c:tx>
          <c:spPr>
            <a:ln w="28575" cap="rnd">
              <a:solidFill>
                <a:srgbClr val="007143"/>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Charts_Capex!$P$356:$AE$356</c15:sqref>
                  </c15:fullRef>
                </c:ext>
              </c:extLst>
              <c:f>Charts_Capex!$V$356:$AE$356</c:f>
              <c:numCache>
                <c:formatCode>_(#,##0.0_);\(#,##0.0\);_("-"_)</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5="http://schemas.microsoft.com/office/drawing/2012/chart" uri="{02D57815-91ED-43cb-92C2-25804820EDAC}">
              <c15:categoryFilterExceptions>
                <c15:categoryFilterException>
                  <c15:sqref>Charts_Capex!$U$356</c15:sqref>
                  <c15:dLbl>
                    <c:idx val="-1"/>
                    <c:dLblPos val="t"/>
                    <c:showLegendKey val="0"/>
                    <c:showVal val="1"/>
                    <c:showCatName val="0"/>
                    <c:showSerName val="0"/>
                    <c:showPercent val="0"/>
                    <c:showBubbleSize val="0"/>
                    <c:extLst>
                      <c:ext uri="{CE6537A1-D6FC-4f65-9D91-7224C49458BB}"/>
                      <c:ext xmlns:c16="http://schemas.microsoft.com/office/drawing/2014/chart" uri="{C3380CC4-5D6E-409C-BE32-E72D297353CC}">
                        <c16:uniqueId val="{00000004-B92A-4685-8B3E-F5F7AD8B10EE}"/>
                      </c:ext>
                    </c:extLst>
                  </c15:dLbl>
                </c15:categoryFilterException>
              </c15:categoryFilterExceptions>
            </c:ext>
            <c:ext xmlns:c16="http://schemas.microsoft.com/office/drawing/2014/chart" uri="{C3380CC4-5D6E-409C-BE32-E72D297353CC}">
              <c16:uniqueId val="{00000007-40BA-4D13-B865-125434CBF5C4}"/>
            </c:ext>
          </c:extLst>
        </c:ser>
        <c:ser>
          <c:idx val="5"/>
          <c:order val="3"/>
          <c:tx>
            <c:strRef>
              <c:f>Charts_Capex!$O$357</c:f>
              <c:strCache>
                <c:ptCount val="1"/>
                <c:pt idx="0">
                  <c:v>Avg: 15-19</c:v>
                </c:pt>
              </c:strCache>
            </c:strRef>
          </c:tx>
          <c:spPr>
            <a:ln w="28575" cap="rnd">
              <a:solidFill>
                <a:srgbClr val="4BB0E4"/>
              </a:solidFill>
              <a:prstDash val="sysDash"/>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BA-4D13-B865-125434CBF5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Charts_Capex!$P$357:$AE$357</c15:sqref>
                  </c15:fullRef>
                </c:ext>
              </c:extLst>
              <c:f>Charts_Capex!$V$357:$AE$357</c:f>
              <c:numCache>
                <c:formatCode>_(#,##0.0_);\(#,##0.0\);_("-"_)</c:formatCode>
                <c:ptCount val="10"/>
                <c:pt idx="0">
                  <c:v>7.4601242149408424</c:v>
                </c:pt>
                <c:pt idx="1">
                  <c:v>7.4601242149408424</c:v>
                </c:pt>
                <c:pt idx="2">
                  <c:v>7.4601242149408424</c:v>
                </c:pt>
                <c:pt idx="3">
                  <c:v>7.4601242149408424</c:v>
                </c:pt>
                <c:pt idx="4">
                  <c:v>7.4601242149408424</c:v>
                </c:pt>
                <c:pt idx="5">
                  <c:v>#N/A</c:v>
                </c:pt>
                <c:pt idx="6">
                  <c:v>#N/A</c:v>
                </c:pt>
                <c:pt idx="7">
                  <c:v>#N/A</c:v>
                </c:pt>
                <c:pt idx="8">
                  <c:v>#N/A</c:v>
                </c:pt>
                <c:pt idx="9">
                  <c:v>#N/A</c:v>
                </c:pt>
              </c:numCache>
            </c:numRef>
          </c:val>
          <c:smooth val="0"/>
          <c:extLst>
            <c:ext xmlns:c16="http://schemas.microsoft.com/office/drawing/2014/chart" uri="{C3380CC4-5D6E-409C-BE32-E72D297353CC}">
              <c16:uniqueId val="{00000009-40BA-4D13-B865-125434CBF5C4}"/>
            </c:ext>
          </c:extLst>
        </c:ser>
        <c:ser>
          <c:idx val="6"/>
          <c:order val="4"/>
          <c:tx>
            <c:strRef>
              <c:f>Charts_Capex!$O$358</c:f>
              <c:strCache>
                <c:ptCount val="1"/>
                <c:pt idx="0">
                  <c:v>Avg: 20-24</c:v>
                </c:pt>
              </c:strCache>
            </c:strRef>
          </c:tx>
          <c:spPr>
            <a:ln w="28575" cap="rnd">
              <a:solidFill>
                <a:srgbClr val="EF7D17"/>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BA-4D13-B865-125434CBF5C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Charts_Capex!$P$10:$AE$10</c15:sqref>
                  </c15:fullRef>
                </c:ext>
              </c:extLst>
              <c:f>Charts_Capex!$V$10:$AE$10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Charts_Capex!$P$358:$AE$358</c15:sqref>
                  </c15:fullRef>
                </c:ext>
              </c:extLst>
              <c:f>Charts_Capex!$V$358:$AE$358</c:f>
              <c:numCache>
                <c:formatCode>_(#,##0.0_);\(#,##0.0\);_("-"_)</c:formatCode>
                <c:ptCount val="10"/>
                <c:pt idx="0">
                  <c:v>#N/A</c:v>
                </c:pt>
                <c:pt idx="1">
                  <c:v>#N/A</c:v>
                </c:pt>
                <c:pt idx="2">
                  <c:v>#N/A</c:v>
                </c:pt>
                <c:pt idx="3">
                  <c:v>#N/A</c:v>
                </c:pt>
                <c:pt idx="4">
                  <c:v>#N/A</c:v>
                </c:pt>
                <c:pt idx="5">
                  <c:v>13.372182202490455</c:v>
                </c:pt>
                <c:pt idx="6">
                  <c:v>13.372182202490455</c:v>
                </c:pt>
                <c:pt idx="7">
                  <c:v>13.372182202490455</c:v>
                </c:pt>
                <c:pt idx="8">
                  <c:v>13.372182202490455</c:v>
                </c:pt>
                <c:pt idx="9">
                  <c:v>13.372182202490455</c:v>
                </c:pt>
              </c:numCache>
            </c:numRef>
          </c:val>
          <c:smooth val="0"/>
          <c:extLst>
            <c:ext xmlns:c16="http://schemas.microsoft.com/office/drawing/2014/chart" uri="{C3380CC4-5D6E-409C-BE32-E72D297353CC}">
              <c16:uniqueId val="{0000000B-40BA-4D13-B865-125434CBF5C4}"/>
            </c:ext>
          </c:extLst>
        </c:ser>
        <c:dLbls>
          <c:showLegendKey val="0"/>
          <c:showVal val="0"/>
          <c:showCatName val="0"/>
          <c:showSerName val="0"/>
          <c:showPercent val="0"/>
          <c:showBubbleSize val="0"/>
        </c:dLbls>
        <c:marker val="1"/>
        <c:smooth val="0"/>
        <c:axId val="163853056"/>
        <c:axId val="163854592"/>
      </c:lineChart>
      <c:catAx>
        <c:axId val="1638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854592"/>
        <c:crosses val="autoZero"/>
        <c:auto val="1"/>
        <c:lblAlgn val="ctr"/>
        <c:lblOffset val="100"/>
        <c:noMultiLvlLbl val="0"/>
      </c:catAx>
      <c:valAx>
        <c:axId val="163854592"/>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Charts_Capex!$P$362</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853056"/>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Charts_Opex!$P$23</c:f>
          <c:strCache>
            <c:ptCount val="1"/>
            <c:pt idx="0">
              <c:v>Opex Summary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412742058"/>
          <c:y val="0.15406022845275183"/>
          <c:w val="0.84271235689660551"/>
          <c:h val="0.58332098731560988"/>
        </c:manualLayout>
      </c:layout>
      <c:barChart>
        <c:barDir val="col"/>
        <c:grouping val="stacked"/>
        <c:varyColors val="0"/>
        <c:ser>
          <c:idx val="0"/>
          <c:order val="0"/>
          <c:tx>
            <c:strRef>
              <c:f>Charts_Opex!$O$11</c:f>
              <c:strCache>
                <c:ptCount val="1"/>
                <c:pt idx="0">
                  <c:v>UC Allowance</c:v>
                </c:pt>
              </c:strCache>
            </c:strRef>
          </c:tx>
          <c:spPr>
            <a:solidFill>
              <a:srgbClr val="2A3D6F"/>
            </a:solidFill>
            <a:ln>
              <a:solidFill>
                <a:schemeClr val="bg1"/>
              </a:solidFill>
            </a:ln>
            <a:effectLst/>
          </c:spPr>
          <c:invertIfNegative val="0"/>
          <c:dPt>
            <c:idx val="3"/>
            <c:invertIfNegative val="0"/>
            <c:bubble3D val="0"/>
            <c:extLst>
              <c:ext xmlns:c16="http://schemas.microsoft.com/office/drawing/2014/chart" uri="{C3380CC4-5D6E-409C-BE32-E72D297353CC}">
                <c16:uniqueId val="{00000000-7889-4364-BB65-F889141D3815}"/>
              </c:ext>
            </c:extLst>
          </c:dPt>
          <c:dPt>
            <c:idx val="4"/>
            <c:invertIfNegative val="0"/>
            <c:bubble3D val="0"/>
            <c:extLst>
              <c:ext xmlns:c16="http://schemas.microsoft.com/office/drawing/2014/chart" uri="{C3380CC4-5D6E-409C-BE32-E72D297353CC}">
                <c16:uniqueId val="{00000001-7889-4364-BB65-F889141D3815}"/>
              </c:ext>
            </c:extLst>
          </c:dPt>
          <c:dLbls>
            <c:dLbl>
              <c:idx val="5"/>
              <c:delete val="1"/>
              <c:extLst>
                <c:ext xmlns:c15="http://schemas.microsoft.com/office/drawing/2012/chart" uri="{CE6537A1-D6FC-4f65-9D91-7224C49458BB}"/>
                <c:ext xmlns:c16="http://schemas.microsoft.com/office/drawing/2014/chart" uri="{C3380CC4-5D6E-409C-BE32-E72D297353CC}">
                  <c16:uniqueId val="{00000010-0DF8-4419-8196-0CE7638CE4F9}"/>
                </c:ext>
              </c:extLst>
            </c:dLbl>
            <c:dLbl>
              <c:idx val="6"/>
              <c:delete val="1"/>
              <c:extLst>
                <c:ext xmlns:c15="http://schemas.microsoft.com/office/drawing/2012/chart" uri="{CE6537A1-D6FC-4f65-9D91-7224C49458BB}"/>
                <c:ext xmlns:c16="http://schemas.microsoft.com/office/drawing/2014/chart" uri="{C3380CC4-5D6E-409C-BE32-E72D297353CC}">
                  <c16:uniqueId val="{00000011-0DF8-4419-8196-0CE7638CE4F9}"/>
                </c:ext>
              </c:extLst>
            </c:dLbl>
            <c:dLbl>
              <c:idx val="7"/>
              <c:delete val="1"/>
              <c:extLst>
                <c:ext xmlns:c15="http://schemas.microsoft.com/office/drawing/2012/chart" uri="{CE6537A1-D6FC-4f65-9D91-7224C49458BB}"/>
                <c:ext xmlns:c16="http://schemas.microsoft.com/office/drawing/2014/chart" uri="{C3380CC4-5D6E-409C-BE32-E72D297353CC}">
                  <c16:uniqueId val="{00000012-0DF8-4419-8196-0CE7638CE4F9}"/>
                </c:ext>
              </c:extLst>
            </c:dLbl>
            <c:dLbl>
              <c:idx val="8"/>
              <c:delete val="1"/>
              <c:extLst>
                <c:ext xmlns:c15="http://schemas.microsoft.com/office/drawing/2012/chart" uri="{CE6537A1-D6FC-4f65-9D91-7224C49458BB}"/>
                <c:ext xmlns:c16="http://schemas.microsoft.com/office/drawing/2014/chart" uri="{C3380CC4-5D6E-409C-BE32-E72D297353CC}">
                  <c16:uniqueId val="{00000013-0DF8-4419-8196-0CE7638CE4F9}"/>
                </c:ext>
              </c:extLst>
            </c:dLbl>
            <c:dLbl>
              <c:idx val="9"/>
              <c:delete val="1"/>
              <c:extLst>
                <c:ext xmlns:c15="http://schemas.microsoft.com/office/drawing/2012/chart" uri="{CE6537A1-D6FC-4f65-9D91-7224C49458BB}"/>
                <c:ext xmlns:c16="http://schemas.microsoft.com/office/drawing/2014/chart" uri="{C3380CC4-5D6E-409C-BE32-E72D297353CC}">
                  <c16:uniqueId val="{00000014-0DF8-4419-8196-0CE7638CE4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Charts_Opex!$P$11:$AE$11</c15:sqref>
                  </c15:fullRef>
                </c:ext>
              </c:extLst>
              <c:f>Charts_Opex!$V$11:$AE$11</c:f>
              <c:numCache>
                <c:formatCode>_(#,##0.0_);\(#,##0.0\);_("-"_)</c:formatCode>
                <c:ptCount val="10"/>
                <c:pt idx="0">
                  <c:v>95.350833969504919</c:v>
                </c:pt>
                <c:pt idx="1">
                  <c:v>90.445294346067769</c:v>
                </c:pt>
                <c:pt idx="2">
                  <c:v>88.226217060609386</c:v>
                </c:pt>
                <c:pt idx="3">
                  <c:v>82.696464625601081</c:v>
                </c:pt>
                <c:pt idx="4">
                  <c:v>76.954007647923589</c:v>
                </c:pt>
                <c:pt idx="5">
                  <c:v>#N/A</c:v>
                </c:pt>
                <c:pt idx="6">
                  <c:v>#N/A</c:v>
                </c:pt>
                <c:pt idx="7">
                  <c:v>#N/A</c:v>
                </c:pt>
                <c:pt idx="8">
                  <c:v>#N/A</c:v>
                </c:pt>
                <c:pt idx="9">
                  <c:v>#N/A</c:v>
                </c:pt>
              </c:numCache>
            </c:numRef>
          </c:val>
          <c:extLst>
            <c:ext xmlns:c16="http://schemas.microsoft.com/office/drawing/2014/chart" uri="{C3380CC4-5D6E-409C-BE32-E72D297353CC}">
              <c16:uniqueId val="{00000004-0DF8-4419-8196-0CE7638CE4F9}"/>
            </c:ext>
          </c:extLst>
        </c:ser>
        <c:ser>
          <c:idx val="3"/>
          <c:order val="2"/>
          <c:tx>
            <c:strRef>
              <c:f>Charts_Opex!$O$15</c:f>
              <c:strCache>
                <c:ptCount val="1"/>
                <c:pt idx="0">
                  <c:v>Forecast</c:v>
                </c:pt>
              </c:strCache>
            </c:strRef>
          </c:tx>
          <c:spPr>
            <a:solidFill>
              <a:srgbClr val="75842F"/>
            </a:solidFill>
            <a:ln>
              <a:solidFill>
                <a:schemeClr val="bg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Charts_Opex!$P$15:$AE$15</c15:sqref>
                  </c15:fullRef>
                </c:ext>
              </c:extLst>
              <c:f>Charts_Opex!$V$15:$AE$15</c:f>
              <c:numCache>
                <c:formatCode>_(#,##0.0_);\(#,##0.0\);_("-"_)</c:formatCode>
                <c:ptCount val="10"/>
                <c:pt idx="0">
                  <c:v>#N/A</c:v>
                </c:pt>
                <c:pt idx="1">
                  <c:v>#N/A</c:v>
                </c:pt>
                <c:pt idx="2">
                  <c:v>#N/A</c:v>
                </c:pt>
                <c:pt idx="3">
                  <c:v>#N/A</c:v>
                </c:pt>
                <c:pt idx="4">
                  <c:v>#N/A</c:v>
                </c:pt>
                <c:pt idx="5">
                  <c:v>66.841854924783405</c:v>
                </c:pt>
                <c:pt idx="6">
                  <c:v>69.398804495933732</c:v>
                </c:pt>
                <c:pt idx="7">
                  <c:v>72.149668771693555</c:v>
                </c:pt>
                <c:pt idx="8">
                  <c:v>74.8006155714111</c:v>
                </c:pt>
                <c:pt idx="9">
                  <c:v>77.431747658745905</c:v>
                </c:pt>
              </c:numCache>
            </c:numRef>
          </c:val>
          <c:extLst>
            <c:ext xmlns:c16="http://schemas.microsoft.com/office/drawing/2014/chart" uri="{C3380CC4-5D6E-409C-BE32-E72D297353CC}">
              <c16:uniqueId val="{00000005-0DF8-4419-8196-0CE7638CE4F9}"/>
            </c:ext>
          </c:extLst>
        </c:ser>
        <c:dLbls>
          <c:showLegendKey val="0"/>
          <c:showVal val="0"/>
          <c:showCatName val="0"/>
          <c:showSerName val="0"/>
          <c:showPercent val="0"/>
          <c:showBubbleSize val="0"/>
        </c:dLbls>
        <c:gapWidth val="20"/>
        <c:overlap val="100"/>
        <c:axId val="164253056"/>
        <c:axId val="164254848"/>
      </c:barChart>
      <c:lineChart>
        <c:grouping val="standard"/>
        <c:varyColors val="0"/>
        <c:ser>
          <c:idx val="1"/>
          <c:order val="1"/>
          <c:tx>
            <c:strRef>
              <c:f>Charts_Opex!$O$12</c:f>
              <c:strCache>
                <c:ptCount val="1"/>
                <c:pt idx="0">
                  <c:v>UC/MD Allowance</c:v>
                </c:pt>
              </c:strCache>
            </c:strRef>
          </c:tx>
          <c:spPr>
            <a:ln w="28575" cap="rnd">
              <a:solidFill>
                <a:srgbClr val="FFD339"/>
              </a:solid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F8-4419-8196-0CE7638CE4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Charts_Opex!$P$12:$AE$12</c15:sqref>
                  </c15:fullRef>
                </c:ext>
              </c:extLst>
              <c:f>Charts_Opex!$V$12:$AE$12</c:f>
              <c:numCache>
                <c:formatCode>_(#,##0.0_);\(#,##0.0\);_("-"_)</c:formatCode>
                <c:ptCount val="10"/>
                <c:pt idx="0">
                  <c:v>95.350833969504919</c:v>
                </c:pt>
                <c:pt idx="1">
                  <c:v>90.445294346067769</c:v>
                </c:pt>
                <c:pt idx="2">
                  <c:v>88.226217060609386</c:v>
                </c:pt>
                <c:pt idx="3">
                  <c:v>82.696464625601081</c:v>
                </c:pt>
                <c:pt idx="4">
                  <c:v>76.954007647923589</c:v>
                </c:pt>
                <c:pt idx="5">
                  <c:v>#N/A</c:v>
                </c:pt>
                <c:pt idx="6">
                  <c:v>#N/A</c:v>
                </c:pt>
                <c:pt idx="7">
                  <c:v>#N/A</c:v>
                </c:pt>
                <c:pt idx="8">
                  <c:v>#N/A</c:v>
                </c:pt>
                <c:pt idx="9">
                  <c:v>#N/A</c:v>
                </c:pt>
              </c:numCache>
            </c:numRef>
          </c:val>
          <c:smooth val="0"/>
          <c:extLst>
            <c:ext xmlns:c16="http://schemas.microsoft.com/office/drawing/2014/chart" uri="{C3380CC4-5D6E-409C-BE32-E72D297353CC}">
              <c16:uniqueId val="{00000006-0DF8-4419-8196-0CE7638CE4F9}"/>
            </c:ext>
          </c:extLst>
        </c:ser>
        <c:ser>
          <c:idx val="7"/>
          <c:order val="6"/>
          <c:tx>
            <c:strRef>
              <c:f>Charts_Opex!$O$14</c:f>
              <c:strCache>
                <c:ptCount val="1"/>
                <c:pt idx="0">
                  <c:v>Actuals</c:v>
                </c:pt>
              </c:strCache>
            </c:strRef>
          </c:tx>
          <c:spPr>
            <a:ln w="28575" cap="rnd">
              <a:solidFill>
                <a:srgbClr val="C72D2C"/>
              </a:solidFill>
              <a:round/>
            </a:ln>
            <a:effectLst/>
          </c:spPr>
          <c:marker>
            <c:symbol val="none"/>
          </c:marker>
          <c:cat>
            <c:strLit>
              <c:ptCount val="10"/>
              <c:pt idx="0">
                <c:v>RY15</c:v>
              </c:pt>
              <c:pt idx="1">
                <c:v>RY16</c:v>
              </c:pt>
              <c:pt idx="2">
                <c:v>RY17</c:v>
              </c:pt>
              <c:pt idx="3">
                <c:v>RY18</c:v>
              </c:pt>
              <c:pt idx="4">
                <c:v>RY19</c:v>
              </c:pt>
              <c:pt idx="5">
                <c:v>RY20</c:v>
              </c:pt>
              <c:pt idx="6">
                <c:v>RY21</c:v>
              </c:pt>
              <c:pt idx="7">
                <c:v>RY22</c:v>
              </c:pt>
              <c:pt idx="8">
                <c:v>RY23</c:v>
              </c:pt>
              <c:pt idx="9">
                <c:v>RY24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Charts_Opex!$P$14:$AE$14</c15:sqref>
                  </c15:fullRef>
                </c:ext>
              </c:extLst>
              <c:f>Charts_Opex!$V$14:$AE$14</c:f>
              <c:numCache>
                <c:formatCode>_(#,##0.0_);\(#,##0.0\);_("-"_)</c:formatCode>
                <c:ptCount val="10"/>
                <c:pt idx="0">
                  <c:v>74.701954909066416</c:v>
                </c:pt>
                <c:pt idx="1">
                  <c:v>80.391768098743199</c:v>
                </c:pt>
                <c:pt idx="2">
                  <c:v>67.344648789569973</c:v>
                </c:pt>
                <c:pt idx="3">
                  <c:v>73.39540570234206</c:v>
                </c:pt>
                <c:pt idx="4">
                  <c:v>74.955001926459616</c:v>
                </c:pt>
                <c:pt idx="5">
                  <c:v>#N/A</c:v>
                </c:pt>
                <c:pt idx="6">
                  <c:v>#N/A</c:v>
                </c:pt>
                <c:pt idx="7">
                  <c:v>#N/A</c:v>
                </c:pt>
                <c:pt idx="8">
                  <c:v>#N/A</c:v>
                </c:pt>
                <c:pt idx="9">
                  <c:v>#N/A</c:v>
                </c:pt>
              </c:numCache>
            </c:numRef>
          </c:val>
          <c:smooth val="0"/>
          <c:extLst>
            <c:ext xmlns:c16="http://schemas.microsoft.com/office/drawing/2014/chart" uri="{C3380CC4-5D6E-409C-BE32-E72D297353CC}">
              <c16:uniqueId val="{00000005-4EBA-4FBF-8E83-C55C7723B262}"/>
            </c:ext>
          </c:extLst>
        </c:ser>
        <c:dLbls>
          <c:showLegendKey val="0"/>
          <c:showVal val="0"/>
          <c:showCatName val="0"/>
          <c:showSerName val="0"/>
          <c:showPercent val="0"/>
          <c:showBubbleSize val="0"/>
        </c:dLbls>
        <c:marker val="1"/>
        <c:smooth val="0"/>
        <c:axId val="164253056"/>
        <c:axId val="164254848"/>
        <c:extLst>
          <c:ext xmlns:c15="http://schemas.microsoft.com/office/drawing/2012/chart" uri="{02D57815-91ED-43cb-92C2-25804820EDAC}">
            <c15:filteredLineSeries>
              <c15:ser>
                <c:idx val="4"/>
                <c:order val="3"/>
                <c:tx>
                  <c:strRef>
                    <c:extLst>
                      <c:ext uri="{02D57815-91ED-43cb-92C2-25804820EDAC}">
                        <c15:formulaRef>
                          <c15:sqref>Charts_Opex!$O$16</c15:sqref>
                        </c15:formulaRef>
                      </c:ext>
                    </c:extLst>
                    <c:strCache>
                      <c:ptCount val="1"/>
                      <c:pt idx="0">
                        <c:v>Avg: 10-14</c:v>
                      </c:pt>
                    </c:strCache>
                  </c:strRef>
                </c:tx>
                <c:spPr>
                  <a:ln w="28575" cap="rnd">
                    <a:solidFill>
                      <a:schemeClr val="tx1"/>
                    </a:solidFill>
                    <a:prstDash val="sysDash"/>
                    <a:round/>
                  </a:ln>
                  <a:effectLst/>
                </c:spPr>
                <c:marker>
                  <c:symbol val="none"/>
                </c:marker>
                <c:cat>
                  <c:strRef>
                    <c:extLst>
                      <c:ex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uri="{02D57815-91ED-43cb-92C2-25804820EDAC}">
                        <c15:fullRef>
                          <c15:sqref>Charts_Opex!$P$16:$AE$16</c15:sqref>
                        </c15:fullRef>
                        <c15:formulaRef>
                          <c15:sqref>Charts_Opex!$V$16:$AE$16</c15:sqref>
                        </c15:formulaRef>
                      </c:ext>
                    </c:extLst>
                    <c:numCache>
                      <c:formatCode>_(#,##0.0_);\(#,##0.0\);_("-"_)</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C-0DF8-4419-8196-0CE7638CE4F9}"/>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Charts_Opex!$O$17</c15:sqref>
                        </c15:formulaRef>
                      </c:ext>
                    </c:extLst>
                    <c:strCache>
                      <c:ptCount val="1"/>
                      <c:pt idx="0">
                        <c:v>Avg: 15-19</c:v>
                      </c:pt>
                    </c:strCache>
                  </c:strRef>
                </c:tx>
                <c:spPr>
                  <a:ln w="28575" cap="rnd">
                    <a:solidFill>
                      <a:srgbClr val="C0504D"/>
                    </a:solidFill>
                    <a:prstDash val="sysDash"/>
                    <a:round/>
                  </a:ln>
                  <a:effectLst/>
                </c:spPr>
                <c:marker>
                  <c:symbol val="none"/>
                </c:marker>
                <c:dLbls>
                  <c:dLbl>
                    <c:idx val="0"/>
                    <c:dLblPos val="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F8-4419-8196-0CE7638CE4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Charts_Opex!$P$17:$AE$17</c15:sqref>
                        </c15:fullRef>
                        <c15:formulaRef>
                          <c15:sqref>Charts_Opex!$V$17:$AE$17</c15:sqref>
                        </c15:formulaRef>
                      </c:ext>
                    </c:extLst>
                    <c:numCache>
                      <c:formatCode>_(#,##0.0_);\(#,##0.0\);_("-"_)</c:formatCode>
                      <c:ptCount val="10"/>
                      <c:pt idx="0">
                        <c:v>86.734563529941354</c:v>
                      </c:pt>
                      <c:pt idx="1">
                        <c:v>86.734563529941354</c:v>
                      </c:pt>
                      <c:pt idx="2">
                        <c:v>86.734563529941354</c:v>
                      </c:pt>
                      <c:pt idx="3">
                        <c:v>86.734563529941354</c:v>
                      </c:pt>
                      <c:pt idx="4">
                        <c:v>86.734563529941354</c:v>
                      </c:pt>
                      <c:pt idx="5">
                        <c:v>#N/A</c:v>
                      </c:pt>
                      <c:pt idx="6">
                        <c:v>#N/A</c:v>
                      </c:pt>
                      <c:pt idx="7">
                        <c:v>#N/A</c:v>
                      </c:pt>
                      <c:pt idx="8">
                        <c:v>#N/A</c:v>
                      </c:pt>
                      <c:pt idx="9">
                        <c:v>#N/A</c:v>
                      </c:pt>
                    </c:numCache>
                  </c:numRef>
                </c:val>
                <c:smooth val="0"/>
                <c:extLst xmlns:c15="http://schemas.microsoft.com/office/drawing/2012/chart">
                  <c:ext xmlns:c16="http://schemas.microsoft.com/office/drawing/2014/chart" uri="{C3380CC4-5D6E-409C-BE32-E72D297353CC}">
                    <c16:uniqueId val="{00000009-0DF8-4419-8196-0CE7638CE4F9}"/>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Charts_Opex!$O$18</c15:sqref>
                        </c15:formulaRef>
                      </c:ext>
                    </c:extLst>
                    <c:strCache>
                      <c:ptCount val="1"/>
                      <c:pt idx="0">
                        <c:v>Avg: 20-24</c:v>
                      </c:pt>
                    </c:strCache>
                  </c:strRef>
                </c:tx>
                <c:spPr>
                  <a:ln w="28575" cap="rnd">
                    <a:solidFill>
                      <a:srgbClr val="F79646"/>
                    </a:solidFill>
                    <a:prstDash val="sysDash"/>
                    <a:round/>
                  </a:ln>
                  <a:effectLst/>
                </c:spPr>
                <c:marker>
                  <c:symbol val="none"/>
                </c:marker>
                <c:dLbls>
                  <c:dLbl>
                    <c:idx val="6"/>
                    <c:layout>
                      <c:manualLayout>
                        <c:x val="-3.5732587933845796E-2"/>
                        <c:y val="-3.287851213720240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F8-4419-8196-0CE7638CE4F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Charts_Opex!$P$18:$AE$18</c15:sqref>
                        </c15:fullRef>
                        <c15:formulaRef>
                          <c15:sqref>Charts_Opex!$V$18:$AE$18</c15:sqref>
                        </c15:formulaRef>
                      </c:ext>
                    </c:extLst>
                    <c:numCache>
                      <c:formatCode>_(#,##0.0_);\(#,##0.0\);_("-"_)</c:formatCode>
                      <c:ptCount val="10"/>
                      <c:pt idx="0">
                        <c:v>#N/A</c:v>
                      </c:pt>
                      <c:pt idx="1">
                        <c:v>#N/A</c:v>
                      </c:pt>
                      <c:pt idx="2">
                        <c:v>#N/A</c:v>
                      </c:pt>
                      <c:pt idx="3">
                        <c:v>#N/A</c:v>
                      </c:pt>
                      <c:pt idx="4">
                        <c:v>#N/A</c:v>
                      </c:pt>
                      <c:pt idx="5">
                        <c:v>72.124538284513534</c:v>
                      </c:pt>
                      <c:pt idx="6">
                        <c:v>72.124538284513534</c:v>
                      </c:pt>
                      <c:pt idx="7">
                        <c:v>72.124538284513534</c:v>
                      </c:pt>
                      <c:pt idx="8">
                        <c:v>72.124538284513534</c:v>
                      </c:pt>
                      <c:pt idx="9">
                        <c:v>72.124538284513534</c:v>
                      </c:pt>
                    </c:numCache>
                  </c:numRef>
                </c:val>
                <c:smooth val="0"/>
                <c:extLst xmlns:c15="http://schemas.microsoft.com/office/drawing/2012/chart">
                  <c:ext xmlns:c16="http://schemas.microsoft.com/office/drawing/2014/chart" uri="{C3380CC4-5D6E-409C-BE32-E72D297353CC}">
                    <c16:uniqueId val="{0000000B-0DF8-4419-8196-0CE7638CE4F9}"/>
                  </c:ext>
                </c:extLst>
              </c15:ser>
            </c15:filteredLineSeries>
          </c:ext>
        </c:extLst>
      </c:lineChart>
      <c:catAx>
        <c:axId val="16425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254848"/>
        <c:crosses val="autoZero"/>
        <c:auto val="1"/>
        <c:lblAlgn val="ctr"/>
        <c:lblOffset val="100"/>
        <c:noMultiLvlLbl val="0"/>
      </c:catAx>
      <c:valAx>
        <c:axId val="16425484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Charts_Opex!$P$22</c:f>
              <c:strCache>
                <c:ptCount val="1"/>
                <c:pt idx="0">
                  <c:v>$Millions</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253056"/>
        <c:crosses val="autoZero"/>
        <c:crossBetween val="between"/>
      </c:valAx>
      <c:spPr>
        <a:noFill/>
        <a:ln>
          <a:noFill/>
        </a:ln>
        <a:effectLst/>
      </c:spPr>
    </c:plotArea>
    <c:legend>
      <c:legendPos val="b"/>
      <c:layout>
        <c:manualLayout>
          <c:xMode val="edge"/>
          <c:yMode val="edge"/>
          <c:x val="0.12920575703718376"/>
          <c:y val="0.89096475090146443"/>
          <c:w val="0.87079417689067939"/>
          <c:h val="7.045290209091910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Charts_Opex!$P$48</c:f>
          <c:strCache>
            <c:ptCount val="1"/>
            <c:pt idx="0">
              <c:v>Opex Summary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3"/>
          <c:order val="2"/>
          <c:tx>
            <c:strRef>
              <c:f>Charts_Opex!$O$40</c:f>
              <c:strCache>
                <c:ptCount val="1"/>
                <c:pt idx="0">
                  <c:v>Forecast</c:v>
                </c:pt>
              </c:strCache>
            </c:strRef>
          </c:tx>
          <c:spPr>
            <a:solidFill>
              <a:srgbClr val="75842F"/>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5188-463B-8078-BE12F68B0CB4}"/>
                </c:ext>
              </c:extLst>
            </c:dLbl>
            <c:dLbl>
              <c:idx val="1"/>
              <c:delete val="1"/>
              <c:extLst>
                <c:ext xmlns:c15="http://schemas.microsoft.com/office/drawing/2012/chart" uri="{CE6537A1-D6FC-4f65-9D91-7224C49458BB}"/>
                <c:ext xmlns:c16="http://schemas.microsoft.com/office/drawing/2014/chart" uri="{C3380CC4-5D6E-409C-BE32-E72D297353CC}">
                  <c16:uniqueId val="{00000009-5188-463B-8078-BE12F68B0CB4}"/>
                </c:ext>
              </c:extLst>
            </c:dLbl>
            <c:dLbl>
              <c:idx val="2"/>
              <c:delete val="1"/>
              <c:extLst>
                <c:ext xmlns:c15="http://schemas.microsoft.com/office/drawing/2012/chart" uri="{CE6537A1-D6FC-4f65-9D91-7224C49458BB}"/>
                <c:ext xmlns:c16="http://schemas.microsoft.com/office/drawing/2014/chart" uri="{C3380CC4-5D6E-409C-BE32-E72D297353CC}">
                  <c16:uniqueId val="{00000008-5188-463B-8078-BE12F68B0CB4}"/>
                </c:ext>
              </c:extLst>
            </c:dLbl>
            <c:dLbl>
              <c:idx val="3"/>
              <c:delete val="1"/>
              <c:extLst>
                <c:ext xmlns:c15="http://schemas.microsoft.com/office/drawing/2012/chart" uri="{CE6537A1-D6FC-4f65-9D91-7224C49458BB}"/>
                <c:ext xmlns:c16="http://schemas.microsoft.com/office/drawing/2014/chart" uri="{C3380CC4-5D6E-409C-BE32-E72D297353CC}">
                  <c16:uniqueId val="{00000007-5188-463B-8078-BE12F68B0CB4}"/>
                </c:ext>
              </c:extLst>
            </c:dLbl>
            <c:dLbl>
              <c:idx val="4"/>
              <c:delete val="1"/>
              <c:extLst>
                <c:ext xmlns:c15="http://schemas.microsoft.com/office/drawing/2012/chart" uri="{CE6537A1-D6FC-4f65-9D91-7224C49458BB}"/>
                <c:ext xmlns:c16="http://schemas.microsoft.com/office/drawing/2014/chart" uri="{C3380CC4-5D6E-409C-BE32-E72D297353CC}">
                  <c16:uniqueId val="{00000006-5188-463B-8078-BE12F68B0CB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Charts_Opex!$P$40:$AE$40</c15:sqref>
                  </c15:fullRef>
                </c:ext>
              </c:extLst>
              <c:f>Charts_Opex!$V$40:$AE$40</c:f>
              <c:numCache>
                <c:formatCode>_(#,##0.0_);\(#,##0.0\);_("-"_)</c:formatCode>
                <c:ptCount val="10"/>
                <c:pt idx="0">
                  <c:v>#N/A</c:v>
                </c:pt>
                <c:pt idx="1">
                  <c:v>#N/A</c:v>
                </c:pt>
                <c:pt idx="2">
                  <c:v>#N/A</c:v>
                </c:pt>
                <c:pt idx="3">
                  <c:v>#N/A</c:v>
                </c:pt>
                <c:pt idx="4">
                  <c:v>#N/A</c:v>
                </c:pt>
                <c:pt idx="5">
                  <c:v>66.045886352030877</c:v>
                </c:pt>
                <c:pt idx="6">
                  <c:v>66.948958828524951</c:v>
                </c:pt>
                <c:pt idx="7">
                  <c:v>67.954893904293939</c:v>
                </c:pt>
                <c:pt idx="8">
                  <c:v>68.783794117626343</c:v>
                </c:pt>
                <c:pt idx="9">
                  <c:v>69.517568954487444</c:v>
                </c:pt>
              </c:numCache>
            </c:numRef>
          </c:val>
          <c:extLst>
            <c:ext xmlns:c16="http://schemas.microsoft.com/office/drawing/2014/chart" uri="{C3380CC4-5D6E-409C-BE32-E72D297353CC}">
              <c16:uniqueId val="{00000005-8617-4132-807E-BEF8C0266B40}"/>
            </c:ext>
          </c:extLst>
        </c:ser>
        <c:ser>
          <c:idx val="7"/>
          <c:order val="6"/>
          <c:tx>
            <c:strRef>
              <c:f>Charts_Opex!$O$39</c:f>
              <c:strCache>
                <c:ptCount val="1"/>
                <c:pt idx="0">
                  <c:v>Actuals</c:v>
                </c:pt>
              </c:strCache>
            </c:strRef>
          </c:tx>
          <c:spPr>
            <a:solidFill>
              <a:srgbClr val="2A3D6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RY15</c:v>
              </c:pt>
              <c:pt idx="1">
                <c:v>RY16</c:v>
              </c:pt>
              <c:pt idx="2">
                <c:v>RY17</c:v>
              </c:pt>
              <c:pt idx="3">
                <c:v>RY18</c:v>
              </c:pt>
              <c:pt idx="4">
                <c:v>RY19</c:v>
              </c:pt>
              <c:pt idx="5">
                <c:v>RY20</c:v>
              </c:pt>
              <c:pt idx="6">
                <c:v>RY21</c:v>
              </c:pt>
              <c:pt idx="7">
                <c:v>RY22</c:v>
              </c:pt>
              <c:pt idx="8">
                <c:v>RY23</c:v>
              </c:pt>
              <c:pt idx="9">
                <c:v>RY24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Charts_Opex!$P$39:$AE$39</c15:sqref>
                  </c15:fullRef>
                </c:ext>
              </c:extLst>
              <c:f>Charts_Opex!$V$39:$AE$39</c:f>
              <c:numCache>
                <c:formatCode>_(#,##0.0_);\(#,##0.0\);_("-"_)</c:formatCode>
                <c:ptCount val="10"/>
                <c:pt idx="0">
                  <c:v>80.833403341474423</c:v>
                </c:pt>
                <c:pt idx="1">
                  <c:v>85.9020533380328</c:v>
                </c:pt>
                <c:pt idx="2">
                  <c:v>70.912937930713994</c:v>
                </c:pt>
                <c:pt idx="3">
                  <c:v>75.793555074662947</c:v>
                </c:pt>
                <c:pt idx="4">
                  <c:v>75.793555074662947</c:v>
                </c:pt>
                <c:pt idx="5">
                  <c:v>#N/A</c:v>
                </c:pt>
                <c:pt idx="6">
                  <c:v>#N/A</c:v>
                </c:pt>
                <c:pt idx="7">
                  <c:v>#N/A</c:v>
                </c:pt>
                <c:pt idx="8">
                  <c:v>#N/A</c:v>
                </c:pt>
                <c:pt idx="9">
                  <c:v>#N/A</c:v>
                </c:pt>
              </c:numCache>
            </c:numRef>
          </c:val>
          <c:extLst>
            <c:ext xmlns:c16="http://schemas.microsoft.com/office/drawing/2014/chart" uri="{C3380CC4-5D6E-409C-BE32-E72D297353CC}">
              <c16:uniqueId val="{00000005-A8BF-4A99-846D-64BD7A894684}"/>
            </c:ext>
          </c:extLst>
        </c:ser>
        <c:ser>
          <c:idx val="8"/>
          <c:order val="7"/>
          <c:tx>
            <c:strRef>
              <c:f>Charts_Opex!$O$53</c:f>
              <c:strCache>
                <c:ptCount val="1"/>
                <c:pt idx="0">
                  <c:v>Capitalised overheads</c:v>
                </c:pt>
              </c:strCache>
            </c:strRef>
          </c:tx>
          <c:spPr>
            <a:solidFill>
              <a:srgbClr val="007143">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Charts_Opex!$P$53:$AE$53</c15:sqref>
                  </c15:fullRef>
                </c:ext>
              </c:extLst>
              <c:f>Charts_Opex!$V$53:$AE$53</c:f>
              <c:numCache>
                <c:formatCode>_(#,##0.0_);\(#,##0.0\);_("-"_)</c:formatCode>
                <c:ptCount val="10"/>
                <c:pt idx="0">
                  <c:v>#N/A</c:v>
                </c:pt>
                <c:pt idx="1">
                  <c:v>#N/A</c:v>
                </c:pt>
                <c:pt idx="2">
                  <c:v>12.694556865798416</c:v>
                </c:pt>
                <c:pt idx="3">
                  <c:v>12.694556865798416</c:v>
                </c:pt>
                <c:pt idx="4">
                  <c:v>12.857796817934315</c:v>
                </c:pt>
                <c:pt idx="5">
                  <c:v>13.012869520178294</c:v>
                </c:pt>
                <c:pt idx="6">
                  <c:v>13.191144558700126</c:v>
                </c:pt>
                <c:pt idx="7">
                  <c:v>13.393456838449177</c:v>
                </c:pt>
                <c:pt idx="8">
                  <c:v>13.557488562506315</c:v>
                </c:pt>
                <c:pt idx="9">
                  <c:v>13.705951532618363</c:v>
                </c:pt>
              </c:numCache>
            </c:numRef>
          </c:val>
          <c:extLst>
            <c:ext xmlns:c16="http://schemas.microsoft.com/office/drawing/2014/chart" uri="{C3380CC4-5D6E-409C-BE32-E72D297353CC}">
              <c16:uniqueId val="{00000005-5188-463B-8078-BE12F68B0CB4}"/>
            </c:ext>
          </c:extLst>
        </c:ser>
        <c:dLbls>
          <c:showLegendKey val="0"/>
          <c:showVal val="0"/>
          <c:showCatName val="0"/>
          <c:showSerName val="0"/>
          <c:showPercent val="0"/>
          <c:showBubbleSize val="0"/>
        </c:dLbls>
        <c:gapWidth val="20"/>
        <c:overlap val="100"/>
        <c:axId val="164419072"/>
        <c:axId val="164420608"/>
      </c:barChart>
      <c:lineChart>
        <c:grouping val="standard"/>
        <c:varyColors val="0"/>
        <c:ser>
          <c:idx val="1"/>
          <c:order val="1"/>
          <c:tx>
            <c:strRef>
              <c:f>Charts_Opex!$O$37</c:f>
              <c:strCache>
                <c:ptCount val="1"/>
                <c:pt idx="0">
                  <c:v>UC/MD Allowance</c:v>
                </c:pt>
              </c:strCache>
            </c:strRef>
          </c:tx>
          <c:spPr>
            <a:ln w="28575" cap="rnd">
              <a:solidFill>
                <a:srgbClr val="FFD339"/>
              </a:solidFill>
              <a:round/>
            </a:ln>
            <a:effectLst/>
          </c:spPr>
          <c:marker>
            <c:symbol val="none"/>
          </c:marker>
          <c:dLbls>
            <c:dLbl>
              <c:idx val="2"/>
              <c:layout>
                <c:manualLayout>
                  <c:x val="-4.5419460566044803E-2"/>
                  <c:y val="-3.7552834225831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88-463B-8078-BE12F68B0CB4}"/>
                </c:ext>
              </c:extLst>
            </c:dLbl>
            <c:dLbl>
              <c:idx val="3"/>
              <c:layout>
                <c:manualLayout>
                  <c:x val="-3.6099072786540919E-2"/>
                  <c:y val="-4.1508879140335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88-463B-8078-BE12F68B0C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Charts_Opex!$P$37:$AE$37</c15:sqref>
                  </c15:fullRef>
                </c:ext>
              </c:extLst>
              <c:f>Charts_Opex!$V$37:$AE$37</c:f>
              <c:numCache>
                <c:formatCode>_(#,##0.0_);\(#,##0.0\);_("-"_)</c:formatCode>
                <c:ptCount val="10"/>
                <c:pt idx="0">
                  <c:v>103.17711806317809</c:v>
                </c:pt>
                <c:pt idx="1">
                  <c:v>96.644677469302408</c:v>
                </c:pt>
                <c:pt idx="2">
                  <c:v>92.900926305664427</c:v>
                </c:pt>
                <c:pt idx="3">
                  <c:v>85.398520331094829</c:v>
                </c:pt>
                <c:pt idx="4">
                  <c:v>77.814924514330201</c:v>
                </c:pt>
                <c:pt idx="5">
                  <c:v>#N/A</c:v>
                </c:pt>
                <c:pt idx="6">
                  <c:v>#N/A</c:v>
                </c:pt>
                <c:pt idx="7">
                  <c:v>#N/A</c:v>
                </c:pt>
                <c:pt idx="8">
                  <c:v>#N/A</c:v>
                </c:pt>
                <c:pt idx="9">
                  <c:v>#N/A</c:v>
                </c:pt>
              </c:numCache>
            </c:numRef>
          </c:val>
          <c:smooth val="0"/>
          <c:extLst>
            <c:ext xmlns:c16="http://schemas.microsoft.com/office/drawing/2014/chart" uri="{C3380CC4-5D6E-409C-BE32-E72D297353CC}">
              <c16:uniqueId val="{00000006-8617-4132-807E-BEF8C0266B40}"/>
            </c:ext>
          </c:extLst>
        </c:ser>
        <c:dLbls>
          <c:showLegendKey val="0"/>
          <c:showVal val="0"/>
          <c:showCatName val="0"/>
          <c:showSerName val="0"/>
          <c:showPercent val="0"/>
          <c:showBubbleSize val="0"/>
        </c:dLbls>
        <c:marker val="1"/>
        <c:smooth val="0"/>
        <c:axId val="164419072"/>
        <c:axId val="164420608"/>
        <c:extLst>
          <c:ext xmlns:c15="http://schemas.microsoft.com/office/drawing/2012/chart" uri="{02D57815-91ED-43cb-92C2-25804820EDAC}">
            <c15:filteredLineSeries>
              <c15:ser>
                <c:idx val="0"/>
                <c:order val="0"/>
                <c:tx>
                  <c:strRef>
                    <c:extLst>
                      <c:ext uri="{02D57815-91ED-43cb-92C2-25804820EDAC}">
                        <c15:formulaRef>
                          <c15:sqref>Charts_Opex!$O$36</c15:sqref>
                        </c15:formulaRef>
                      </c:ext>
                    </c:extLst>
                    <c:strCache>
                      <c:ptCount val="1"/>
                      <c:pt idx="0">
                        <c:v>UC Allowance</c:v>
                      </c:pt>
                    </c:strCache>
                  </c:strRef>
                </c:tx>
                <c:spPr>
                  <a:ln w="28575" cap="rnd">
                    <a:solidFill>
                      <a:schemeClr val="bg1"/>
                    </a:solidFill>
                    <a:round/>
                  </a:ln>
                  <a:effectLst/>
                </c:spPr>
                <c:marker>
                  <c:symbol val="none"/>
                </c:marker>
                <c:dPt>
                  <c:idx val="3"/>
                  <c:marker>
                    <c:symbol val="none"/>
                  </c:marker>
                  <c:bubble3D val="0"/>
                  <c:spPr>
                    <a:ln w="28575" cap="rnd">
                      <a:solidFill>
                        <a:schemeClr val="bg1"/>
                      </a:solidFill>
                      <a:round/>
                    </a:ln>
                    <a:effectLst/>
                  </c:spPr>
                  <c:extLst>
                    <c:ext xmlns:c16="http://schemas.microsoft.com/office/drawing/2014/chart" uri="{C3380CC4-5D6E-409C-BE32-E72D297353CC}">
                      <c16:uniqueId val="{00000001-D363-40EF-8666-2C39A2534B85}"/>
                    </c:ext>
                  </c:extLst>
                </c:dPt>
                <c:dPt>
                  <c:idx val="4"/>
                  <c:marker>
                    <c:symbol val="none"/>
                  </c:marker>
                  <c:bubble3D val="0"/>
                  <c:spPr>
                    <a:ln w="28575" cap="rnd">
                      <a:solidFill>
                        <a:schemeClr val="bg1"/>
                      </a:solidFill>
                      <a:round/>
                    </a:ln>
                    <a:effectLst/>
                  </c:spPr>
                  <c:extLst>
                    <c:ext xmlns:c16="http://schemas.microsoft.com/office/drawing/2014/chart" uri="{C3380CC4-5D6E-409C-BE32-E72D297353CC}">
                      <c16:uniqueId val="{00000003-D363-40EF-8666-2C39A2534B85}"/>
                    </c:ext>
                  </c:extLst>
                </c:dPt>
                <c:dLbls>
                  <c:dLbl>
                    <c:idx val="5"/>
                    <c:delete val="1"/>
                    <c:extLst>
                      <c:ext uri="{CE6537A1-D6FC-4f65-9D91-7224C49458BB}"/>
                      <c:ext xmlns:c16="http://schemas.microsoft.com/office/drawing/2014/chart" uri="{C3380CC4-5D6E-409C-BE32-E72D297353CC}">
                        <c16:uniqueId val="{00000014-8617-4132-807E-BEF8C0266B40}"/>
                      </c:ext>
                    </c:extLst>
                  </c:dLbl>
                  <c:dLbl>
                    <c:idx val="6"/>
                    <c:delete val="1"/>
                    <c:extLst>
                      <c:ext uri="{CE6537A1-D6FC-4f65-9D91-7224C49458BB}"/>
                      <c:ext xmlns:c16="http://schemas.microsoft.com/office/drawing/2014/chart" uri="{C3380CC4-5D6E-409C-BE32-E72D297353CC}">
                        <c16:uniqueId val="{00000015-8617-4132-807E-BEF8C0266B40}"/>
                      </c:ext>
                    </c:extLst>
                  </c:dLbl>
                  <c:dLbl>
                    <c:idx val="7"/>
                    <c:delete val="1"/>
                    <c:extLst>
                      <c:ext uri="{CE6537A1-D6FC-4f65-9D91-7224C49458BB}"/>
                      <c:ext xmlns:c16="http://schemas.microsoft.com/office/drawing/2014/chart" uri="{C3380CC4-5D6E-409C-BE32-E72D297353CC}">
                        <c16:uniqueId val="{00000016-8617-4132-807E-BEF8C0266B40}"/>
                      </c:ext>
                    </c:extLst>
                  </c:dLbl>
                  <c:dLbl>
                    <c:idx val="8"/>
                    <c:delete val="1"/>
                    <c:extLst>
                      <c:ext uri="{CE6537A1-D6FC-4f65-9D91-7224C49458BB}"/>
                      <c:ext xmlns:c16="http://schemas.microsoft.com/office/drawing/2014/chart" uri="{C3380CC4-5D6E-409C-BE32-E72D297353CC}">
                        <c16:uniqueId val="{00000017-8617-4132-807E-BEF8C0266B40}"/>
                      </c:ext>
                    </c:extLst>
                  </c:dLbl>
                  <c:dLbl>
                    <c:idx val="9"/>
                    <c:delete val="1"/>
                    <c:extLst>
                      <c:ext uri="{CE6537A1-D6FC-4f65-9D91-7224C49458BB}"/>
                      <c:ext xmlns:c16="http://schemas.microsoft.com/office/drawing/2014/chart" uri="{C3380CC4-5D6E-409C-BE32-E72D297353CC}">
                        <c16:uniqueId val="{00000018-8617-4132-807E-BEF8C0266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uri="{02D57815-91ED-43cb-92C2-25804820EDAC}">
                        <c15:fullRef>
                          <c15:sqref>Charts_Opex!$P$36:$AE$36</c15:sqref>
                        </c15:fullRef>
                        <c15:formulaRef>
                          <c15:sqref>Charts_Opex!$V$36:$AE$36</c15:sqref>
                        </c15:formulaRef>
                      </c:ext>
                    </c:extLst>
                    <c:numCache>
                      <c:formatCode>_(#,##0.0_);\(#,##0.0\);_("-"_)</c:formatCode>
                      <c:ptCount val="10"/>
                      <c:pt idx="0">
                        <c:v>103.17711806317809</c:v>
                      </c:pt>
                      <c:pt idx="1">
                        <c:v>96.644677469302408</c:v>
                      </c:pt>
                      <c:pt idx="2">
                        <c:v>92.900926305664427</c:v>
                      </c:pt>
                      <c:pt idx="3">
                        <c:v>85.398520331094829</c:v>
                      </c:pt>
                      <c:pt idx="4">
                        <c:v>77.814924514330201</c:v>
                      </c:pt>
                      <c:pt idx="5">
                        <c:v>#N/A</c:v>
                      </c:pt>
                      <c:pt idx="6">
                        <c:v>#N/A</c:v>
                      </c:pt>
                      <c:pt idx="7">
                        <c:v>#N/A</c:v>
                      </c:pt>
                      <c:pt idx="8">
                        <c:v>#N/A</c:v>
                      </c:pt>
                      <c:pt idx="9">
                        <c:v>#N/A</c:v>
                      </c:pt>
                    </c:numCache>
                  </c:numRef>
                </c:val>
                <c:smooth val="0"/>
                <c:extLst>
                  <c:ext xmlns:c16="http://schemas.microsoft.com/office/drawing/2014/chart" uri="{C3380CC4-5D6E-409C-BE32-E72D297353CC}">
                    <c16:uniqueId val="{00000004-8617-4132-807E-BEF8C0266B40}"/>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Charts_Opex!$O$41</c15:sqref>
                        </c15:formulaRef>
                      </c:ext>
                    </c:extLst>
                    <c:strCache>
                      <c:ptCount val="1"/>
                      <c:pt idx="0">
                        <c:v>Avg: 10-14</c:v>
                      </c:pt>
                    </c:strCache>
                  </c:strRef>
                </c:tx>
                <c:spPr>
                  <a:ln w="28575" cap="rnd">
                    <a:solidFill>
                      <a:schemeClr val="tx1"/>
                    </a:solidFill>
                    <a:prstDash val="sysDash"/>
                    <a:round/>
                  </a:ln>
                  <a:effectLst/>
                </c:spPr>
                <c:marker>
                  <c:symbol val="none"/>
                </c:marker>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Charts_Opex!$P$41:$AE$41</c15:sqref>
                        </c15:fullRef>
                        <c15:formulaRef>
                          <c15:sqref>Charts_Opex!$V$41:$AE$41</c15:sqref>
                        </c15:formulaRef>
                      </c:ext>
                    </c:extLst>
                    <c:numCache>
                      <c:formatCode>_(#,##0.0_);\(#,##0.0\);_("-"_)</c:formatCode>
                      <c:ptCount val="10"/>
                      <c:pt idx="0">
                        <c:v>#N/A</c:v>
                      </c:pt>
                      <c:pt idx="1">
                        <c:v>#N/A</c:v>
                      </c:pt>
                      <c:pt idx="2">
                        <c:v>#N/A</c:v>
                      </c:pt>
                      <c:pt idx="3">
                        <c:v>#N/A</c:v>
                      </c:pt>
                      <c:pt idx="4">
                        <c:v>#N/A</c:v>
                      </c:pt>
                      <c:pt idx="5">
                        <c:v>#N/A</c:v>
                      </c:pt>
                      <c:pt idx="6">
                        <c:v>#N/A</c:v>
                      </c:pt>
                      <c:pt idx="7">
                        <c:v>#N/A</c:v>
                      </c:pt>
                      <c:pt idx="8">
                        <c:v>#N/A</c:v>
                      </c:pt>
                      <c:pt idx="9">
                        <c:v>#N/A</c:v>
                      </c:pt>
                    </c:numCache>
                  </c:numRef>
                </c:val>
                <c:smooth val="0"/>
                <c:extLst xmlns:c15="http://schemas.microsoft.com/office/drawing/2012/chart">
                  <c:ext xmlns:c16="http://schemas.microsoft.com/office/drawing/2014/chart" uri="{C3380CC4-5D6E-409C-BE32-E72D297353CC}">
                    <c16:uniqueId val="{00000010-8617-4132-807E-BEF8C0266B40}"/>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Charts_Opex!$O$42</c15:sqref>
                        </c15:formulaRef>
                      </c:ext>
                    </c:extLst>
                    <c:strCache>
                      <c:ptCount val="1"/>
                      <c:pt idx="0">
                        <c:v>Avg: 15-19</c:v>
                      </c:pt>
                    </c:strCache>
                  </c:strRef>
                </c:tx>
                <c:spPr>
                  <a:ln w="28575" cap="rnd">
                    <a:solidFill>
                      <a:srgbClr val="C0504D"/>
                    </a:solidFill>
                    <a:prstDash val="sysDash"/>
                    <a:round/>
                  </a:ln>
                  <a:effectLst/>
                </c:spPr>
                <c:marker>
                  <c:symbol val="none"/>
                </c:marker>
                <c:dLbls>
                  <c:dLbl>
                    <c:idx val="0"/>
                    <c:dLblPos val="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8617-4132-807E-BEF8C0266B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Charts_Opex!$P$42:$AE$42</c15:sqref>
                        </c15:fullRef>
                        <c15:formulaRef>
                          <c15:sqref>Charts_Opex!$V$42:$AE$42</c15:sqref>
                        </c15:formulaRef>
                      </c:ext>
                    </c:extLst>
                    <c:numCache>
                      <c:formatCode>_(#,##0.0_);\(#,##0.0\);_("-"_)</c:formatCode>
                      <c:ptCount val="10"/>
                      <c:pt idx="0">
                        <c:v>91.187233336713987</c:v>
                      </c:pt>
                      <c:pt idx="1">
                        <c:v>91.187233336713987</c:v>
                      </c:pt>
                      <c:pt idx="2">
                        <c:v>91.187233336713987</c:v>
                      </c:pt>
                      <c:pt idx="3">
                        <c:v>91.187233336713987</c:v>
                      </c:pt>
                      <c:pt idx="4">
                        <c:v>91.187233336713987</c:v>
                      </c:pt>
                      <c:pt idx="5">
                        <c:v>#N/A</c:v>
                      </c:pt>
                      <c:pt idx="6">
                        <c:v>#N/A</c:v>
                      </c:pt>
                      <c:pt idx="7">
                        <c:v>#N/A</c:v>
                      </c:pt>
                      <c:pt idx="8">
                        <c:v>#N/A</c:v>
                      </c:pt>
                      <c:pt idx="9">
                        <c:v>#N/A</c:v>
                      </c:pt>
                    </c:numCache>
                  </c:numRef>
                </c:val>
                <c:smooth val="0"/>
                <c:extLst xmlns:c15="http://schemas.microsoft.com/office/drawing/2012/chart">
                  <c:ext xmlns:c16="http://schemas.microsoft.com/office/drawing/2014/chart" uri="{C3380CC4-5D6E-409C-BE32-E72D297353CC}">
                    <c16:uniqueId val="{00000009-8617-4132-807E-BEF8C0266B40}"/>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Charts_Opex!$O$43</c15:sqref>
                        </c15:formulaRef>
                      </c:ext>
                    </c:extLst>
                    <c:strCache>
                      <c:ptCount val="1"/>
                      <c:pt idx="0">
                        <c:v>Avg: 20-24</c:v>
                      </c:pt>
                    </c:strCache>
                  </c:strRef>
                </c:tx>
                <c:spPr>
                  <a:ln w="28575" cap="rnd">
                    <a:solidFill>
                      <a:srgbClr val="F79646"/>
                    </a:solidFill>
                    <a:prstDash val="sysDash"/>
                    <a:round/>
                  </a:ln>
                  <a:effectLst/>
                </c:spPr>
                <c:marker>
                  <c:symbol val="none"/>
                </c:marker>
                <c:dLbls>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A-8617-4132-807E-BEF8C0266B40}"/>
                      </c:ext>
                    </c:extLst>
                  </c:dLbl>
                  <c:dLbl>
                    <c:idx val="6"/>
                    <c:layout>
                      <c:manualLayout>
                        <c:x val="-3.5732587933845796E-2"/>
                        <c:y val="-2.513557756499946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8617-4132-807E-BEF8C0266B40}"/>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C-8617-4132-807E-BEF8C0266B40}"/>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D-8617-4132-807E-BEF8C0266B40}"/>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8617-4132-807E-BEF8C0266B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Charts_Opex!$P$43:$AE$43</c15:sqref>
                        </c15:fullRef>
                        <c15:formulaRef>
                          <c15:sqref>Charts_Opex!$V$43:$AE$43</c15:sqref>
                        </c15:formulaRef>
                      </c:ext>
                    </c:extLst>
                    <c:numCache>
                      <c:formatCode>_(#,##0.0_);\(#,##0.0\);_("-"_)</c:formatCode>
                      <c:ptCount val="10"/>
                      <c:pt idx="0">
                        <c:v>#N/A</c:v>
                      </c:pt>
                      <c:pt idx="1">
                        <c:v>#N/A</c:v>
                      </c:pt>
                      <c:pt idx="2">
                        <c:v>#N/A</c:v>
                      </c:pt>
                      <c:pt idx="3">
                        <c:v>#N/A</c:v>
                      </c:pt>
                      <c:pt idx="4">
                        <c:v>#N/A</c:v>
                      </c:pt>
                      <c:pt idx="5">
                        <c:v>67.850220431392714</c:v>
                      </c:pt>
                      <c:pt idx="6">
                        <c:v>67.850220431392714</c:v>
                      </c:pt>
                      <c:pt idx="7">
                        <c:v>67.850220431392714</c:v>
                      </c:pt>
                      <c:pt idx="8">
                        <c:v>67.850220431392714</c:v>
                      </c:pt>
                      <c:pt idx="9">
                        <c:v>67.850220431392714</c:v>
                      </c:pt>
                    </c:numCache>
                  </c:numRef>
                </c:val>
                <c:smooth val="0"/>
                <c:extLst xmlns:c15="http://schemas.microsoft.com/office/drawing/2012/chart">
                  <c:ext xmlns:c16="http://schemas.microsoft.com/office/drawing/2014/chart" uri="{C3380CC4-5D6E-409C-BE32-E72D297353CC}">
                    <c16:uniqueId val="{0000000F-8617-4132-807E-BEF8C0266B40}"/>
                  </c:ext>
                </c:extLst>
              </c15:ser>
            </c15:filteredLineSeries>
          </c:ext>
        </c:extLst>
      </c:lineChart>
      <c:catAx>
        <c:axId val="16441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420608"/>
        <c:crosses val="autoZero"/>
        <c:auto val="1"/>
        <c:lblAlgn val="ctr"/>
        <c:lblOffset val="100"/>
        <c:noMultiLvlLbl val="0"/>
      </c:catAx>
      <c:valAx>
        <c:axId val="16442060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Charts_Opex!$P$47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4419072"/>
        <c:crosses val="autoZero"/>
        <c:crossBetween val="between"/>
      </c:valAx>
      <c:spPr>
        <a:noFill/>
        <a:ln>
          <a:noFill/>
        </a:ln>
        <a:effectLst/>
      </c:spPr>
    </c:plotArea>
    <c:legend>
      <c:legendPos val="b"/>
      <c:layout>
        <c:manualLayout>
          <c:xMode val="edge"/>
          <c:yMode val="edge"/>
          <c:x val="0.12920575703718376"/>
          <c:y val="0.89096475090146443"/>
          <c:w val="0.87079428968462413"/>
          <c:h val="7.153681753942105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'9'!$D$56</c:f>
              <c:strCache>
                <c:ptCount val="1"/>
                <c:pt idx="0">
                  <c:v>Customer connections</c:v>
                </c:pt>
              </c:strCache>
            </c:strRef>
          </c:tx>
          <c:spPr>
            <a:solidFill>
              <a:schemeClr val="accent2"/>
            </a:solidFill>
            <a:ln>
              <a:noFill/>
            </a:ln>
            <a:effectLst/>
          </c:spPr>
          <c:invertIfNegative val="0"/>
          <c:dPt>
            <c:idx val="0"/>
            <c:invertIfNegative val="0"/>
            <c:bubble3D val="0"/>
            <c:spPr>
              <a:solidFill>
                <a:srgbClr val="2A3D6F"/>
              </a:solidFill>
              <a:ln>
                <a:noFill/>
              </a:ln>
              <a:effectLst/>
            </c:spPr>
            <c:extLst>
              <c:ext xmlns:c16="http://schemas.microsoft.com/office/drawing/2014/chart" uri="{C3380CC4-5D6E-409C-BE32-E72D297353CC}">
                <c16:uniqueId val="{00000001-F287-4736-B4CD-813976759141}"/>
              </c:ext>
            </c:extLst>
          </c:dPt>
          <c:dPt>
            <c:idx val="1"/>
            <c:invertIfNegative val="0"/>
            <c:bubble3D val="0"/>
            <c:spPr>
              <a:solidFill>
                <a:srgbClr val="2A3D6F"/>
              </a:solidFill>
              <a:ln>
                <a:noFill/>
              </a:ln>
              <a:effectLst/>
            </c:spPr>
            <c:extLst>
              <c:ext xmlns:c16="http://schemas.microsoft.com/office/drawing/2014/chart" uri="{C3380CC4-5D6E-409C-BE32-E72D297353CC}">
                <c16:uniqueId val="{00000003-F287-4736-B4CD-813976759141}"/>
              </c:ext>
            </c:extLst>
          </c:dPt>
          <c:dPt>
            <c:idx val="2"/>
            <c:invertIfNegative val="0"/>
            <c:bubble3D val="0"/>
            <c:spPr>
              <a:solidFill>
                <a:srgbClr val="2A3D6F"/>
              </a:solidFill>
              <a:ln>
                <a:noFill/>
              </a:ln>
              <a:effectLst/>
            </c:spPr>
            <c:extLst>
              <c:ext xmlns:c16="http://schemas.microsoft.com/office/drawing/2014/chart" uri="{C3380CC4-5D6E-409C-BE32-E72D297353CC}">
                <c16:uniqueId val="{00000005-F287-4736-B4CD-813976759141}"/>
              </c:ext>
            </c:extLst>
          </c:dPt>
          <c:dPt>
            <c:idx val="3"/>
            <c:invertIfNegative val="0"/>
            <c:bubble3D val="0"/>
            <c:spPr>
              <a:solidFill>
                <a:srgbClr val="2A3D6F"/>
              </a:solidFill>
              <a:ln>
                <a:noFill/>
              </a:ln>
              <a:effectLst/>
            </c:spPr>
            <c:extLst>
              <c:ext xmlns:c16="http://schemas.microsoft.com/office/drawing/2014/chart" uri="{C3380CC4-5D6E-409C-BE32-E72D297353CC}">
                <c16:uniqueId val="{00000007-F287-4736-B4CD-813976759141}"/>
              </c:ext>
            </c:extLst>
          </c:dPt>
          <c:dPt>
            <c:idx val="4"/>
            <c:invertIfNegative val="0"/>
            <c:bubble3D val="0"/>
            <c:spPr>
              <a:solidFill>
                <a:srgbClr val="2A3D6F"/>
              </a:solidFill>
              <a:ln>
                <a:noFill/>
              </a:ln>
              <a:effectLst/>
            </c:spPr>
            <c:extLst>
              <c:ext xmlns:c16="http://schemas.microsoft.com/office/drawing/2014/chart" uri="{C3380CC4-5D6E-409C-BE32-E72D297353CC}">
                <c16:uniqueId val="{00000009-F287-4736-B4CD-813976759141}"/>
              </c:ext>
            </c:extLst>
          </c:dPt>
          <c:dPt>
            <c:idx val="5"/>
            <c:invertIfNegative val="0"/>
            <c:bubble3D val="0"/>
            <c:spPr>
              <a:solidFill>
                <a:srgbClr val="75842F"/>
              </a:solidFill>
              <a:ln>
                <a:noFill/>
              </a:ln>
              <a:effectLst/>
            </c:spPr>
            <c:extLst>
              <c:ext xmlns:c16="http://schemas.microsoft.com/office/drawing/2014/chart" uri="{C3380CC4-5D6E-409C-BE32-E72D297353CC}">
                <c16:uniqueId val="{0000000B-F287-4736-B4CD-813976759141}"/>
              </c:ext>
            </c:extLst>
          </c:dPt>
          <c:dPt>
            <c:idx val="6"/>
            <c:invertIfNegative val="0"/>
            <c:bubble3D val="0"/>
            <c:spPr>
              <a:solidFill>
                <a:srgbClr val="75842F"/>
              </a:solidFill>
              <a:ln>
                <a:noFill/>
              </a:ln>
              <a:effectLst/>
            </c:spPr>
            <c:extLst>
              <c:ext xmlns:c16="http://schemas.microsoft.com/office/drawing/2014/chart" uri="{C3380CC4-5D6E-409C-BE32-E72D297353CC}">
                <c16:uniqueId val="{0000000D-F287-4736-B4CD-813976759141}"/>
              </c:ext>
            </c:extLst>
          </c:dPt>
          <c:dPt>
            <c:idx val="7"/>
            <c:invertIfNegative val="0"/>
            <c:bubble3D val="0"/>
            <c:spPr>
              <a:solidFill>
                <a:srgbClr val="75842F"/>
              </a:solidFill>
              <a:ln>
                <a:noFill/>
              </a:ln>
              <a:effectLst/>
            </c:spPr>
            <c:extLst>
              <c:ext xmlns:c16="http://schemas.microsoft.com/office/drawing/2014/chart" uri="{C3380CC4-5D6E-409C-BE32-E72D297353CC}">
                <c16:uniqueId val="{0000000F-F287-4736-B4CD-813976759141}"/>
              </c:ext>
            </c:extLst>
          </c:dPt>
          <c:dPt>
            <c:idx val="8"/>
            <c:invertIfNegative val="0"/>
            <c:bubble3D val="0"/>
            <c:spPr>
              <a:solidFill>
                <a:srgbClr val="75842F"/>
              </a:solidFill>
              <a:ln>
                <a:noFill/>
              </a:ln>
              <a:effectLst/>
            </c:spPr>
            <c:extLst>
              <c:ext xmlns:c16="http://schemas.microsoft.com/office/drawing/2014/chart" uri="{C3380CC4-5D6E-409C-BE32-E72D297353CC}">
                <c16:uniqueId val="{00000011-F287-4736-B4CD-813976759141}"/>
              </c:ext>
            </c:extLst>
          </c:dPt>
          <c:dPt>
            <c:idx val="9"/>
            <c:invertIfNegative val="0"/>
            <c:bubble3D val="0"/>
            <c:spPr>
              <a:solidFill>
                <a:srgbClr val="75842F"/>
              </a:solidFill>
              <a:ln>
                <a:noFill/>
              </a:ln>
              <a:effectLst/>
            </c:spPr>
            <c:extLst>
              <c:ext xmlns:c16="http://schemas.microsoft.com/office/drawing/2014/chart" uri="{C3380CC4-5D6E-409C-BE32-E72D297353CC}">
                <c16:uniqueId val="{00000013-F287-4736-B4CD-81397675914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'9'!$E$55:$N$55</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'9'!$E$56:$N$56</c:f>
              <c:numCache>
                <c:formatCode>_-* #,##0_-;\-* #,##0_-;_-* "-"??_-;_-@_-</c:formatCode>
                <c:ptCount val="10"/>
                <c:pt idx="0">
                  <c:v>81111</c:v>
                </c:pt>
                <c:pt idx="1">
                  <c:v>82915</c:v>
                </c:pt>
                <c:pt idx="2">
                  <c:v>83587</c:v>
                </c:pt>
                <c:pt idx="3">
                  <c:v>83959</c:v>
                </c:pt>
                <c:pt idx="4">
                  <c:v>84420</c:v>
                </c:pt>
                <c:pt idx="5">
                  <c:v>85072</c:v>
                </c:pt>
                <c:pt idx="6">
                  <c:v>85848</c:v>
                </c:pt>
                <c:pt idx="7">
                  <c:v>86641</c:v>
                </c:pt>
                <c:pt idx="8">
                  <c:v>87028</c:v>
                </c:pt>
                <c:pt idx="9">
                  <c:v>87419</c:v>
                </c:pt>
              </c:numCache>
            </c:numRef>
          </c:val>
          <c:extLst>
            <c:ext xmlns:c16="http://schemas.microsoft.com/office/drawing/2014/chart" uri="{C3380CC4-5D6E-409C-BE32-E72D297353CC}">
              <c16:uniqueId val="{00000014-F287-4736-B4CD-813976759141}"/>
            </c:ext>
          </c:extLst>
        </c:ser>
        <c:dLbls>
          <c:showLegendKey val="0"/>
          <c:showVal val="0"/>
          <c:showCatName val="0"/>
          <c:showSerName val="0"/>
          <c:showPercent val="0"/>
          <c:showBubbleSize val="0"/>
        </c:dLbls>
        <c:gapWidth val="20"/>
        <c:axId val="164869632"/>
        <c:axId val="164871168"/>
      </c:barChart>
      <c:catAx>
        <c:axId val="16486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4871168"/>
        <c:crosses val="autoZero"/>
        <c:auto val="1"/>
        <c:lblAlgn val="ctr"/>
        <c:lblOffset val="100"/>
        <c:noMultiLvlLbl val="0"/>
      </c:catAx>
      <c:valAx>
        <c:axId val="164871168"/>
        <c:scaling>
          <c:orientation val="minMax"/>
          <c:min val="75000"/>
        </c:scaling>
        <c:delete val="0"/>
        <c:axPos val="l"/>
        <c:majorGridlines>
          <c:spPr>
            <a:ln w="9525" cap="flat" cmpd="sng" algn="ctr">
              <a:solidFill>
                <a:schemeClr val="tx1">
                  <a:lumMod val="15000"/>
                  <a:lumOff val="85000"/>
                </a:schemeClr>
              </a:solidFill>
              <a:round/>
            </a:ln>
            <a:effectLst/>
          </c:spPr>
        </c:majorGridlines>
        <c:numFmt formatCode="_(* #,##0_);_(* \(#,##0\);_(* &quot;-&quot;_);_(@_)" sourceLinked="0"/>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64869632"/>
        <c:crosses val="autoZero"/>
        <c:crossBetween val="between"/>
        <c:majorUnit val="5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3908324944496"/>
          <c:y val="7.0117757805258973E-2"/>
          <c:w val="0.7603771069772145"/>
          <c:h val="0.76629634000487235"/>
        </c:manualLayout>
      </c:layout>
      <c:barChart>
        <c:barDir val="col"/>
        <c:grouping val="clustered"/>
        <c:varyColors val="0"/>
        <c:ser>
          <c:idx val="1"/>
          <c:order val="1"/>
          <c:tx>
            <c:strRef>
              <c:f>'9'!$D$29</c:f>
              <c:strCache>
                <c:ptCount val="1"/>
                <c:pt idx="0">
                  <c:v>Energy consumption (GWh)</c:v>
                </c:pt>
              </c:strCache>
            </c:strRef>
          </c:tx>
          <c:spPr>
            <a:solidFill>
              <a:schemeClr val="accent2"/>
            </a:solidFill>
            <a:ln>
              <a:noFill/>
            </a:ln>
            <a:effectLst/>
          </c:spPr>
          <c:invertIfNegative val="0"/>
          <c:dPt>
            <c:idx val="0"/>
            <c:invertIfNegative val="0"/>
            <c:bubble3D val="0"/>
            <c:spPr>
              <a:solidFill>
                <a:srgbClr val="2A3D6F"/>
              </a:solidFill>
              <a:ln>
                <a:noFill/>
              </a:ln>
              <a:effectLst/>
            </c:spPr>
            <c:extLst>
              <c:ext xmlns:c16="http://schemas.microsoft.com/office/drawing/2014/chart" uri="{C3380CC4-5D6E-409C-BE32-E72D297353CC}">
                <c16:uniqueId val="{00000001-F7D3-4582-A8D2-21D2A8CE790C}"/>
              </c:ext>
            </c:extLst>
          </c:dPt>
          <c:dPt>
            <c:idx val="1"/>
            <c:invertIfNegative val="0"/>
            <c:bubble3D val="0"/>
            <c:spPr>
              <a:solidFill>
                <a:srgbClr val="2A3D6F"/>
              </a:solidFill>
              <a:ln>
                <a:noFill/>
              </a:ln>
              <a:effectLst/>
            </c:spPr>
            <c:extLst>
              <c:ext xmlns:c16="http://schemas.microsoft.com/office/drawing/2014/chart" uri="{C3380CC4-5D6E-409C-BE32-E72D297353CC}">
                <c16:uniqueId val="{00000003-F7D3-4582-A8D2-21D2A8CE790C}"/>
              </c:ext>
            </c:extLst>
          </c:dPt>
          <c:dPt>
            <c:idx val="2"/>
            <c:invertIfNegative val="0"/>
            <c:bubble3D val="0"/>
            <c:spPr>
              <a:solidFill>
                <a:srgbClr val="2A3D6F"/>
              </a:solidFill>
              <a:ln>
                <a:noFill/>
              </a:ln>
              <a:effectLst/>
            </c:spPr>
            <c:extLst>
              <c:ext xmlns:c16="http://schemas.microsoft.com/office/drawing/2014/chart" uri="{C3380CC4-5D6E-409C-BE32-E72D297353CC}">
                <c16:uniqueId val="{00000005-F7D3-4582-A8D2-21D2A8CE790C}"/>
              </c:ext>
            </c:extLst>
          </c:dPt>
          <c:dPt>
            <c:idx val="3"/>
            <c:invertIfNegative val="0"/>
            <c:bubble3D val="0"/>
            <c:spPr>
              <a:solidFill>
                <a:srgbClr val="2A3D6F"/>
              </a:solidFill>
              <a:ln>
                <a:noFill/>
              </a:ln>
              <a:effectLst/>
            </c:spPr>
            <c:extLst>
              <c:ext xmlns:c16="http://schemas.microsoft.com/office/drawing/2014/chart" uri="{C3380CC4-5D6E-409C-BE32-E72D297353CC}">
                <c16:uniqueId val="{00000007-F7D3-4582-A8D2-21D2A8CE790C}"/>
              </c:ext>
            </c:extLst>
          </c:dPt>
          <c:dPt>
            <c:idx val="4"/>
            <c:invertIfNegative val="0"/>
            <c:bubble3D val="0"/>
            <c:spPr>
              <a:solidFill>
                <a:srgbClr val="2A3D6F"/>
              </a:solidFill>
              <a:ln>
                <a:noFill/>
              </a:ln>
              <a:effectLst/>
            </c:spPr>
            <c:extLst>
              <c:ext xmlns:c16="http://schemas.microsoft.com/office/drawing/2014/chart" uri="{C3380CC4-5D6E-409C-BE32-E72D297353CC}">
                <c16:uniqueId val="{00000009-F7D3-4582-A8D2-21D2A8CE790C}"/>
              </c:ext>
            </c:extLst>
          </c:dPt>
          <c:dPt>
            <c:idx val="5"/>
            <c:invertIfNegative val="0"/>
            <c:bubble3D val="0"/>
            <c:spPr>
              <a:solidFill>
                <a:srgbClr val="75842F"/>
              </a:solidFill>
              <a:ln>
                <a:noFill/>
              </a:ln>
              <a:effectLst/>
            </c:spPr>
            <c:extLst>
              <c:ext xmlns:c16="http://schemas.microsoft.com/office/drawing/2014/chart" uri="{C3380CC4-5D6E-409C-BE32-E72D297353CC}">
                <c16:uniqueId val="{0000000B-F7D3-4582-A8D2-21D2A8CE790C}"/>
              </c:ext>
            </c:extLst>
          </c:dPt>
          <c:dPt>
            <c:idx val="6"/>
            <c:invertIfNegative val="0"/>
            <c:bubble3D val="0"/>
            <c:spPr>
              <a:solidFill>
                <a:srgbClr val="75842F"/>
              </a:solidFill>
              <a:ln>
                <a:noFill/>
              </a:ln>
              <a:effectLst/>
            </c:spPr>
            <c:extLst>
              <c:ext xmlns:c16="http://schemas.microsoft.com/office/drawing/2014/chart" uri="{C3380CC4-5D6E-409C-BE32-E72D297353CC}">
                <c16:uniqueId val="{0000000D-F7D3-4582-A8D2-21D2A8CE790C}"/>
              </c:ext>
            </c:extLst>
          </c:dPt>
          <c:dPt>
            <c:idx val="7"/>
            <c:invertIfNegative val="0"/>
            <c:bubble3D val="0"/>
            <c:spPr>
              <a:solidFill>
                <a:srgbClr val="75842F"/>
              </a:solidFill>
              <a:ln>
                <a:noFill/>
              </a:ln>
              <a:effectLst/>
            </c:spPr>
            <c:extLst>
              <c:ext xmlns:c16="http://schemas.microsoft.com/office/drawing/2014/chart" uri="{C3380CC4-5D6E-409C-BE32-E72D297353CC}">
                <c16:uniqueId val="{0000000F-F7D3-4582-A8D2-21D2A8CE790C}"/>
              </c:ext>
            </c:extLst>
          </c:dPt>
          <c:dPt>
            <c:idx val="8"/>
            <c:invertIfNegative val="0"/>
            <c:bubble3D val="0"/>
            <c:spPr>
              <a:solidFill>
                <a:srgbClr val="75842F"/>
              </a:solidFill>
              <a:ln>
                <a:noFill/>
              </a:ln>
              <a:effectLst/>
            </c:spPr>
            <c:extLst>
              <c:ext xmlns:c16="http://schemas.microsoft.com/office/drawing/2014/chart" uri="{C3380CC4-5D6E-409C-BE32-E72D297353CC}">
                <c16:uniqueId val="{00000011-F7D3-4582-A8D2-21D2A8CE790C}"/>
              </c:ext>
            </c:extLst>
          </c:dPt>
          <c:dPt>
            <c:idx val="9"/>
            <c:invertIfNegative val="0"/>
            <c:bubble3D val="0"/>
            <c:spPr>
              <a:solidFill>
                <a:srgbClr val="75842F"/>
              </a:solidFill>
              <a:ln>
                <a:noFill/>
              </a:ln>
              <a:effectLst/>
            </c:spPr>
            <c:extLst>
              <c:ext xmlns:c16="http://schemas.microsoft.com/office/drawing/2014/chart" uri="{C3380CC4-5D6E-409C-BE32-E72D297353CC}">
                <c16:uniqueId val="{00000013-F7D3-4582-A8D2-21D2A8CE790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'9'!$E$29:$N$29</c:f>
              <c:numCache>
                <c:formatCode>_(* #,##0.00_);_(* \(#,##0.00\);_(* "-"??_);_(@_)</c:formatCode>
                <c:ptCount val="10"/>
                <c:pt idx="0">
                  <c:v>1750.9817492680004</c:v>
                </c:pt>
                <c:pt idx="1">
                  <c:v>1812.1782020339995</c:v>
                </c:pt>
                <c:pt idx="2">
                  <c:v>1779.5014095849997</c:v>
                </c:pt>
                <c:pt idx="3">
                  <c:v>1872.4920395256695</c:v>
                </c:pt>
                <c:pt idx="4">
                  <c:v>1842.7763317131175</c:v>
                </c:pt>
                <c:pt idx="5">
                  <c:v>1828.7610648300958</c:v>
                </c:pt>
                <c:pt idx="6">
                  <c:v>1828.8009057432359</c:v>
                </c:pt>
                <c:pt idx="7">
                  <c:v>1829.6770072474869</c:v>
                </c:pt>
                <c:pt idx="8">
                  <c:v>1831.2544176920048</c:v>
                </c:pt>
                <c:pt idx="9">
                  <c:v>1835.0101628864788</c:v>
                </c:pt>
              </c:numCache>
            </c:numRef>
          </c:val>
          <c:extLst>
            <c:ext xmlns:c16="http://schemas.microsoft.com/office/drawing/2014/chart" uri="{C3380CC4-5D6E-409C-BE32-E72D297353CC}">
              <c16:uniqueId val="{00000014-F7D3-4582-A8D2-21D2A8CE790C}"/>
            </c:ext>
          </c:extLst>
        </c:ser>
        <c:dLbls>
          <c:showLegendKey val="0"/>
          <c:showVal val="0"/>
          <c:showCatName val="0"/>
          <c:showSerName val="0"/>
          <c:showPercent val="0"/>
          <c:showBubbleSize val="0"/>
        </c:dLbls>
        <c:gapWidth val="20"/>
        <c:axId val="165311232"/>
        <c:axId val="165288576"/>
      </c:barChart>
      <c:lineChart>
        <c:grouping val="standard"/>
        <c:varyColors val="0"/>
        <c:ser>
          <c:idx val="0"/>
          <c:order val="0"/>
          <c:tx>
            <c:strRef>
              <c:f>'9'!$D$28</c:f>
              <c:strCache>
                <c:ptCount val="1"/>
                <c:pt idx="0">
                  <c:v>PoE 50 Maximum Demand (MW)</c:v>
                </c:pt>
              </c:strCache>
            </c:strRef>
          </c:tx>
          <c:spPr>
            <a:ln w="28575" cap="rnd">
              <a:solidFill>
                <a:srgbClr val="FFD339"/>
              </a:solidFill>
              <a:round/>
            </a:ln>
            <a:effectLst/>
          </c:spPr>
          <c:marker>
            <c:symbol val="circle"/>
            <c:size val="5"/>
            <c:spPr>
              <a:solidFill>
                <a:schemeClr val="accent1"/>
              </a:solidFill>
              <a:ln w="9525">
                <a:solidFill>
                  <a:srgbClr val="FFD339"/>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7D3-4582-A8D2-21D2A8CE790C}"/>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7D3-4582-A8D2-21D2A8CE790C}"/>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7D3-4582-A8D2-21D2A8CE790C}"/>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7D3-4582-A8D2-21D2A8CE790C}"/>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7D3-4582-A8D2-21D2A8CE790C}"/>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7D3-4582-A8D2-21D2A8CE790C}"/>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7D3-4582-A8D2-21D2A8CE790C}"/>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7D3-4582-A8D2-21D2A8CE790C}"/>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7D3-4582-A8D2-21D2A8CE790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7D3-4582-A8D2-21D2A8CE79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'9'!$E$28:$N$28</c:f>
              <c:numCache>
                <c:formatCode>_(* #,##0.00_);_(* \(#,##0.00\);_(* "-"??_);_(@_)</c:formatCode>
                <c:ptCount val="10"/>
                <c:pt idx="0">
                  <c:v>348.89</c:v>
                </c:pt>
                <c:pt idx="1">
                  <c:v>353.83000000000004</c:v>
                </c:pt>
                <c:pt idx="2">
                  <c:v>357.45929172399997</c:v>
                </c:pt>
                <c:pt idx="3">
                  <c:v>351.64025275700004</c:v>
                </c:pt>
                <c:pt idx="4">
                  <c:v>344.61873374300001</c:v>
                </c:pt>
                <c:pt idx="5">
                  <c:v>339.07925003499997</c:v>
                </c:pt>
                <c:pt idx="6">
                  <c:v>339.32073156500002</c:v>
                </c:pt>
                <c:pt idx="7">
                  <c:v>336.87572723300002</c:v>
                </c:pt>
                <c:pt idx="8">
                  <c:v>336.03994168899999</c:v>
                </c:pt>
                <c:pt idx="9">
                  <c:v>335.67859043299995</c:v>
                </c:pt>
              </c:numCache>
            </c:numRef>
          </c:val>
          <c:smooth val="1"/>
          <c:extLst>
            <c:ext xmlns:c16="http://schemas.microsoft.com/office/drawing/2014/chart" uri="{C3380CC4-5D6E-409C-BE32-E72D297353CC}">
              <c16:uniqueId val="{0000001F-F7D3-4582-A8D2-21D2A8CE790C}"/>
            </c:ext>
          </c:extLst>
        </c:ser>
        <c:dLbls>
          <c:showLegendKey val="0"/>
          <c:showVal val="0"/>
          <c:showCatName val="0"/>
          <c:showSerName val="0"/>
          <c:showPercent val="0"/>
          <c:showBubbleSize val="0"/>
        </c:dLbls>
        <c:marker val="1"/>
        <c:smooth val="0"/>
        <c:axId val="165272576"/>
        <c:axId val="165286656"/>
      </c:lineChart>
      <c:catAx>
        <c:axId val="16527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286656"/>
        <c:crosses val="autoZero"/>
        <c:auto val="1"/>
        <c:lblAlgn val="ctr"/>
        <c:lblOffset val="100"/>
        <c:noMultiLvlLbl val="0"/>
      </c:catAx>
      <c:valAx>
        <c:axId val="165286656"/>
        <c:scaling>
          <c:orientation val="minMax"/>
          <c:max val="37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AU" sz="1100" b="1"/>
                  <a:t>Maximum</a:t>
                </a:r>
                <a:r>
                  <a:rPr lang="en-AU" sz="1100" b="1" baseline="0"/>
                  <a:t> demand (MW)</a:t>
                </a:r>
                <a:endParaRPr lang="en-AU" sz="1100" b="1"/>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65272576"/>
        <c:crosses val="autoZero"/>
        <c:crossBetween val="between"/>
        <c:majorUnit val="10"/>
      </c:valAx>
      <c:valAx>
        <c:axId val="165288576"/>
        <c:scaling>
          <c:orientation val="minMax"/>
          <c:max val="2100"/>
          <c:min val="1500"/>
        </c:scaling>
        <c:delete val="0"/>
        <c:axPos val="r"/>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AU" sz="1050" b="1"/>
                  <a:t>Energy</a:t>
                </a:r>
                <a:r>
                  <a:rPr lang="en-AU" sz="1050" b="1" baseline="0"/>
                  <a:t> consumption (GWh)</a:t>
                </a:r>
                <a:endParaRPr lang="en-AU" sz="1050" b="1"/>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dk1">
                <a:shade val="95000"/>
                <a:satMod val="105000"/>
              </a:schemeClr>
            </a:solidFill>
            <a:prstDash val="soli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65311232"/>
        <c:crosses val="max"/>
        <c:crossBetween val="between"/>
        <c:majorUnit val="100"/>
      </c:valAx>
      <c:catAx>
        <c:axId val="165311232"/>
        <c:scaling>
          <c:orientation val="minMax"/>
        </c:scaling>
        <c:delete val="1"/>
        <c:axPos val="b"/>
        <c:numFmt formatCode="General" sourceLinked="1"/>
        <c:majorTickMark val="out"/>
        <c:minorTickMark val="none"/>
        <c:tickLblPos val="nextTo"/>
        <c:crossAx val="1652885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Charts_Capex!$O$36</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23D8-4960-ADA8-8EA8A6C5B03E}"/>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23D8-4960-ADA8-8EA8A6C5B03E}"/>
              </c:ext>
            </c:extLst>
          </c:dPt>
          <c:dLbls>
            <c:dLbl>
              <c:idx val="10"/>
              <c:layout>
                <c:manualLayout>
                  <c:x val="0"/>
                  <c:y val="-9.61791211492989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D8-4960-ADA8-8EA8A6C5B03E}"/>
                </c:ext>
              </c:extLst>
            </c:dLbl>
            <c:dLbl>
              <c:idx val="11"/>
              <c:delete val="1"/>
              <c:extLst>
                <c:ext xmlns:c15="http://schemas.microsoft.com/office/drawing/2012/chart" uri="{CE6537A1-D6FC-4f65-9D91-7224C49458BB}"/>
                <c:ext xmlns:c16="http://schemas.microsoft.com/office/drawing/2014/chart" uri="{C3380CC4-5D6E-409C-BE32-E72D297353CC}">
                  <c16:uniqueId val="{00000015-23D8-4960-ADA8-8EA8A6C5B03E}"/>
                </c:ext>
              </c:extLst>
            </c:dLbl>
            <c:dLbl>
              <c:idx val="12"/>
              <c:delete val="1"/>
              <c:extLst>
                <c:ext xmlns:c15="http://schemas.microsoft.com/office/drawing/2012/chart" uri="{CE6537A1-D6FC-4f65-9D91-7224C49458BB}"/>
                <c:ext xmlns:c16="http://schemas.microsoft.com/office/drawing/2014/chart" uri="{C3380CC4-5D6E-409C-BE32-E72D297353CC}">
                  <c16:uniqueId val="{00000016-23D8-4960-ADA8-8EA8A6C5B03E}"/>
                </c:ext>
              </c:extLst>
            </c:dLbl>
            <c:dLbl>
              <c:idx val="13"/>
              <c:delete val="1"/>
              <c:extLst>
                <c:ext xmlns:c15="http://schemas.microsoft.com/office/drawing/2012/chart" uri="{CE6537A1-D6FC-4f65-9D91-7224C49458BB}"/>
                <c:ext xmlns:c16="http://schemas.microsoft.com/office/drawing/2014/chart" uri="{C3380CC4-5D6E-409C-BE32-E72D297353CC}">
                  <c16:uniqueId val="{00000017-23D8-4960-ADA8-8EA8A6C5B03E}"/>
                </c:ext>
              </c:extLst>
            </c:dLbl>
            <c:dLbl>
              <c:idx val="14"/>
              <c:delete val="1"/>
              <c:extLst>
                <c:ext xmlns:c15="http://schemas.microsoft.com/office/drawing/2012/chart" uri="{CE6537A1-D6FC-4f65-9D91-7224C49458BB}"/>
                <c:ext xmlns:c16="http://schemas.microsoft.com/office/drawing/2014/chart" uri="{C3380CC4-5D6E-409C-BE32-E72D297353CC}">
                  <c16:uniqueId val="{00000018-23D8-4960-ADA8-8EA8A6C5B03E}"/>
                </c:ext>
              </c:extLst>
            </c:dLbl>
            <c:dLbl>
              <c:idx val="15"/>
              <c:delete val="1"/>
              <c:extLst>
                <c:ext xmlns:c15="http://schemas.microsoft.com/office/drawing/2012/chart" uri="{CE6537A1-D6FC-4f65-9D91-7224C49458BB}"/>
                <c:ext xmlns:c16="http://schemas.microsoft.com/office/drawing/2014/chart" uri="{C3380CC4-5D6E-409C-BE32-E72D297353CC}">
                  <c16:uniqueId val="{00000019-23D8-4960-ADA8-8EA8A6C5B0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Charts_Capex!$P$36:$AE$36</c:f>
              <c:numCache>
                <c:formatCode>_(#,##0.0_);\(#,##0.0\);_("-"_)</c:formatCode>
                <c:ptCount val="16"/>
                <c:pt idx="0">
                  <c:v>68.33406059115292</c:v>
                </c:pt>
                <c:pt idx="1">
                  <c:v>96.265048242818324</c:v>
                </c:pt>
                <c:pt idx="2">
                  <c:v>106.97675762651191</c:v>
                </c:pt>
                <c:pt idx="3">
                  <c:v>97.934090214394317</c:v>
                </c:pt>
                <c:pt idx="4">
                  <c:v>132.64420365450627</c:v>
                </c:pt>
                <c:pt idx="5">
                  <c:v>99.572784621888644</c:v>
                </c:pt>
                <c:pt idx="6">
                  <c:v>93.127177435620766</c:v>
                </c:pt>
                <c:pt idx="7">
                  <c:v>80.360469791588031</c:v>
                </c:pt>
                <c:pt idx="8">
                  <c:v>59.085274133730124</c:v>
                </c:pt>
                <c:pt idx="9">
                  <c:v>51.984323017251796</c:v>
                </c:pt>
                <c:pt idx="10">
                  <c:v>71.799968066820824</c:v>
                </c:pt>
                <c:pt idx="11">
                  <c:v>#N/A</c:v>
                </c:pt>
                <c:pt idx="12">
                  <c:v>#N/A</c:v>
                </c:pt>
                <c:pt idx="13">
                  <c:v>#N/A</c:v>
                </c:pt>
                <c:pt idx="14">
                  <c:v>#N/A</c:v>
                </c:pt>
                <c:pt idx="15">
                  <c:v>#N/A</c:v>
                </c:pt>
              </c:numCache>
            </c:numRef>
          </c:val>
          <c:extLst>
            <c:ext xmlns:c16="http://schemas.microsoft.com/office/drawing/2014/chart" uri="{C3380CC4-5D6E-409C-BE32-E72D297353CC}">
              <c16:uniqueId val="{00000004-23D8-4960-ADA8-8EA8A6C5B03E}"/>
            </c:ext>
          </c:extLst>
        </c:ser>
        <c:ser>
          <c:idx val="3"/>
          <c:order val="2"/>
          <c:tx>
            <c:strRef>
              <c:f>Charts_Capex!$O$39</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Charts_Capex!$P$39:$AE$39</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106.62847438601433</c:v>
                </c:pt>
                <c:pt idx="12">
                  <c:v>85.838024351250866</c:v>
                </c:pt>
                <c:pt idx="13">
                  <c:v>108.18031417197174</c:v>
                </c:pt>
                <c:pt idx="14">
                  <c:v>75.193635822841031</c:v>
                </c:pt>
                <c:pt idx="15">
                  <c:v>69.804533180258048</c:v>
                </c:pt>
              </c:numCache>
            </c:numRef>
          </c:val>
          <c:extLst>
            <c:ext xmlns:c16="http://schemas.microsoft.com/office/drawing/2014/chart" uri="{C3380CC4-5D6E-409C-BE32-E72D297353CC}">
              <c16:uniqueId val="{00000005-23D8-4960-ADA8-8EA8A6C5B03E}"/>
            </c:ext>
          </c:extLst>
        </c:ser>
        <c:dLbls>
          <c:showLegendKey val="0"/>
          <c:showVal val="0"/>
          <c:showCatName val="0"/>
          <c:showSerName val="0"/>
          <c:showPercent val="0"/>
          <c:showBubbleSize val="0"/>
        </c:dLbls>
        <c:gapWidth val="20"/>
        <c:overlap val="100"/>
        <c:axId val="165095680"/>
        <c:axId val="165113856"/>
      </c:barChart>
      <c:lineChart>
        <c:grouping val="standard"/>
        <c:varyColors val="0"/>
        <c:ser>
          <c:idx val="1"/>
          <c:order val="1"/>
          <c:tx>
            <c:strRef>
              <c:f>Charts_Capex!$O$37</c:f>
              <c:strCache>
                <c:ptCount val="1"/>
                <c:pt idx="0">
                  <c:v>UC Allowance</c:v>
                </c:pt>
              </c:strCache>
            </c:strRef>
          </c:tx>
          <c:spPr>
            <a:ln w="28575" cap="rnd">
              <a:solidFill>
                <a:srgbClr val="8C1B10"/>
              </a:solidFill>
              <a:round/>
            </a:ln>
            <a:effectLst/>
          </c:spPr>
          <c:marker>
            <c:symbol val="none"/>
          </c:marker>
          <c:dPt>
            <c:idx val="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3-23D8-4960-ADA8-8EA8A6C5B03E}"/>
              </c:ext>
            </c:extLst>
          </c:dPt>
          <c:dPt>
            <c:idx val="6"/>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6-F7CC-44C5-81DA-74F23F369ACD}"/>
              </c:ext>
            </c:extLst>
          </c:dPt>
          <c:dPt>
            <c:idx val="10"/>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1-23D8-4960-ADA8-8EA8A6C5B03E}"/>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D8-4960-ADA8-8EA8A6C5B03E}"/>
                </c:ext>
              </c:extLst>
            </c:dLbl>
            <c:dLbl>
              <c:idx val="6"/>
              <c:layout>
                <c:manualLayout>
                  <c:x val="-1.8453871271078396E-2"/>
                  <c:y val="-5.5866828996297198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CC-44C5-81DA-74F23F369ACD}"/>
                </c:ext>
              </c:extLst>
            </c:dLbl>
            <c:dLbl>
              <c:idx val="10"/>
              <c:layout>
                <c:manualLayout>
                  <c:x val="-5.9665990735025182E-2"/>
                  <c:y val="-4.0447347573098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3D8-4960-ADA8-8EA8A6C5B0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Charts_Capex!$P$37:$AE$37</c:f>
              <c:numCache>
                <c:formatCode>_(#,##0.0_);\(#,##0.0\);_("-"_)</c:formatCode>
                <c:ptCount val="16"/>
                <c:pt idx="0">
                  <c:v>#N/A</c:v>
                </c:pt>
                <c:pt idx="1">
                  <c:v>#N/A</c:v>
                </c:pt>
                <c:pt idx="2">
                  <c:v>#N/A</c:v>
                </c:pt>
                <c:pt idx="3">
                  <c:v>#N/A</c:v>
                </c:pt>
                <c:pt idx="4">
                  <c:v>#N/A</c:v>
                </c:pt>
                <c:pt idx="5">
                  <c:v>#N/A</c:v>
                </c:pt>
                <c:pt idx="6">
                  <c:v>89.99607946450412</c:v>
                </c:pt>
                <c:pt idx="7">
                  <c:v>64.132469213872696</c:v>
                </c:pt>
                <c:pt idx="8">
                  <c:v>51.104004725386105</c:v>
                </c:pt>
                <c:pt idx="9">
                  <c:v>60.356324448774217</c:v>
                </c:pt>
                <c:pt idx="10">
                  <c:v>71.772290124575647</c:v>
                </c:pt>
                <c:pt idx="11">
                  <c:v>#N/A</c:v>
                </c:pt>
                <c:pt idx="12">
                  <c:v>#N/A</c:v>
                </c:pt>
                <c:pt idx="13">
                  <c:v>#N/A</c:v>
                </c:pt>
                <c:pt idx="14">
                  <c:v>#N/A</c:v>
                </c:pt>
                <c:pt idx="15">
                  <c:v>#N/A</c:v>
                </c:pt>
              </c:numCache>
            </c:numRef>
          </c:val>
          <c:smooth val="0"/>
          <c:extLst>
            <c:ext xmlns:c16="http://schemas.microsoft.com/office/drawing/2014/chart" uri="{C3380CC4-5D6E-409C-BE32-E72D297353CC}">
              <c16:uniqueId val="{00000006-23D8-4960-ADA8-8EA8A6C5B03E}"/>
            </c:ext>
          </c:extLst>
        </c:ser>
        <c:dLbls>
          <c:showLegendKey val="0"/>
          <c:showVal val="0"/>
          <c:showCatName val="0"/>
          <c:showSerName val="0"/>
          <c:showPercent val="0"/>
          <c:showBubbleSize val="0"/>
        </c:dLbls>
        <c:marker val="1"/>
        <c:smooth val="0"/>
        <c:axId val="165095680"/>
        <c:axId val="165113856"/>
      </c:lineChart>
      <c:catAx>
        <c:axId val="16509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113856"/>
        <c:crosses val="autoZero"/>
        <c:auto val="1"/>
        <c:lblAlgn val="ctr"/>
        <c:lblOffset val="100"/>
        <c:noMultiLvlLbl val="0"/>
      </c:catAx>
      <c:valAx>
        <c:axId val="165113856"/>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Charts_Capex!$P$46</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095680"/>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Charts_Capex!$O$87</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29B9-4C8D-8102-4F3FEE33859F}"/>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29B9-4C8D-8102-4F3FEE33859F}"/>
              </c:ext>
            </c:extLst>
          </c:dPt>
          <c:dLbls>
            <c:dLbl>
              <c:idx val="10"/>
              <c:layout>
                <c:manualLayout>
                  <c:x val="-8.3949643929404193E-17"/>
                  <c:y val="-3.0793466746394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B9-4C8D-8102-4F3FEE3385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Charts_Capex!$P$87:$AE$87</c:f>
              <c:numCache>
                <c:formatCode>_(#,##0.0_);\(#,##0.0\);_("-"_)</c:formatCode>
                <c:ptCount val="16"/>
                <c:pt idx="0">
                  <c:v>39.74736576750599</c:v>
                </c:pt>
                <c:pt idx="1">
                  <c:v>70.344665270105793</c:v>
                </c:pt>
                <c:pt idx="2">
                  <c:v>62.206894012496164</c:v>
                </c:pt>
                <c:pt idx="3">
                  <c:v>36.726270213980285</c:v>
                </c:pt>
                <c:pt idx="4">
                  <c:v>70.560779371903706</c:v>
                </c:pt>
                <c:pt idx="5">
                  <c:v>32.817982712070176</c:v>
                </c:pt>
                <c:pt idx="6">
                  <c:v>25.611194169707776</c:v>
                </c:pt>
                <c:pt idx="7">
                  <c:v>18.766645023359938</c:v>
                </c:pt>
                <c:pt idx="8">
                  <c:v>13.514508554538208</c:v>
                </c:pt>
                <c:pt idx="9">
                  <c:v>14.491704941884445</c:v>
                </c:pt>
                <c:pt idx="10">
                  <c:v>4.0324694346927989</c:v>
                </c:pt>
                <c:pt idx="11">
                  <c:v>#N/A</c:v>
                </c:pt>
                <c:pt idx="12">
                  <c:v>#N/A</c:v>
                </c:pt>
                <c:pt idx="13">
                  <c:v>#N/A</c:v>
                </c:pt>
                <c:pt idx="14">
                  <c:v>#N/A</c:v>
                </c:pt>
                <c:pt idx="15">
                  <c:v>#N/A</c:v>
                </c:pt>
              </c:numCache>
            </c:numRef>
          </c:val>
          <c:extLst>
            <c:ext xmlns:c16="http://schemas.microsoft.com/office/drawing/2014/chart" uri="{C3380CC4-5D6E-409C-BE32-E72D297353CC}">
              <c16:uniqueId val="{00000004-29B9-4C8D-8102-4F3FEE33859F}"/>
            </c:ext>
          </c:extLst>
        </c:ser>
        <c:ser>
          <c:idx val="3"/>
          <c:order val="1"/>
          <c:tx>
            <c:strRef>
              <c:f>Charts_Capex!$O$88</c:f>
              <c:strCache>
                <c:ptCount val="1"/>
                <c:pt idx="0">
                  <c:v>Forecast</c:v>
                </c:pt>
              </c:strCache>
            </c:strRef>
          </c:tx>
          <c:spPr>
            <a:solidFill>
              <a:srgbClr val="75842F"/>
            </a:solidFill>
            <a:ln>
              <a:solidFill>
                <a:schemeClr val="bg1"/>
              </a:solidFill>
            </a:ln>
            <a:effectLst/>
          </c:spPr>
          <c:invertIfNegative val="0"/>
          <c:dLbls>
            <c:dLbl>
              <c:idx val="11"/>
              <c:layout>
                <c:manualLayout>
                  <c:x val="-8.3949643929404193E-17"/>
                  <c:y val="-4.553001490349154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B9-4C8D-8102-4F3FEE33859F}"/>
                </c:ext>
              </c:extLst>
            </c:dLbl>
            <c:dLbl>
              <c:idx val="12"/>
              <c:layout>
                <c:manualLayout>
                  <c:x val="0"/>
                  <c:y val="-1.73924656931351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B9-4C8D-8102-4F3FEE3385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Charts_Capex!$P$88:$AE$88</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7.3949044268918529</c:v>
                </c:pt>
                <c:pt idx="12">
                  <c:v>5.7559834187772951</c:v>
                </c:pt>
                <c:pt idx="13">
                  <c:v>15.456394555574914</c:v>
                </c:pt>
                <c:pt idx="14">
                  <c:v>17.585137907500812</c:v>
                </c:pt>
                <c:pt idx="15">
                  <c:v>14.397970489733808</c:v>
                </c:pt>
              </c:numCache>
            </c:numRef>
          </c:val>
          <c:extLst>
            <c:ext xmlns:c16="http://schemas.microsoft.com/office/drawing/2014/chart" uri="{C3380CC4-5D6E-409C-BE32-E72D297353CC}">
              <c16:uniqueId val="{00000005-29B9-4C8D-8102-4F3FEE33859F}"/>
            </c:ext>
          </c:extLst>
        </c:ser>
        <c:dLbls>
          <c:showLegendKey val="0"/>
          <c:showVal val="0"/>
          <c:showCatName val="0"/>
          <c:showSerName val="0"/>
          <c:showPercent val="0"/>
          <c:showBubbleSize val="0"/>
        </c:dLbls>
        <c:gapWidth val="20"/>
        <c:overlap val="100"/>
        <c:axId val="165147776"/>
        <c:axId val="165149312"/>
      </c:barChart>
      <c:catAx>
        <c:axId val="16514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149312"/>
        <c:crosses val="autoZero"/>
        <c:auto val="1"/>
        <c:lblAlgn val="ctr"/>
        <c:lblOffset val="100"/>
        <c:noMultiLvlLbl val="0"/>
      </c:catAx>
      <c:valAx>
        <c:axId val="165149312"/>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Charts_Capex!$P$95</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147776"/>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Charts_Capex!$P$22</c:f>
          <c:strCache>
            <c:ptCount val="1"/>
            <c:pt idx="0">
              <c:v>Capex Summary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412742058"/>
          <c:y val="0.15406022845275183"/>
          <c:w val="0.84271235689660551"/>
          <c:h val="0.58332098731560988"/>
        </c:manualLayout>
      </c:layout>
      <c:barChart>
        <c:barDir val="col"/>
        <c:grouping val="stacked"/>
        <c:varyColors val="0"/>
        <c:ser>
          <c:idx val="0"/>
          <c:order val="0"/>
          <c:tx>
            <c:strRef>
              <c:f>Charts_Capex!$O$11</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5-DE8E-4AC8-8F45-F9EE40F14F0A}"/>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6-DE8E-4AC8-8F45-F9EE40F14F0A}"/>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Charts_Capex!$P$11:$AE$11</c:f>
              <c:numCache>
                <c:formatCode>_(#,##0.0_);\(#,##0.0\);_("-"_)</c:formatCode>
                <c:ptCount val="16"/>
                <c:pt idx="0">
                  <c:v>54.598625913533091</c:v>
                </c:pt>
                <c:pt idx="1">
                  <c:v>78.658948226568327</c:v>
                </c:pt>
                <c:pt idx="2">
                  <c:v>90.326859727549859</c:v>
                </c:pt>
                <c:pt idx="3">
                  <c:v>84.653608691599004</c:v>
                </c:pt>
                <c:pt idx="4">
                  <c:v>116.71873745502766</c:v>
                </c:pt>
                <c:pt idx="5">
                  <c:v>89.985820449097545</c:v>
                </c:pt>
                <c:pt idx="6">
                  <c:v>86.063210529636919</c:v>
                </c:pt>
                <c:pt idx="7">
                  <c:v>75.205655752714449</c:v>
                </c:pt>
                <c:pt idx="8">
                  <c:v>66.828646386346392</c:v>
                </c:pt>
                <c:pt idx="9">
                  <c:v>50.33951071768962</c:v>
                </c:pt>
                <c:pt idx="10">
                  <c:v>71.005598556062012</c:v>
                </c:pt>
                <c:pt idx="11">
                  <c:v>#N/A</c:v>
                </c:pt>
                <c:pt idx="12">
                  <c:v>#N/A</c:v>
                </c:pt>
                <c:pt idx="13">
                  <c:v>#N/A</c:v>
                </c:pt>
                <c:pt idx="14">
                  <c:v>#N/A</c:v>
                </c:pt>
                <c:pt idx="15">
                  <c:v>#N/A</c:v>
                </c:pt>
              </c:numCache>
            </c:numRef>
          </c:val>
          <c:extLst>
            <c:ext xmlns:c16="http://schemas.microsoft.com/office/drawing/2014/chart" uri="{C3380CC4-5D6E-409C-BE32-E72D297353CC}">
              <c16:uniqueId val="{00000000-D6EC-48C7-A768-2F14812EB958}"/>
            </c:ext>
          </c:extLst>
        </c:ser>
        <c:ser>
          <c:idx val="3"/>
          <c:order val="2"/>
          <c:tx>
            <c:strRef>
              <c:f>Charts_Capex!$O$14</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Charts_Capex!$P$14:$AE$14</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107.91353420214632</c:v>
                </c:pt>
                <c:pt idx="12">
                  <c:v>88.979072632441515</c:v>
                </c:pt>
                <c:pt idx="13">
                  <c:v>114.8581564429801</c:v>
                </c:pt>
                <c:pt idx="14">
                  <c:v>81.771154364974066</c:v>
                </c:pt>
                <c:pt idx="15">
                  <c:v>77.751381124805462</c:v>
                </c:pt>
              </c:numCache>
            </c:numRef>
          </c:val>
          <c:extLst>
            <c:ext xmlns:c16="http://schemas.microsoft.com/office/drawing/2014/chart" uri="{C3380CC4-5D6E-409C-BE32-E72D297353CC}">
              <c16:uniqueId val="{00000003-D6EC-48C7-A768-2F14812EB958}"/>
            </c:ext>
          </c:extLst>
        </c:ser>
        <c:dLbls>
          <c:showLegendKey val="0"/>
          <c:showVal val="0"/>
          <c:showCatName val="0"/>
          <c:showSerName val="0"/>
          <c:showPercent val="0"/>
          <c:showBubbleSize val="0"/>
        </c:dLbls>
        <c:gapWidth val="20"/>
        <c:overlap val="100"/>
        <c:axId val="162194560"/>
        <c:axId val="162196096"/>
      </c:barChart>
      <c:lineChart>
        <c:grouping val="standard"/>
        <c:varyColors val="0"/>
        <c:ser>
          <c:idx val="1"/>
          <c:order val="1"/>
          <c:tx>
            <c:strRef>
              <c:f>Charts_Capex!$O$12</c:f>
              <c:strCache>
                <c:ptCount val="1"/>
                <c:pt idx="0">
                  <c:v>UC Allowance</c:v>
                </c:pt>
              </c:strCache>
            </c:strRef>
          </c:tx>
          <c:spPr>
            <a:ln w="28575" cap="rnd">
              <a:solidFill>
                <a:srgbClr val="8C1B10"/>
              </a:solidFill>
              <a:round/>
            </a:ln>
            <a:effectLst/>
          </c:spPr>
          <c:marker>
            <c:symbol val="none"/>
          </c:marker>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Charts_Capex!$P$12:$AE$12</c:f>
              <c:numCache>
                <c:formatCode>_(#,##0.0_);\(#,##0.0\);_("-"_)</c:formatCode>
                <c:ptCount val="16"/>
                <c:pt idx="0">
                  <c:v>#N/A</c:v>
                </c:pt>
                <c:pt idx="1">
                  <c:v>#N/A</c:v>
                </c:pt>
                <c:pt idx="2">
                  <c:v>#N/A</c:v>
                </c:pt>
                <c:pt idx="3">
                  <c:v>#N/A</c:v>
                </c:pt>
                <c:pt idx="4">
                  <c:v>#N/A</c:v>
                </c:pt>
                <c:pt idx="5">
                  <c:v>#N/A</c:v>
                </c:pt>
                <c:pt idx="6">
                  <c:v>83.169615434226472</c:v>
                </c:pt>
                <c:pt idx="7">
                  <c:v>60.018618790789311</c:v>
                </c:pt>
                <c:pt idx="8">
                  <c:v>48.532487165237377</c:v>
                </c:pt>
                <c:pt idx="9">
                  <c:v>58.446617463136199</c:v>
                </c:pt>
                <c:pt idx="10">
                  <c:v>70.978226832803173</c:v>
                </c:pt>
                <c:pt idx="11">
                  <c:v>#N/A</c:v>
                </c:pt>
                <c:pt idx="12">
                  <c:v>#N/A</c:v>
                </c:pt>
                <c:pt idx="13">
                  <c:v>#N/A</c:v>
                </c:pt>
                <c:pt idx="14">
                  <c:v>#N/A</c:v>
                </c:pt>
                <c:pt idx="15">
                  <c:v>#N/A</c:v>
                </c:pt>
              </c:numCache>
            </c:numRef>
          </c:val>
          <c:smooth val="0"/>
          <c:extLst>
            <c:ext xmlns:c16="http://schemas.microsoft.com/office/drawing/2014/chart" uri="{C3380CC4-5D6E-409C-BE32-E72D297353CC}">
              <c16:uniqueId val="{00000001-D6EC-48C7-A768-2F14812EB958}"/>
            </c:ext>
          </c:extLst>
        </c:ser>
        <c:ser>
          <c:idx val="4"/>
          <c:order val="3"/>
          <c:tx>
            <c:strRef>
              <c:f>Charts_Capex!$O$15</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E-4AC8-8F45-F9EE40F14F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Charts_Capex!$P$15:$AE$15</c:f>
              <c:numCache>
                <c:formatCode>_(#,##0.0_);\(#,##0.0\);_("-"_)</c:formatCode>
                <c:ptCount val="16"/>
                <c:pt idx="0">
                  <c:v>#N/A</c:v>
                </c:pt>
                <c:pt idx="1">
                  <c:v>92.068794909968489</c:v>
                </c:pt>
                <c:pt idx="2">
                  <c:v>92.068794909968489</c:v>
                </c:pt>
                <c:pt idx="3">
                  <c:v>92.068794909968489</c:v>
                </c:pt>
                <c:pt idx="4">
                  <c:v>92.068794909968489</c:v>
                </c:pt>
                <c:pt idx="5">
                  <c:v>92.068794909968489</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4-D6EC-48C7-A768-2F14812EB958}"/>
            </c:ext>
          </c:extLst>
        </c:ser>
        <c:ser>
          <c:idx val="5"/>
          <c:order val="4"/>
          <c:tx>
            <c:strRef>
              <c:f>Charts_Capex!$O$16</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E-4AC8-8F45-F9EE40F14F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Charts_Capex!$P$16:$AE$16</c:f>
              <c:numCache>
                <c:formatCode>_(#,##0.0_);\(#,##0.0\);_("-"_)</c:formatCode>
                <c:ptCount val="16"/>
                <c:pt idx="0">
                  <c:v>#N/A</c:v>
                </c:pt>
                <c:pt idx="1">
                  <c:v>#N/A</c:v>
                </c:pt>
                <c:pt idx="2">
                  <c:v>#N/A</c:v>
                </c:pt>
                <c:pt idx="3">
                  <c:v>#N/A</c:v>
                </c:pt>
                <c:pt idx="4">
                  <c:v>#N/A</c:v>
                </c:pt>
                <c:pt idx="5">
                  <c:v>#N/A</c:v>
                </c:pt>
                <c:pt idx="6">
                  <c:v>69.888524388489884</c:v>
                </c:pt>
                <c:pt idx="7">
                  <c:v>69.888524388489884</c:v>
                </c:pt>
                <c:pt idx="8">
                  <c:v>69.888524388489884</c:v>
                </c:pt>
                <c:pt idx="9">
                  <c:v>69.888524388489884</c:v>
                </c:pt>
                <c:pt idx="10">
                  <c:v>69.888524388489884</c:v>
                </c:pt>
                <c:pt idx="11">
                  <c:v>#N/A</c:v>
                </c:pt>
                <c:pt idx="12">
                  <c:v>#N/A</c:v>
                </c:pt>
                <c:pt idx="13">
                  <c:v>#N/A</c:v>
                </c:pt>
                <c:pt idx="14">
                  <c:v>#N/A</c:v>
                </c:pt>
                <c:pt idx="15">
                  <c:v>#N/A</c:v>
                </c:pt>
              </c:numCache>
            </c:numRef>
          </c:val>
          <c:smooth val="0"/>
          <c:extLst>
            <c:ext xmlns:c16="http://schemas.microsoft.com/office/drawing/2014/chart" uri="{C3380CC4-5D6E-409C-BE32-E72D297353CC}">
              <c16:uniqueId val="{00000005-D6EC-48C7-A768-2F14812EB958}"/>
            </c:ext>
          </c:extLst>
        </c:ser>
        <c:ser>
          <c:idx val="6"/>
          <c:order val="5"/>
          <c:tx>
            <c:strRef>
              <c:f>Charts_Capex!$O$17</c:f>
              <c:strCache>
                <c:ptCount val="1"/>
                <c:pt idx="0">
                  <c:v>Avg: 20-24</c:v>
                </c:pt>
              </c:strCache>
            </c:strRef>
          </c:tx>
          <c:spPr>
            <a:ln w="28575" cap="rnd">
              <a:solidFill>
                <a:srgbClr val="EF7D17"/>
              </a:solidFill>
              <a:prstDash val="sysDash"/>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8E-4AC8-8F45-F9EE40F14F0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Charts_Capex!$P$17:$AE$17</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94.254659753469497</c:v>
                </c:pt>
                <c:pt idx="12">
                  <c:v>94.254659753469497</c:v>
                </c:pt>
                <c:pt idx="13">
                  <c:v>94.254659753469497</c:v>
                </c:pt>
                <c:pt idx="14">
                  <c:v>94.254659753469497</c:v>
                </c:pt>
                <c:pt idx="15">
                  <c:v>94.254659753469497</c:v>
                </c:pt>
              </c:numCache>
            </c:numRef>
          </c:val>
          <c:smooth val="0"/>
          <c:extLst>
            <c:ext xmlns:c16="http://schemas.microsoft.com/office/drawing/2014/chart" uri="{C3380CC4-5D6E-409C-BE32-E72D297353CC}">
              <c16:uniqueId val="{00000006-D6EC-48C7-A768-2F14812EB958}"/>
            </c:ext>
          </c:extLst>
        </c:ser>
        <c:dLbls>
          <c:showLegendKey val="0"/>
          <c:showVal val="0"/>
          <c:showCatName val="0"/>
          <c:showSerName val="0"/>
          <c:showPercent val="0"/>
          <c:showBubbleSize val="0"/>
        </c:dLbls>
        <c:marker val="1"/>
        <c:smooth val="0"/>
        <c:axId val="162194560"/>
        <c:axId val="162196096"/>
      </c:lineChart>
      <c:catAx>
        <c:axId val="16219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2196096"/>
        <c:crosses val="autoZero"/>
        <c:auto val="1"/>
        <c:lblAlgn val="ctr"/>
        <c:lblOffset val="100"/>
        <c:noMultiLvlLbl val="0"/>
      </c:catAx>
      <c:valAx>
        <c:axId val="162196096"/>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Charts_Capex!$P$21</c:f>
              <c:strCache>
                <c:ptCount val="1"/>
                <c:pt idx="0">
                  <c:v>$Millions</c:v>
                </c:pt>
              </c:strCache>
            </c:strRef>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2194560"/>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Charts_Capex!$O$138</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F46C-4E8A-A826-0C7FA8E83B75}"/>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F46C-4E8A-A826-0C7FA8E83B75}"/>
              </c:ext>
            </c:extLst>
          </c:dPt>
          <c:dLbls>
            <c:dLbl>
              <c:idx val="0"/>
              <c:layout>
                <c:manualLayout>
                  <c:x val="0"/>
                  <c:y val="-1.80238152331302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6C-4E8A-A826-0C7FA8E83B7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Charts_Capex!$P$138:$AE$138</c:f>
              <c:numCache>
                <c:formatCode>_(#,##0.0_);\(#,##0.0\);_("-"_)</c:formatCode>
                <c:ptCount val="16"/>
                <c:pt idx="0">
                  <c:v>4.3299791964410979</c:v>
                </c:pt>
                <c:pt idx="1">
                  <c:v>11.748443313091007</c:v>
                </c:pt>
                <c:pt idx="2">
                  <c:v>29.541935489743636</c:v>
                </c:pt>
                <c:pt idx="3">
                  <c:v>42.960728229977505</c:v>
                </c:pt>
                <c:pt idx="4">
                  <c:v>40.707398343224504</c:v>
                </c:pt>
                <c:pt idx="5">
                  <c:v>47.927120030309332</c:v>
                </c:pt>
                <c:pt idx="6">
                  <c:v>48.082578000733719</c:v>
                </c:pt>
                <c:pt idx="7">
                  <c:v>45.374289958075295</c:v>
                </c:pt>
                <c:pt idx="8">
                  <c:v>29.751610932919064</c:v>
                </c:pt>
                <c:pt idx="9">
                  <c:v>21.266078399811821</c:v>
                </c:pt>
                <c:pt idx="10">
                  <c:v>31.03932160289126</c:v>
                </c:pt>
                <c:pt idx="11">
                  <c:v>#N/A</c:v>
                </c:pt>
                <c:pt idx="12">
                  <c:v>#N/A</c:v>
                </c:pt>
                <c:pt idx="13">
                  <c:v>#N/A</c:v>
                </c:pt>
                <c:pt idx="14">
                  <c:v>#N/A</c:v>
                </c:pt>
                <c:pt idx="15">
                  <c:v>#N/A</c:v>
                </c:pt>
              </c:numCache>
            </c:numRef>
          </c:val>
          <c:extLst>
            <c:ext xmlns:c16="http://schemas.microsoft.com/office/drawing/2014/chart" uri="{C3380CC4-5D6E-409C-BE32-E72D297353CC}">
              <c16:uniqueId val="{00000004-F46C-4E8A-A826-0C7FA8E83B75}"/>
            </c:ext>
          </c:extLst>
        </c:ser>
        <c:ser>
          <c:idx val="3"/>
          <c:order val="1"/>
          <c:tx>
            <c:strRef>
              <c:f>Charts_Capex!$O$139</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Charts_Capex!$P$139:$AE$139</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34.922118004866356</c:v>
                </c:pt>
                <c:pt idx="12">
                  <c:v>38.514520475254891</c:v>
                </c:pt>
                <c:pt idx="13">
                  <c:v>33.444013978344806</c:v>
                </c:pt>
                <c:pt idx="14">
                  <c:v>22.006857340073573</c:v>
                </c:pt>
                <c:pt idx="15">
                  <c:v>19.710304596256083</c:v>
                </c:pt>
              </c:numCache>
            </c:numRef>
          </c:val>
          <c:extLst>
            <c:ext xmlns:c16="http://schemas.microsoft.com/office/drawing/2014/chart" uri="{C3380CC4-5D6E-409C-BE32-E72D297353CC}">
              <c16:uniqueId val="{00000005-F46C-4E8A-A826-0C7FA8E83B75}"/>
            </c:ext>
          </c:extLst>
        </c:ser>
        <c:dLbls>
          <c:showLegendKey val="0"/>
          <c:showVal val="0"/>
          <c:showCatName val="0"/>
          <c:showSerName val="0"/>
          <c:showPercent val="0"/>
          <c:showBubbleSize val="0"/>
        </c:dLbls>
        <c:gapWidth val="20"/>
        <c:overlap val="100"/>
        <c:axId val="165723136"/>
        <c:axId val="165745408"/>
      </c:barChart>
      <c:catAx>
        <c:axId val="16572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745408"/>
        <c:crosses val="autoZero"/>
        <c:auto val="1"/>
        <c:lblAlgn val="ctr"/>
        <c:lblOffset val="100"/>
        <c:noMultiLvlLbl val="0"/>
      </c:catAx>
      <c:valAx>
        <c:axId val="16574540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Charts_Capex!$P$147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723136"/>
        <c:crosses val="autoZero"/>
        <c:crossBetween val="between"/>
      </c:valAx>
      <c:spPr>
        <a:noFill/>
        <a:ln>
          <a:noFill/>
        </a:ln>
        <a:effectLst/>
      </c:spPr>
    </c:plotArea>
    <c:legend>
      <c:legendPos val="b"/>
      <c:layout>
        <c:manualLayout>
          <c:xMode val="edge"/>
          <c:yMode val="edge"/>
          <c:x val="0.12920575703718376"/>
          <c:y val="0.89096475090146443"/>
          <c:w val="0.70244749280553753"/>
          <c:h val="0.10903515109391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Charts_Capex!$O$189</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36BF-40F0-9BA5-9CB39A340C94}"/>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36BF-40F0-9BA5-9CB39A340C9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Charts_Capex!$P$189:$AE$189</c:f>
              <c:numCache>
                <c:formatCode>_(#,##0.0_);\(#,##0.0\);_("-"_)</c:formatCode>
                <c:ptCount val="16"/>
                <c:pt idx="0">
                  <c:v>19.109929613092337</c:v>
                </c:pt>
                <c:pt idx="1">
                  <c:v>10.859686563223205</c:v>
                </c:pt>
                <c:pt idx="2">
                  <c:v>13.464826517578205</c:v>
                </c:pt>
                <c:pt idx="3">
                  <c:v>15.330973907253373</c:v>
                </c:pt>
                <c:pt idx="4">
                  <c:v>16.904882541263301</c:v>
                </c:pt>
                <c:pt idx="5">
                  <c:v>16.020515282316069</c:v>
                </c:pt>
                <c:pt idx="6">
                  <c:v>18.034972361039578</c:v>
                </c:pt>
                <c:pt idx="7">
                  <c:v>14.731192292311784</c:v>
                </c:pt>
                <c:pt idx="8">
                  <c:v>12.309522059828577</c:v>
                </c:pt>
                <c:pt idx="9">
                  <c:v>11.071070222845824</c:v>
                </c:pt>
                <c:pt idx="10">
                  <c:v>11.582349621752176</c:v>
                </c:pt>
                <c:pt idx="11">
                  <c:v>#N/A</c:v>
                </c:pt>
                <c:pt idx="12">
                  <c:v>#N/A</c:v>
                </c:pt>
                <c:pt idx="13">
                  <c:v>#N/A</c:v>
                </c:pt>
                <c:pt idx="14">
                  <c:v>#N/A</c:v>
                </c:pt>
                <c:pt idx="15">
                  <c:v>#N/A</c:v>
                </c:pt>
              </c:numCache>
            </c:numRef>
          </c:val>
          <c:extLst>
            <c:ext xmlns:c16="http://schemas.microsoft.com/office/drawing/2014/chart" uri="{C3380CC4-5D6E-409C-BE32-E72D297353CC}">
              <c16:uniqueId val="{00000004-36BF-40F0-9BA5-9CB39A340C94}"/>
            </c:ext>
          </c:extLst>
        </c:ser>
        <c:ser>
          <c:idx val="3"/>
          <c:order val="1"/>
          <c:tx>
            <c:strRef>
              <c:f>Charts_Capex!$O$190</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Charts_Capex!$P$190:$AE$190</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12.647893670135225</c:v>
                </c:pt>
                <c:pt idx="12">
                  <c:v>13.378655156962429</c:v>
                </c:pt>
                <c:pt idx="13">
                  <c:v>13.564976556766927</c:v>
                </c:pt>
                <c:pt idx="14">
                  <c:v>11.49268757276556</c:v>
                </c:pt>
                <c:pt idx="15">
                  <c:v>11.589754799327023</c:v>
                </c:pt>
              </c:numCache>
            </c:numRef>
          </c:val>
          <c:extLst>
            <c:ext xmlns:c16="http://schemas.microsoft.com/office/drawing/2014/chart" uri="{C3380CC4-5D6E-409C-BE32-E72D297353CC}">
              <c16:uniqueId val="{00000005-36BF-40F0-9BA5-9CB39A340C94}"/>
            </c:ext>
          </c:extLst>
        </c:ser>
        <c:dLbls>
          <c:showLegendKey val="0"/>
          <c:showVal val="0"/>
          <c:showCatName val="0"/>
          <c:showSerName val="0"/>
          <c:showPercent val="0"/>
          <c:showBubbleSize val="0"/>
        </c:dLbls>
        <c:gapWidth val="20"/>
        <c:overlap val="100"/>
        <c:axId val="165790464"/>
        <c:axId val="165792000"/>
      </c:barChart>
      <c:catAx>
        <c:axId val="16579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792000"/>
        <c:crosses val="autoZero"/>
        <c:auto val="1"/>
        <c:lblAlgn val="ctr"/>
        <c:lblOffset val="100"/>
        <c:noMultiLvlLbl val="0"/>
      </c:catAx>
      <c:valAx>
        <c:axId val="16579200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Charts_Capex!$P$197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790464"/>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Charts_Capex!$O$240</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2AAB-4290-AE32-A7D857685FF5}"/>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2AAB-4290-AE32-A7D857685FF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Charts_Capex!$P$240:$AE$240</c:f>
              <c:numCache>
                <c:formatCode>_(#,##0.0_);\(#,##0.0\);_("-"_)</c:formatCode>
                <c:ptCount val="16"/>
                <c:pt idx="0">
                  <c:v>0</c:v>
                </c:pt>
                <c:pt idx="1">
                  <c:v>6.6954741602431131E-2</c:v>
                </c:pt>
                <c:pt idx="2">
                  <c:v>4.3284724288216845</c:v>
                </c:pt>
                <c:pt idx="3">
                  <c:v>3.1549043582424359</c:v>
                </c:pt>
                <c:pt idx="4">
                  <c:v>2.8058150627847529</c:v>
                </c:pt>
                <c:pt idx="5">
                  <c:v>0.67159828000529098</c:v>
                </c:pt>
                <c:pt idx="6">
                  <c:v>0.45442323372840304</c:v>
                </c:pt>
                <c:pt idx="7">
                  <c:v>0.95626949276551076</c:v>
                </c:pt>
                <c:pt idx="8">
                  <c:v>2.8817100302687852</c:v>
                </c:pt>
                <c:pt idx="9">
                  <c:v>4.5979011515897028</c:v>
                </c:pt>
                <c:pt idx="10">
                  <c:v>4.8127529196320751</c:v>
                </c:pt>
                <c:pt idx="11">
                  <c:v>#N/A</c:v>
                </c:pt>
                <c:pt idx="12">
                  <c:v>#N/A</c:v>
                </c:pt>
                <c:pt idx="13">
                  <c:v>#N/A</c:v>
                </c:pt>
                <c:pt idx="14">
                  <c:v>#N/A</c:v>
                </c:pt>
                <c:pt idx="15">
                  <c:v>#N/A</c:v>
                </c:pt>
              </c:numCache>
            </c:numRef>
          </c:val>
          <c:extLst>
            <c:ext xmlns:c16="http://schemas.microsoft.com/office/drawing/2014/chart" uri="{C3380CC4-5D6E-409C-BE32-E72D297353CC}">
              <c16:uniqueId val="{00000004-2AAB-4290-AE32-A7D857685FF5}"/>
            </c:ext>
          </c:extLst>
        </c:ser>
        <c:ser>
          <c:idx val="3"/>
          <c:order val="1"/>
          <c:tx>
            <c:strRef>
              <c:f>Charts_Capex!$O$241</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Charts_Capex!$P$241:$AE$241</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10.761451866960643</c:v>
                </c:pt>
                <c:pt idx="12">
                  <c:v>9.4308482188013425</c:v>
                </c:pt>
                <c:pt idx="13">
                  <c:v>7.3596957973945534</c:v>
                </c:pt>
                <c:pt idx="14">
                  <c:v>4.8917166176201921</c:v>
                </c:pt>
                <c:pt idx="15">
                  <c:v>5.0514562576843405</c:v>
                </c:pt>
              </c:numCache>
            </c:numRef>
          </c:val>
          <c:extLst>
            <c:ext xmlns:c16="http://schemas.microsoft.com/office/drawing/2014/chart" uri="{C3380CC4-5D6E-409C-BE32-E72D297353CC}">
              <c16:uniqueId val="{00000005-2AAB-4290-AE32-A7D857685FF5}"/>
            </c:ext>
          </c:extLst>
        </c:ser>
        <c:dLbls>
          <c:showLegendKey val="0"/>
          <c:showVal val="0"/>
          <c:showCatName val="0"/>
          <c:showSerName val="0"/>
          <c:showPercent val="0"/>
          <c:showBubbleSize val="0"/>
        </c:dLbls>
        <c:gapWidth val="20"/>
        <c:overlap val="100"/>
        <c:axId val="165837056"/>
        <c:axId val="165851136"/>
      </c:barChart>
      <c:catAx>
        <c:axId val="16583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851136"/>
        <c:crosses val="autoZero"/>
        <c:auto val="1"/>
        <c:lblAlgn val="ctr"/>
        <c:lblOffset val="100"/>
        <c:noMultiLvlLbl val="0"/>
      </c:catAx>
      <c:valAx>
        <c:axId val="165851136"/>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Charts_Capex!$P$248</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837056"/>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62578931712836572"/>
          <c:h val="0.58332098731560988"/>
        </c:manualLayout>
      </c:layout>
      <c:barChart>
        <c:barDir val="col"/>
        <c:grouping val="stacked"/>
        <c:varyColors val="0"/>
        <c:ser>
          <c:idx val="3"/>
          <c:order val="0"/>
          <c:tx>
            <c:strRef>
              <c:f>'11'!$D$92</c:f>
              <c:strCache>
                <c:ptCount val="1"/>
                <c:pt idx="0">
                  <c:v>Adjusted base year</c:v>
                </c:pt>
              </c:strCache>
            </c:strRef>
          </c:tx>
          <c:spPr>
            <a:solidFill>
              <a:srgbClr val="2A3D6F"/>
            </a:solidFill>
            <a:ln w="635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Charts_Opex!$AA$35:$AE$35</c:f>
              <c:strCache>
                <c:ptCount val="5"/>
                <c:pt idx="0">
                  <c:v>RY20</c:v>
                </c:pt>
                <c:pt idx="1">
                  <c:v>RY21</c:v>
                </c:pt>
                <c:pt idx="2">
                  <c:v>RY22</c:v>
                </c:pt>
                <c:pt idx="3">
                  <c:v>RY23</c:v>
                </c:pt>
                <c:pt idx="4">
                  <c:v>RY24</c:v>
                </c:pt>
              </c:strCache>
            </c:strRef>
          </c:cat>
          <c:val>
            <c:numRef>
              <c:f>'11'!$E$92:$I$92</c:f>
              <c:numCache>
                <c:formatCode>_(* #,##0.00_);_(* \(#,##0.00\);_(* "-"??_);_(@_)</c:formatCode>
                <c:ptCount val="5"/>
                <c:pt idx="0">
                  <c:v>63.292621077494871</c:v>
                </c:pt>
                <c:pt idx="1">
                  <c:v>63.292621077494871</c:v>
                </c:pt>
                <c:pt idx="2">
                  <c:v>63.292621077494871</c:v>
                </c:pt>
                <c:pt idx="3">
                  <c:v>63.292621077494871</c:v>
                </c:pt>
                <c:pt idx="4">
                  <c:v>63.292621077494871</c:v>
                </c:pt>
              </c:numCache>
            </c:numRef>
          </c:val>
          <c:extLst>
            <c:ext xmlns:c16="http://schemas.microsoft.com/office/drawing/2014/chart" uri="{C3380CC4-5D6E-409C-BE32-E72D297353CC}">
              <c16:uniqueId val="{00000005-DDC7-4951-8238-118C90642BA6}"/>
            </c:ext>
          </c:extLst>
        </c:ser>
        <c:ser>
          <c:idx val="7"/>
          <c:order val="1"/>
          <c:tx>
            <c:strRef>
              <c:f>'11'!$D$140</c:f>
              <c:strCache>
                <c:ptCount val="1"/>
                <c:pt idx="0">
                  <c:v>Step Changes</c:v>
                </c:pt>
              </c:strCache>
            </c:strRef>
          </c:tx>
          <c:spPr>
            <a:solidFill>
              <a:srgbClr val="0061AC"/>
            </a:solidFill>
            <a:ln w="6350">
              <a:solidFill>
                <a:schemeClr val="bg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Charts_Opex!$AA$35:$AE$35</c:f>
              <c:strCache>
                <c:ptCount val="5"/>
                <c:pt idx="0">
                  <c:v>RY20</c:v>
                </c:pt>
                <c:pt idx="1">
                  <c:v>RY21</c:v>
                </c:pt>
                <c:pt idx="2">
                  <c:v>RY22</c:v>
                </c:pt>
                <c:pt idx="3">
                  <c:v>RY23</c:v>
                </c:pt>
                <c:pt idx="4">
                  <c:v>RY24</c:v>
                </c:pt>
              </c:strCache>
            </c:strRef>
          </c:cat>
          <c:val>
            <c:numRef>
              <c:f>'11'!$E$140:$I$140</c:f>
              <c:numCache>
                <c:formatCode>_(* #,##0.00_);_(* \(#,##0.00\);_(* "-"??_);_(@_)</c:formatCode>
                <c:ptCount val="5"/>
                <c:pt idx="0">
                  <c:v>1.4819523350621708</c:v>
                </c:pt>
                <c:pt idx="1">
                  <c:v>1.4813587957325416</c:v>
                </c:pt>
                <c:pt idx="2">
                  <c:v>1.4801476647536049</c:v>
                </c:pt>
                <c:pt idx="3">
                  <c:v>1.4794653728262701</c:v>
                </c:pt>
                <c:pt idx="4">
                  <c:v>1.4789588057658611</c:v>
                </c:pt>
              </c:numCache>
            </c:numRef>
          </c:val>
          <c:extLst>
            <c:ext xmlns:c16="http://schemas.microsoft.com/office/drawing/2014/chart" uri="{C3380CC4-5D6E-409C-BE32-E72D297353CC}">
              <c16:uniqueId val="{00000006-DDC7-4951-8238-118C90642BA6}"/>
            </c:ext>
          </c:extLst>
        </c:ser>
        <c:ser>
          <c:idx val="8"/>
          <c:order val="2"/>
          <c:tx>
            <c:strRef>
              <c:f>'11'!$D$141</c:f>
              <c:strCache>
                <c:ptCount val="1"/>
                <c:pt idx="0">
                  <c:v>Output Growth</c:v>
                </c:pt>
              </c:strCache>
            </c:strRef>
          </c:tx>
          <c:spPr>
            <a:solidFill>
              <a:srgbClr val="4BB0E4">
                <a:alpha val="5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Charts_Opex!$AA$35:$AE$35</c:f>
              <c:strCache>
                <c:ptCount val="5"/>
                <c:pt idx="0">
                  <c:v>RY20</c:v>
                </c:pt>
                <c:pt idx="1">
                  <c:v>RY21</c:v>
                </c:pt>
                <c:pt idx="2">
                  <c:v>RY22</c:v>
                </c:pt>
                <c:pt idx="3">
                  <c:v>RY23</c:v>
                </c:pt>
                <c:pt idx="4">
                  <c:v>RY24</c:v>
                </c:pt>
              </c:strCache>
            </c:strRef>
          </c:cat>
          <c:val>
            <c:numRef>
              <c:f>'11'!$E$141:$I$141</c:f>
              <c:numCache>
                <c:formatCode>_(* #,##0.00_);_(* \(#,##0.00\);_(* "-"??_);_(@_)</c:formatCode>
                <c:ptCount val="5"/>
                <c:pt idx="0">
                  <c:v>0.42224217722512747</c:v>
                </c:pt>
                <c:pt idx="1">
                  <c:v>0.91633094912223556</c:v>
                </c:pt>
                <c:pt idx="2">
                  <c:v>1.4461329557320985</c:v>
                </c:pt>
                <c:pt idx="3">
                  <c:v>1.7426884230243711</c:v>
                </c:pt>
                <c:pt idx="4">
                  <c:v>2.035188366239574</c:v>
                </c:pt>
              </c:numCache>
            </c:numRef>
          </c:val>
          <c:extLst>
            <c:ext xmlns:c16="http://schemas.microsoft.com/office/drawing/2014/chart" uri="{C3380CC4-5D6E-409C-BE32-E72D297353CC}">
              <c16:uniqueId val="{00000007-DDC7-4951-8238-118C90642BA6}"/>
            </c:ext>
          </c:extLst>
        </c:ser>
        <c:ser>
          <c:idx val="0"/>
          <c:order val="3"/>
          <c:tx>
            <c:strRef>
              <c:f>'11'!$D$142</c:f>
              <c:strCache>
                <c:ptCount val="1"/>
                <c:pt idx="0">
                  <c:v>Price Growth</c:v>
                </c:pt>
              </c:strCache>
            </c:strRef>
          </c:tx>
          <c:spPr>
            <a:solidFill>
              <a:srgbClr val="EF7D1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Charts_Opex!$AA$35:$AE$35</c:f>
              <c:strCache>
                <c:ptCount val="5"/>
                <c:pt idx="0">
                  <c:v>RY20</c:v>
                </c:pt>
                <c:pt idx="1">
                  <c:v>RY21</c:v>
                </c:pt>
                <c:pt idx="2">
                  <c:v>RY22</c:v>
                </c:pt>
                <c:pt idx="3">
                  <c:v>RY23</c:v>
                </c:pt>
                <c:pt idx="4">
                  <c:v>RY24</c:v>
                </c:pt>
              </c:strCache>
            </c:strRef>
          </c:cat>
          <c:val>
            <c:numRef>
              <c:f>'11'!$E$142:$I$142</c:f>
              <c:numCache>
                <c:formatCode>_(* #,##0.00_);_(* \(#,##0.00\);_(* "-"??_);_(@_)</c:formatCode>
                <c:ptCount val="5"/>
                <c:pt idx="0">
                  <c:v>0.34108199283304358</c:v>
                </c:pt>
                <c:pt idx="1">
                  <c:v>0.72453185421606248</c:v>
                </c:pt>
                <c:pt idx="2">
                  <c:v>1.1905806016878753</c:v>
                </c:pt>
                <c:pt idx="3">
                  <c:v>1.7014393401675711</c:v>
                </c:pt>
                <c:pt idx="4">
                  <c:v>2.1397197078761412</c:v>
                </c:pt>
              </c:numCache>
            </c:numRef>
          </c:val>
          <c:extLst>
            <c:ext xmlns:c16="http://schemas.microsoft.com/office/drawing/2014/chart" uri="{C3380CC4-5D6E-409C-BE32-E72D297353CC}">
              <c16:uniqueId val="{00000020-DDC7-4951-8238-118C90642BA6}"/>
            </c:ext>
          </c:extLst>
        </c:ser>
        <c:ser>
          <c:idx val="1"/>
          <c:order val="4"/>
          <c:tx>
            <c:strRef>
              <c:f>'11'!$D$144</c:f>
              <c:strCache>
                <c:ptCount val="1"/>
                <c:pt idx="0">
                  <c:v>Debt raising costs</c:v>
                </c:pt>
              </c:strCache>
            </c:strRef>
          </c:tx>
          <c:spPr>
            <a:solidFill>
              <a:srgbClr val="75842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Charts_Opex!$AA$35:$AE$35</c:f>
              <c:strCache>
                <c:ptCount val="5"/>
                <c:pt idx="0">
                  <c:v>RY20</c:v>
                </c:pt>
                <c:pt idx="1">
                  <c:v>RY21</c:v>
                </c:pt>
                <c:pt idx="2">
                  <c:v>RY22</c:v>
                </c:pt>
                <c:pt idx="3">
                  <c:v>RY23</c:v>
                </c:pt>
                <c:pt idx="4">
                  <c:v>RY24</c:v>
                </c:pt>
              </c:strCache>
            </c:strRef>
          </c:cat>
          <c:val>
            <c:numRef>
              <c:f>'11'!$E$144:$I$144</c:f>
              <c:numCache>
                <c:formatCode>_(* #,##0.00_);_(* \(#,##0.00\);_(* "-"??_);_(@_)</c:formatCode>
                <c:ptCount val="5"/>
                <c:pt idx="0">
                  <c:v>0.50798876941566162</c:v>
                </c:pt>
                <c:pt idx="1">
                  <c:v>0.53411615195923456</c:v>
                </c:pt>
                <c:pt idx="2">
                  <c:v>0.54541160462548</c:v>
                </c:pt>
                <c:pt idx="3">
                  <c:v>0.56757990411327119</c:v>
                </c:pt>
                <c:pt idx="4">
                  <c:v>0.57108099711099358</c:v>
                </c:pt>
              </c:numCache>
            </c:numRef>
          </c:val>
          <c:extLst>
            <c:ext xmlns:c16="http://schemas.microsoft.com/office/drawing/2014/chart" uri="{C3380CC4-5D6E-409C-BE32-E72D297353CC}">
              <c16:uniqueId val="{00000021-DDC7-4951-8238-118C90642BA6}"/>
            </c:ext>
          </c:extLst>
        </c:ser>
        <c:dLbls>
          <c:showLegendKey val="0"/>
          <c:showVal val="0"/>
          <c:showCatName val="0"/>
          <c:showSerName val="0"/>
          <c:showPercent val="0"/>
          <c:showBubbleSize val="0"/>
        </c:dLbls>
        <c:gapWidth val="20"/>
        <c:overlap val="100"/>
        <c:axId val="165455744"/>
        <c:axId val="165457280"/>
      </c:barChart>
      <c:lineChart>
        <c:grouping val="standard"/>
        <c:varyColors val="0"/>
        <c:ser>
          <c:idx val="2"/>
          <c:order val="5"/>
          <c:tx>
            <c:v/>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'11'!$E$8:$I$8</c:f>
              <c:strCache>
                <c:ptCount val="5"/>
                <c:pt idx="0">
                  <c:v>2019-20</c:v>
                </c:pt>
                <c:pt idx="1">
                  <c:v>2020-21</c:v>
                </c:pt>
                <c:pt idx="2">
                  <c:v>2021-22</c:v>
                </c:pt>
                <c:pt idx="3">
                  <c:v>2022-23</c:v>
                </c:pt>
                <c:pt idx="4">
                  <c:v>2023-24</c:v>
                </c:pt>
              </c:strCache>
            </c:strRef>
          </c:cat>
          <c:val>
            <c:numRef>
              <c:f>'11'!$E$9:$I$9</c:f>
              <c:numCache>
                <c:formatCode>_(* #,##0.00_);_(* \(#,##0.00\);_(* "-"??_);_(@_)</c:formatCode>
                <c:ptCount val="5"/>
                <c:pt idx="0">
                  <c:v>66.045886352030877</c:v>
                </c:pt>
                <c:pt idx="1">
                  <c:v>66.948958828524951</c:v>
                </c:pt>
                <c:pt idx="2">
                  <c:v>67.954893904293939</c:v>
                </c:pt>
                <c:pt idx="3">
                  <c:v>68.783794117626343</c:v>
                </c:pt>
                <c:pt idx="4">
                  <c:v>69.517568954487444</c:v>
                </c:pt>
              </c:numCache>
            </c:numRef>
          </c:val>
          <c:smooth val="0"/>
          <c:extLst>
            <c:ext xmlns:c16="http://schemas.microsoft.com/office/drawing/2014/chart" uri="{C3380CC4-5D6E-409C-BE32-E72D297353CC}">
              <c16:uniqueId val="{00000022-DDC7-4951-8238-118C90642BA6}"/>
            </c:ext>
          </c:extLst>
        </c:ser>
        <c:dLbls>
          <c:showLegendKey val="0"/>
          <c:showVal val="0"/>
          <c:showCatName val="0"/>
          <c:showSerName val="0"/>
          <c:showPercent val="0"/>
          <c:showBubbleSize val="0"/>
        </c:dLbls>
        <c:marker val="1"/>
        <c:smooth val="0"/>
        <c:axId val="165455744"/>
        <c:axId val="165457280"/>
      </c:lineChart>
      <c:catAx>
        <c:axId val="16545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457280"/>
        <c:crosses val="autoZero"/>
        <c:auto val="1"/>
        <c:lblAlgn val="ctr"/>
        <c:lblOffset val="100"/>
        <c:noMultiLvlLbl val="0"/>
      </c:catAx>
      <c:valAx>
        <c:axId val="165457280"/>
        <c:scaling>
          <c:orientation val="minMax"/>
          <c:min val="60"/>
        </c:scaling>
        <c:delete val="0"/>
        <c:axPos val="l"/>
        <c:majorGridlines>
          <c:spPr>
            <a:ln w="9525" cap="flat" cmpd="sng" algn="ctr">
              <a:solidFill>
                <a:schemeClr val="tx1">
                  <a:lumMod val="15000"/>
                  <a:lumOff val="85000"/>
                </a:schemeClr>
              </a:solidFill>
              <a:round/>
            </a:ln>
            <a:effectLst/>
          </c:spPr>
        </c:majorGridlines>
        <c:title>
          <c:tx>
            <c:strRef>
              <c:f>Charts_Opex!$P$47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5455744"/>
        <c:crosses val="autoZero"/>
        <c:crossBetween val="between"/>
      </c:valAx>
      <c:spPr>
        <a:noFill/>
        <a:ln>
          <a:noFill/>
        </a:ln>
        <a:effectLst/>
      </c:spPr>
    </c:plotArea>
    <c:legend>
      <c:legendPos val="b"/>
      <c:layout>
        <c:manualLayout>
          <c:xMode val="edge"/>
          <c:yMode val="edge"/>
          <c:x val="2.5359541208936465E-2"/>
          <c:y val="0.89096475090146443"/>
          <c:w val="0.72716373605431484"/>
          <c:h val="0.109035296655382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3"/>
          <c:order val="2"/>
          <c:tx>
            <c:strRef>
              <c:f>Charts_Opex!$O$40</c:f>
              <c:strCache>
                <c:ptCount val="1"/>
                <c:pt idx="0">
                  <c:v>Forecast</c:v>
                </c:pt>
              </c:strCache>
            </c:strRef>
          </c:tx>
          <c:spPr>
            <a:solidFill>
              <a:srgbClr val="75842F"/>
            </a:solidFill>
            <a:ln>
              <a:solidFill>
                <a:schemeClr val="bg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5188-463B-8078-BE12F68B0CB4}"/>
                </c:ext>
              </c:extLst>
            </c:dLbl>
            <c:dLbl>
              <c:idx val="1"/>
              <c:delete val="1"/>
              <c:extLst>
                <c:ext xmlns:c15="http://schemas.microsoft.com/office/drawing/2012/chart" uri="{CE6537A1-D6FC-4f65-9D91-7224C49458BB}"/>
                <c:ext xmlns:c16="http://schemas.microsoft.com/office/drawing/2014/chart" uri="{C3380CC4-5D6E-409C-BE32-E72D297353CC}">
                  <c16:uniqueId val="{00000009-5188-463B-8078-BE12F68B0CB4}"/>
                </c:ext>
              </c:extLst>
            </c:dLbl>
            <c:dLbl>
              <c:idx val="2"/>
              <c:delete val="1"/>
              <c:extLst>
                <c:ext xmlns:c15="http://schemas.microsoft.com/office/drawing/2012/chart" uri="{CE6537A1-D6FC-4f65-9D91-7224C49458BB}"/>
                <c:ext xmlns:c16="http://schemas.microsoft.com/office/drawing/2014/chart" uri="{C3380CC4-5D6E-409C-BE32-E72D297353CC}">
                  <c16:uniqueId val="{00000008-5188-463B-8078-BE12F68B0CB4}"/>
                </c:ext>
              </c:extLst>
            </c:dLbl>
            <c:dLbl>
              <c:idx val="3"/>
              <c:delete val="1"/>
              <c:extLst>
                <c:ext xmlns:c15="http://schemas.microsoft.com/office/drawing/2012/chart" uri="{CE6537A1-D6FC-4f65-9D91-7224C49458BB}"/>
                <c:ext xmlns:c16="http://schemas.microsoft.com/office/drawing/2014/chart" uri="{C3380CC4-5D6E-409C-BE32-E72D297353CC}">
                  <c16:uniqueId val="{00000007-5188-463B-8078-BE12F68B0CB4}"/>
                </c:ext>
              </c:extLst>
            </c:dLbl>
            <c:dLbl>
              <c:idx val="4"/>
              <c:delete val="1"/>
              <c:extLst>
                <c:ext xmlns:c15="http://schemas.microsoft.com/office/drawing/2012/chart" uri="{CE6537A1-D6FC-4f65-9D91-7224C49458BB}"/>
                <c:ext xmlns:c16="http://schemas.microsoft.com/office/drawing/2014/chart" uri="{C3380CC4-5D6E-409C-BE32-E72D297353CC}">
                  <c16:uniqueId val="{00000006-5188-463B-8078-BE12F68B0C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Charts_Opex!$P$40:$AE$40</c15:sqref>
                  </c15:fullRef>
                </c:ext>
              </c:extLst>
              <c:f>Charts_Opex!$V$40:$AE$40</c:f>
              <c:numCache>
                <c:formatCode>_(#,##0.0_);\(#,##0.0\);_("-"_)</c:formatCode>
                <c:ptCount val="10"/>
                <c:pt idx="0">
                  <c:v>#N/A</c:v>
                </c:pt>
                <c:pt idx="1">
                  <c:v>#N/A</c:v>
                </c:pt>
                <c:pt idx="2">
                  <c:v>#N/A</c:v>
                </c:pt>
                <c:pt idx="3">
                  <c:v>#N/A</c:v>
                </c:pt>
                <c:pt idx="4">
                  <c:v>#N/A</c:v>
                </c:pt>
                <c:pt idx="5">
                  <c:v>66.045886352030877</c:v>
                </c:pt>
                <c:pt idx="6">
                  <c:v>66.948958828524951</c:v>
                </c:pt>
                <c:pt idx="7">
                  <c:v>67.954893904293939</c:v>
                </c:pt>
                <c:pt idx="8">
                  <c:v>68.783794117626343</c:v>
                </c:pt>
                <c:pt idx="9">
                  <c:v>69.517568954487444</c:v>
                </c:pt>
              </c:numCache>
            </c:numRef>
          </c:val>
          <c:extLst>
            <c:ext xmlns:c16="http://schemas.microsoft.com/office/drawing/2014/chart" uri="{C3380CC4-5D6E-409C-BE32-E72D297353CC}">
              <c16:uniqueId val="{00000005-8617-4132-807E-BEF8C0266B40}"/>
            </c:ext>
          </c:extLst>
        </c:ser>
        <c:ser>
          <c:idx val="7"/>
          <c:order val="6"/>
          <c:tx>
            <c:strRef>
              <c:f>Charts_Opex!$O$39</c:f>
              <c:strCache>
                <c:ptCount val="1"/>
                <c:pt idx="0">
                  <c:v>Actuals</c:v>
                </c:pt>
              </c:strCache>
            </c:strRef>
          </c:tx>
          <c:spPr>
            <a:solidFill>
              <a:srgbClr val="2A3D6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0"/>
              <c:pt idx="0">
                <c:v>RY15</c:v>
              </c:pt>
              <c:pt idx="1">
                <c:v>RY16</c:v>
              </c:pt>
              <c:pt idx="2">
                <c:v>RY17</c:v>
              </c:pt>
              <c:pt idx="3">
                <c:v>RY18</c:v>
              </c:pt>
              <c:pt idx="4">
                <c:v>RY19</c:v>
              </c:pt>
              <c:pt idx="5">
                <c:v>RY20</c:v>
              </c:pt>
              <c:pt idx="6">
                <c:v>RY21</c:v>
              </c:pt>
              <c:pt idx="7">
                <c:v>RY22</c:v>
              </c:pt>
              <c:pt idx="8">
                <c:v>RY23</c:v>
              </c:pt>
              <c:pt idx="9">
                <c:v>RY24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Charts_Opex!$P$39:$AE$39</c15:sqref>
                  </c15:fullRef>
                </c:ext>
              </c:extLst>
              <c:f>Charts_Opex!$V$39:$AE$39</c:f>
              <c:numCache>
                <c:formatCode>_(#,##0.0_);\(#,##0.0\);_("-"_)</c:formatCode>
                <c:ptCount val="10"/>
                <c:pt idx="0">
                  <c:v>80.833403341474423</c:v>
                </c:pt>
                <c:pt idx="1">
                  <c:v>85.9020533380328</c:v>
                </c:pt>
                <c:pt idx="2">
                  <c:v>70.912937930713994</c:v>
                </c:pt>
                <c:pt idx="3">
                  <c:v>75.793555074662947</c:v>
                </c:pt>
                <c:pt idx="4">
                  <c:v>75.793555074662947</c:v>
                </c:pt>
                <c:pt idx="5">
                  <c:v>#N/A</c:v>
                </c:pt>
                <c:pt idx="6">
                  <c:v>#N/A</c:v>
                </c:pt>
                <c:pt idx="7">
                  <c:v>#N/A</c:v>
                </c:pt>
                <c:pt idx="8">
                  <c:v>#N/A</c:v>
                </c:pt>
                <c:pt idx="9">
                  <c:v>#N/A</c:v>
                </c:pt>
              </c:numCache>
            </c:numRef>
          </c:val>
          <c:extLst>
            <c:ext xmlns:c16="http://schemas.microsoft.com/office/drawing/2014/chart" uri="{C3380CC4-5D6E-409C-BE32-E72D297353CC}">
              <c16:uniqueId val="{00000005-A8BF-4A99-846D-64BD7A894684}"/>
            </c:ext>
          </c:extLst>
        </c:ser>
        <c:ser>
          <c:idx val="8"/>
          <c:order val="7"/>
          <c:tx>
            <c:strRef>
              <c:f>Charts_Opex!$O$53</c:f>
              <c:strCache>
                <c:ptCount val="1"/>
                <c:pt idx="0">
                  <c:v>Capitalised overheads</c:v>
                </c:pt>
              </c:strCache>
            </c:strRef>
          </c:tx>
          <c:spPr>
            <a:solidFill>
              <a:srgbClr val="EF7D17">
                <a:alpha val="50000"/>
              </a:srgb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Charts_Opex!$P$53:$AE$53</c15:sqref>
                  </c15:fullRef>
                </c:ext>
              </c:extLst>
              <c:f>Charts_Opex!$V$53:$AE$53</c:f>
              <c:numCache>
                <c:formatCode>_(#,##0.0_);\(#,##0.0\);_("-"_)</c:formatCode>
                <c:ptCount val="10"/>
                <c:pt idx="0">
                  <c:v>#N/A</c:v>
                </c:pt>
                <c:pt idx="1">
                  <c:v>#N/A</c:v>
                </c:pt>
                <c:pt idx="2">
                  <c:v>12.694556865798416</c:v>
                </c:pt>
                <c:pt idx="3">
                  <c:v>12.694556865798416</c:v>
                </c:pt>
                <c:pt idx="4">
                  <c:v>12.857796817934315</c:v>
                </c:pt>
                <c:pt idx="5">
                  <c:v>13.012869520178294</c:v>
                </c:pt>
                <c:pt idx="6">
                  <c:v>13.191144558700126</c:v>
                </c:pt>
                <c:pt idx="7">
                  <c:v>13.393456838449177</c:v>
                </c:pt>
                <c:pt idx="8">
                  <c:v>13.557488562506315</c:v>
                </c:pt>
                <c:pt idx="9">
                  <c:v>13.705951532618363</c:v>
                </c:pt>
              </c:numCache>
            </c:numRef>
          </c:val>
          <c:extLst>
            <c:ext xmlns:c16="http://schemas.microsoft.com/office/drawing/2014/chart" uri="{C3380CC4-5D6E-409C-BE32-E72D297353CC}">
              <c16:uniqueId val="{00000005-5188-463B-8078-BE12F68B0CB4}"/>
            </c:ext>
          </c:extLst>
        </c:ser>
        <c:dLbls>
          <c:showLegendKey val="0"/>
          <c:showVal val="0"/>
          <c:showCatName val="0"/>
          <c:showSerName val="0"/>
          <c:showPercent val="0"/>
          <c:showBubbleSize val="0"/>
        </c:dLbls>
        <c:gapWidth val="20"/>
        <c:overlap val="100"/>
        <c:axId val="166483840"/>
        <c:axId val="166485376"/>
      </c:barChart>
      <c:lineChart>
        <c:grouping val="standard"/>
        <c:varyColors val="0"/>
        <c:ser>
          <c:idx val="1"/>
          <c:order val="1"/>
          <c:tx>
            <c:strRef>
              <c:f>Charts_Opex!$O$37</c:f>
              <c:strCache>
                <c:ptCount val="1"/>
                <c:pt idx="0">
                  <c:v>UC/MD Allowance</c:v>
                </c:pt>
              </c:strCache>
            </c:strRef>
          </c:tx>
          <c:spPr>
            <a:ln w="28575" cap="rnd">
              <a:solidFill>
                <a:srgbClr val="4BB0E4"/>
              </a:solidFill>
              <a:round/>
            </a:ln>
            <a:effectLst/>
          </c:spPr>
          <c:marker>
            <c:symbol val="none"/>
          </c:marker>
          <c:dPt>
            <c:idx val="0"/>
            <c:marker>
              <c:symbol val="circle"/>
              <c:size val="5"/>
              <c:spPr>
                <a:solidFill>
                  <a:srgbClr val="4BB0E4"/>
                </a:solidFill>
                <a:ln w="9525">
                  <a:solidFill>
                    <a:srgbClr val="4BB0E4"/>
                  </a:solidFill>
                </a:ln>
                <a:effectLst/>
              </c:spPr>
            </c:marker>
            <c:bubble3D val="0"/>
            <c:extLst>
              <c:ext xmlns:c16="http://schemas.microsoft.com/office/drawing/2014/chart" uri="{C3380CC4-5D6E-409C-BE32-E72D297353CC}">
                <c16:uniqueId val="{00000004-A779-4D0C-A46E-CAAD152CA20E}"/>
              </c:ext>
            </c:extLst>
          </c:dPt>
          <c:dPt>
            <c:idx val="4"/>
            <c:marker>
              <c:symbol val="circle"/>
              <c:size val="5"/>
              <c:spPr>
                <a:solidFill>
                  <a:srgbClr val="4BB0E4"/>
                </a:solidFill>
                <a:ln w="9525">
                  <a:solidFill>
                    <a:srgbClr val="4BB0E4"/>
                  </a:solidFill>
                </a:ln>
                <a:effectLst/>
              </c:spPr>
            </c:marker>
            <c:bubble3D val="0"/>
            <c:extLst>
              <c:ext xmlns:c16="http://schemas.microsoft.com/office/drawing/2014/chart" uri="{C3380CC4-5D6E-409C-BE32-E72D297353CC}">
                <c16:uniqueId val="{00000005-A779-4D0C-A46E-CAAD152CA20E}"/>
              </c:ext>
            </c:extLst>
          </c:dPt>
          <c:dLbls>
            <c:dLbl>
              <c:idx val="2"/>
              <c:layout>
                <c:manualLayout>
                  <c:x val="-4.5419460566044803E-2"/>
                  <c:y val="-3.7552834225831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88-463B-8078-BE12F68B0CB4}"/>
                </c:ext>
              </c:extLst>
            </c:dLbl>
            <c:dLbl>
              <c:idx val="3"/>
              <c:layout>
                <c:manualLayout>
                  <c:x val="-3.6099072786540919E-2"/>
                  <c:y val="-4.15088791403359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88-463B-8078-BE12F68B0CB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ext>
              </c:extLst>
              <c:f>Charts_Opex!$V$10:$AE$10</c:f>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Charts_Opex!$P$37:$AE$37</c15:sqref>
                  </c15:fullRef>
                </c:ext>
              </c:extLst>
              <c:f>Charts_Opex!$V$37:$AE$37</c:f>
              <c:numCache>
                <c:formatCode>_(#,##0.0_);\(#,##0.0\);_("-"_)</c:formatCode>
                <c:ptCount val="10"/>
                <c:pt idx="0">
                  <c:v>103.17711806317809</c:v>
                </c:pt>
                <c:pt idx="1">
                  <c:v>96.644677469302408</c:v>
                </c:pt>
                <c:pt idx="2">
                  <c:v>92.900926305664427</c:v>
                </c:pt>
                <c:pt idx="3">
                  <c:v>85.398520331094829</c:v>
                </c:pt>
                <c:pt idx="4">
                  <c:v>77.814924514330201</c:v>
                </c:pt>
                <c:pt idx="5">
                  <c:v>#N/A</c:v>
                </c:pt>
                <c:pt idx="6">
                  <c:v>#N/A</c:v>
                </c:pt>
                <c:pt idx="7">
                  <c:v>#N/A</c:v>
                </c:pt>
                <c:pt idx="8">
                  <c:v>#N/A</c:v>
                </c:pt>
                <c:pt idx="9">
                  <c:v>#N/A</c:v>
                </c:pt>
              </c:numCache>
            </c:numRef>
          </c:val>
          <c:smooth val="0"/>
          <c:extLst>
            <c:ext xmlns:c16="http://schemas.microsoft.com/office/drawing/2014/chart" uri="{C3380CC4-5D6E-409C-BE32-E72D297353CC}">
              <c16:uniqueId val="{00000006-8617-4132-807E-BEF8C0266B40}"/>
            </c:ext>
          </c:extLst>
        </c:ser>
        <c:dLbls>
          <c:showLegendKey val="0"/>
          <c:showVal val="0"/>
          <c:showCatName val="0"/>
          <c:showSerName val="0"/>
          <c:showPercent val="0"/>
          <c:showBubbleSize val="0"/>
        </c:dLbls>
        <c:marker val="1"/>
        <c:smooth val="0"/>
        <c:axId val="166483840"/>
        <c:axId val="166485376"/>
        <c:extLst>
          <c:ext xmlns:c15="http://schemas.microsoft.com/office/drawing/2012/chart" uri="{02D57815-91ED-43cb-92C2-25804820EDAC}">
            <c15:filteredLineSeries>
              <c15:ser>
                <c:idx val="0"/>
                <c:order val="0"/>
                <c:tx>
                  <c:strRef>
                    <c:extLst>
                      <c:ext uri="{02D57815-91ED-43cb-92C2-25804820EDAC}">
                        <c15:formulaRef>
                          <c15:sqref>Charts_Opex!$O$36</c15:sqref>
                        </c15:formulaRef>
                      </c:ext>
                    </c:extLst>
                    <c:strCache>
                      <c:ptCount val="1"/>
                      <c:pt idx="0">
                        <c:v>UC Allowance</c:v>
                      </c:pt>
                    </c:strCache>
                  </c:strRef>
                </c:tx>
                <c:spPr>
                  <a:ln w="28575" cap="rnd">
                    <a:solidFill>
                      <a:schemeClr val="bg1"/>
                    </a:solidFill>
                    <a:round/>
                  </a:ln>
                  <a:effectLst/>
                </c:spPr>
                <c:marker>
                  <c:symbol val="none"/>
                </c:marker>
                <c:dPt>
                  <c:idx val="3"/>
                  <c:marker>
                    <c:symbol val="none"/>
                  </c:marker>
                  <c:bubble3D val="0"/>
                  <c:spPr>
                    <a:ln w="28575" cap="rnd">
                      <a:solidFill>
                        <a:schemeClr val="bg1"/>
                      </a:solidFill>
                      <a:round/>
                    </a:ln>
                    <a:effectLst/>
                  </c:spPr>
                  <c:extLst>
                    <c:ext xmlns:c16="http://schemas.microsoft.com/office/drawing/2014/chart" uri="{C3380CC4-5D6E-409C-BE32-E72D297353CC}">
                      <c16:uniqueId val="{00000001-BEBC-494C-9E76-458D0C8468B6}"/>
                    </c:ext>
                  </c:extLst>
                </c:dPt>
                <c:dPt>
                  <c:idx val="4"/>
                  <c:marker>
                    <c:symbol val="none"/>
                  </c:marker>
                  <c:bubble3D val="0"/>
                  <c:spPr>
                    <a:ln w="28575" cap="rnd">
                      <a:solidFill>
                        <a:schemeClr val="bg1"/>
                      </a:solidFill>
                      <a:round/>
                    </a:ln>
                    <a:effectLst/>
                  </c:spPr>
                  <c:extLst>
                    <c:ext xmlns:c16="http://schemas.microsoft.com/office/drawing/2014/chart" uri="{C3380CC4-5D6E-409C-BE32-E72D297353CC}">
                      <c16:uniqueId val="{00000003-BEBC-494C-9E76-458D0C8468B6}"/>
                    </c:ext>
                  </c:extLst>
                </c:dPt>
                <c:dLbls>
                  <c:dLbl>
                    <c:idx val="5"/>
                    <c:delete val="1"/>
                    <c:extLst>
                      <c:ext uri="{CE6537A1-D6FC-4f65-9D91-7224C49458BB}"/>
                      <c:ext xmlns:c16="http://schemas.microsoft.com/office/drawing/2014/chart" uri="{C3380CC4-5D6E-409C-BE32-E72D297353CC}">
                        <c16:uniqueId val="{00000014-8617-4132-807E-BEF8C0266B40}"/>
                      </c:ext>
                    </c:extLst>
                  </c:dLbl>
                  <c:dLbl>
                    <c:idx val="6"/>
                    <c:delete val="1"/>
                    <c:extLst>
                      <c:ext uri="{CE6537A1-D6FC-4f65-9D91-7224C49458BB}"/>
                      <c:ext xmlns:c16="http://schemas.microsoft.com/office/drawing/2014/chart" uri="{C3380CC4-5D6E-409C-BE32-E72D297353CC}">
                        <c16:uniqueId val="{00000015-8617-4132-807E-BEF8C0266B40}"/>
                      </c:ext>
                    </c:extLst>
                  </c:dLbl>
                  <c:dLbl>
                    <c:idx val="7"/>
                    <c:delete val="1"/>
                    <c:extLst>
                      <c:ext uri="{CE6537A1-D6FC-4f65-9D91-7224C49458BB}"/>
                      <c:ext xmlns:c16="http://schemas.microsoft.com/office/drawing/2014/chart" uri="{C3380CC4-5D6E-409C-BE32-E72D297353CC}">
                        <c16:uniqueId val="{00000016-8617-4132-807E-BEF8C0266B40}"/>
                      </c:ext>
                    </c:extLst>
                  </c:dLbl>
                  <c:dLbl>
                    <c:idx val="8"/>
                    <c:delete val="1"/>
                    <c:extLst>
                      <c:ext uri="{CE6537A1-D6FC-4f65-9D91-7224C49458BB}"/>
                      <c:ext xmlns:c16="http://schemas.microsoft.com/office/drawing/2014/chart" uri="{C3380CC4-5D6E-409C-BE32-E72D297353CC}">
                        <c16:uniqueId val="{00000017-8617-4132-807E-BEF8C0266B40}"/>
                      </c:ext>
                    </c:extLst>
                  </c:dLbl>
                  <c:dLbl>
                    <c:idx val="9"/>
                    <c:delete val="1"/>
                    <c:extLst>
                      <c:ext uri="{CE6537A1-D6FC-4f65-9D91-7224C49458BB}"/>
                      <c:ext xmlns:c16="http://schemas.microsoft.com/office/drawing/2014/chart" uri="{C3380CC4-5D6E-409C-BE32-E72D297353CC}">
                        <c16:uniqueId val="{00000018-8617-4132-807E-BEF8C0266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uri="{02D57815-91ED-43cb-92C2-25804820EDAC}">
                        <c15:fullRef>
                          <c15:sqref>Charts_Opex!$P$36:$AE$36</c15:sqref>
                        </c15:fullRef>
                        <c15:formulaRef>
                          <c15:sqref>Charts_Opex!$V$36:$AE$36</c15:sqref>
                        </c15:formulaRef>
                      </c:ext>
                    </c:extLst>
                    <c:numCache>
                      <c:formatCode>_(#,##0.0_);\(#,##0.0\);_("-"_)</c:formatCode>
                      <c:ptCount val="10"/>
                      <c:pt idx="0">
                        <c:v>103.17711806317809</c:v>
                      </c:pt>
                      <c:pt idx="1">
                        <c:v>96.644677469302408</c:v>
                      </c:pt>
                      <c:pt idx="2">
                        <c:v>92.900926305664427</c:v>
                      </c:pt>
                      <c:pt idx="3">
                        <c:v>85.398520331094829</c:v>
                      </c:pt>
                      <c:pt idx="4">
                        <c:v>77.814924514330201</c:v>
                      </c:pt>
                      <c:pt idx="5">
                        <c:v>#N/A</c:v>
                      </c:pt>
                      <c:pt idx="6">
                        <c:v>#N/A</c:v>
                      </c:pt>
                      <c:pt idx="7">
                        <c:v>#N/A</c:v>
                      </c:pt>
                      <c:pt idx="8">
                        <c:v>#N/A</c:v>
                      </c:pt>
                      <c:pt idx="9">
                        <c:v>#N/A</c:v>
                      </c:pt>
                    </c:numCache>
                  </c:numRef>
                </c:val>
                <c:smooth val="0"/>
                <c:extLst>
                  <c:ext xmlns:c16="http://schemas.microsoft.com/office/drawing/2014/chart" uri="{C3380CC4-5D6E-409C-BE32-E72D297353CC}">
                    <c16:uniqueId val="{00000004-8617-4132-807E-BEF8C0266B40}"/>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Charts_Opex!$O$41</c15:sqref>
                        </c15:formulaRef>
                      </c:ext>
                    </c:extLst>
                    <c:strCache>
                      <c:ptCount val="1"/>
                      <c:pt idx="0">
                        <c:v>Avg: 10-14</c:v>
                      </c:pt>
                    </c:strCache>
                  </c:strRef>
                </c:tx>
                <c:spPr>
                  <a:ln w="28575" cap="rnd">
                    <a:solidFill>
                      <a:schemeClr val="tx1"/>
                    </a:solidFill>
                    <a:prstDash val="sysDash"/>
                    <a:round/>
                  </a:ln>
                  <a:effectLst/>
                </c:spPr>
                <c:marker>
                  <c:symbol val="none"/>
                </c:marker>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Charts_Opex!$P$41:$AE$41</c15:sqref>
                        </c15:fullRef>
                        <c15:formulaRef>
                          <c15:sqref>Charts_Opex!$V$41:$AE$41</c15:sqref>
                        </c15:formulaRef>
                      </c:ext>
                    </c:extLst>
                    <c:numCache>
                      <c:formatCode>_(#,##0.0_);\(#,##0.0\);_("-"_)</c:formatCode>
                      <c:ptCount val="10"/>
                      <c:pt idx="0">
                        <c:v>#N/A</c:v>
                      </c:pt>
                      <c:pt idx="1">
                        <c:v>#N/A</c:v>
                      </c:pt>
                      <c:pt idx="2">
                        <c:v>#N/A</c:v>
                      </c:pt>
                      <c:pt idx="3">
                        <c:v>#N/A</c:v>
                      </c:pt>
                      <c:pt idx="4">
                        <c:v>#N/A</c:v>
                      </c:pt>
                      <c:pt idx="5">
                        <c:v>#N/A</c:v>
                      </c:pt>
                      <c:pt idx="6">
                        <c:v>#N/A</c:v>
                      </c:pt>
                      <c:pt idx="7">
                        <c:v>#N/A</c:v>
                      </c:pt>
                      <c:pt idx="8">
                        <c:v>#N/A</c:v>
                      </c:pt>
                      <c:pt idx="9">
                        <c:v>#N/A</c:v>
                      </c:pt>
                    </c:numCache>
                  </c:numRef>
                </c:val>
                <c:smooth val="0"/>
                <c:extLst xmlns:c15="http://schemas.microsoft.com/office/drawing/2012/chart">
                  <c:ext xmlns:c16="http://schemas.microsoft.com/office/drawing/2014/chart" uri="{C3380CC4-5D6E-409C-BE32-E72D297353CC}">
                    <c16:uniqueId val="{00000010-8617-4132-807E-BEF8C0266B40}"/>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Charts_Opex!$O$42</c15:sqref>
                        </c15:formulaRef>
                      </c:ext>
                    </c:extLst>
                    <c:strCache>
                      <c:ptCount val="1"/>
                      <c:pt idx="0">
                        <c:v>Avg: 15-19</c:v>
                      </c:pt>
                    </c:strCache>
                  </c:strRef>
                </c:tx>
                <c:spPr>
                  <a:ln w="28575" cap="rnd">
                    <a:solidFill>
                      <a:srgbClr val="C0504D"/>
                    </a:solidFill>
                    <a:prstDash val="sysDash"/>
                    <a:round/>
                  </a:ln>
                  <a:effectLst/>
                </c:spPr>
                <c:marker>
                  <c:symbol val="none"/>
                </c:marker>
                <c:dLbls>
                  <c:dLbl>
                    <c:idx val="0"/>
                    <c:dLblPos val="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8617-4132-807E-BEF8C0266B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Charts_Opex!$P$42:$AE$42</c15:sqref>
                        </c15:fullRef>
                        <c15:formulaRef>
                          <c15:sqref>Charts_Opex!$V$42:$AE$42</c15:sqref>
                        </c15:formulaRef>
                      </c:ext>
                    </c:extLst>
                    <c:numCache>
                      <c:formatCode>_(#,##0.0_);\(#,##0.0\);_("-"_)</c:formatCode>
                      <c:ptCount val="10"/>
                      <c:pt idx="0">
                        <c:v>91.187233336713987</c:v>
                      </c:pt>
                      <c:pt idx="1">
                        <c:v>91.187233336713987</c:v>
                      </c:pt>
                      <c:pt idx="2">
                        <c:v>91.187233336713987</c:v>
                      </c:pt>
                      <c:pt idx="3">
                        <c:v>91.187233336713987</c:v>
                      </c:pt>
                      <c:pt idx="4">
                        <c:v>91.187233336713987</c:v>
                      </c:pt>
                      <c:pt idx="5">
                        <c:v>#N/A</c:v>
                      </c:pt>
                      <c:pt idx="6">
                        <c:v>#N/A</c:v>
                      </c:pt>
                      <c:pt idx="7">
                        <c:v>#N/A</c:v>
                      </c:pt>
                      <c:pt idx="8">
                        <c:v>#N/A</c:v>
                      </c:pt>
                      <c:pt idx="9">
                        <c:v>#N/A</c:v>
                      </c:pt>
                    </c:numCache>
                  </c:numRef>
                </c:val>
                <c:smooth val="0"/>
                <c:extLst xmlns:c15="http://schemas.microsoft.com/office/drawing/2012/chart">
                  <c:ext xmlns:c16="http://schemas.microsoft.com/office/drawing/2014/chart" uri="{C3380CC4-5D6E-409C-BE32-E72D297353CC}">
                    <c16:uniqueId val="{00000009-8617-4132-807E-BEF8C0266B40}"/>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Charts_Opex!$O$43</c15:sqref>
                        </c15:formulaRef>
                      </c:ext>
                    </c:extLst>
                    <c:strCache>
                      <c:ptCount val="1"/>
                      <c:pt idx="0">
                        <c:v>Avg: 20-24</c:v>
                      </c:pt>
                    </c:strCache>
                  </c:strRef>
                </c:tx>
                <c:spPr>
                  <a:ln w="28575" cap="rnd">
                    <a:solidFill>
                      <a:srgbClr val="F79646"/>
                    </a:solidFill>
                    <a:prstDash val="sysDash"/>
                    <a:round/>
                  </a:ln>
                  <a:effectLst/>
                </c:spPr>
                <c:marker>
                  <c:symbol val="none"/>
                </c:marker>
                <c:dLbls>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A-8617-4132-807E-BEF8C0266B40}"/>
                      </c:ext>
                    </c:extLst>
                  </c:dLbl>
                  <c:dLbl>
                    <c:idx val="6"/>
                    <c:layout>
                      <c:manualLayout>
                        <c:x val="-3.5732587933845796E-2"/>
                        <c:y val="-2.513557756499946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8617-4132-807E-BEF8C0266B40}"/>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C-8617-4132-807E-BEF8C0266B40}"/>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D-8617-4132-807E-BEF8C0266B40}"/>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8617-4132-807E-BEF8C0266B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Charts_Opex!$P$10:$AE$10</c15:sqref>
                        </c15:fullRef>
                        <c15:formulaRef>
                          <c15:sqref>Charts_Opex!$V$10:$AE$10</c15:sqref>
                        </c15:formulaRef>
                      </c:ext>
                    </c:extLst>
                    <c:strCache>
                      <c:ptCount val="10"/>
                      <c:pt idx="0">
                        <c:v>RY15</c:v>
                      </c:pt>
                      <c:pt idx="1">
                        <c:v>RY16</c:v>
                      </c:pt>
                      <c:pt idx="2">
                        <c:v>RY17</c:v>
                      </c:pt>
                      <c:pt idx="3">
                        <c:v>RY18</c:v>
                      </c:pt>
                      <c:pt idx="4">
                        <c:v>RY19</c:v>
                      </c:pt>
                      <c:pt idx="5">
                        <c:v>RY20</c:v>
                      </c:pt>
                      <c:pt idx="6">
                        <c:v>RY21</c:v>
                      </c:pt>
                      <c:pt idx="7">
                        <c:v>RY22</c:v>
                      </c:pt>
                      <c:pt idx="8">
                        <c:v>RY23</c:v>
                      </c:pt>
                      <c:pt idx="9">
                        <c:v>RY24</c:v>
                      </c:pt>
                    </c:strCache>
                  </c:strRef>
                </c:cat>
                <c:val>
                  <c:numRef>
                    <c:extLst>
                      <c:ext xmlns:c15="http://schemas.microsoft.com/office/drawing/2012/chart" uri="{02D57815-91ED-43cb-92C2-25804820EDAC}">
                        <c15:fullRef>
                          <c15:sqref>Charts_Opex!$P$43:$AE$43</c15:sqref>
                        </c15:fullRef>
                        <c15:formulaRef>
                          <c15:sqref>Charts_Opex!$V$43:$AE$43</c15:sqref>
                        </c15:formulaRef>
                      </c:ext>
                    </c:extLst>
                    <c:numCache>
                      <c:formatCode>_(#,##0.0_);\(#,##0.0\);_("-"_)</c:formatCode>
                      <c:ptCount val="10"/>
                      <c:pt idx="0">
                        <c:v>#N/A</c:v>
                      </c:pt>
                      <c:pt idx="1">
                        <c:v>#N/A</c:v>
                      </c:pt>
                      <c:pt idx="2">
                        <c:v>#N/A</c:v>
                      </c:pt>
                      <c:pt idx="3">
                        <c:v>#N/A</c:v>
                      </c:pt>
                      <c:pt idx="4">
                        <c:v>#N/A</c:v>
                      </c:pt>
                      <c:pt idx="5">
                        <c:v>67.850220431392714</c:v>
                      </c:pt>
                      <c:pt idx="6">
                        <c:v>67.850220431392714</c:v>
                      </c:pt>
                      <c:pt idx="7">
                        <c:v>67.850220431392714</c:v>
                      </c:pt>
                      <c:pt idx="8">
                        <c:v>67.850220431392714</c:v>
                      </c:pt>
                      <c:pt idx="9">
                        <c:v>67.850220431392714</c:v>
                      </c:pt>
                    </c:numCache>
                  </c:numRef>
                </c:val>
                <c:smooth val="0"/>
                <c:extLst xmlns:c15="http://schemas.microsoft.com/office/drawing/2012/chart">
                  <c:ext xmlns:c16="http://schemas.microsoft.com/office/drawing/2014/chart" uri="{C3380CC4-5D6E-409C-BE32-E72D297353CC}">
                    <c16:uniqueId val="{0000000F-8617-4132-807E-BEF8C0266B40}"/>
                  </c:ext>
                </c:extLst>
              </c15:ser>
            </c15:filteredLineSeries>
          </c:ext>
        </c:extLst>
      </c:lineChart>
      <c:catAx>
        <c:axId val="1664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6485376"/>
        <c:crosses val="autoZero"/>
        <c:auto val="1"/>
        <c:lblAlgn val="ctr"/>
        <c:lblOffset val="100"/>
        <c:noMultiLvlLbl val="0"/>
      </c:catAx>
      <c:valAx>
        <c:axId val="166485376"/>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Charts_Opex!$P$47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6483840"/>
        <c:crosses val="autoZero"/>
        <c:crossBetween val="between"/>
      </c:valAx>
      <c:spPr>
        <a:noFill/>
        <a:ln>
          <a:noFill/>
        </a:ln>
        <a:effectLst/>
      </c:spPr>
    </c:plotArea>
    <c:legend>
      <c:legendPos val="b"/>
      <c:layout>
        <c:manualLayout>
          <c:xMode val="edge"/>
          <c:yMode val="edge"/>
          <c:x val="0.12920575703718376"/>
          <c:y val="0.89096475090146443"/>
          <c:w val="0.87079428968462413"/>
          <c:h val="7.153681753942105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997459936392216E-2"/>
          <c:y val="5.1207211853156714E-2"/>
          <c:w val="0.87806884598483625"/>
          <c:h val="0.64600328243362959"/>
        </c:manualLayout>
      </c:layout>
      <c:barChart>
        <c:barDir val="col"/>
        <c:grouping val="stacked"/>
        <c:varyColors val="0"/>
        <c:ser>
          <c:idx val="1"/>
          <c:order val="0"/>
          <c:tx>
            <c:strRef>
              <c:f>Charts_Revenue!$O$14</c:f>
              <c:strCache>
                <c:ptCount val="1"/>
                <c:pt idx="0">
                  <c:v>Operating Expenditure</c:v>
                </c:pt>
              </c:strCache>
            </c:strRef>
          </c:tx>
          <c:spPr>
            <a:solidFill>
              <a:srgbClr val="2A3D6F"/>
            </a:solidFill>
            <a:ln>
              <a:solidFill>
                <a:schemeClr val="bg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A6-4294-9C81-F3E4C50971D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A6-4294-9C81-F3E4C50971D3}"/>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A6-4294-9C81-F3E4C50971D3}"/>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A6-4294-9C81-F3E4C50971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Charts_Revenue!$P$14:$Y$14</c:f>
              <c:numCache>
                <c:formatCode>_(#,##0_);\(#,##0\);_("-"_)</c:formatCode>
                <c:ptCount val="10"/>
                <c:pt idx="0">
                  <c:v>103.2108422725609</c:v>
                </c:pt>
                <c:pt idx="1">
                  <c:v>108.43259131820697</c:v>
                </c:pt>
                <c:pt idx="2">
                  <c:v>114.762519910039</c:v>
                </c:pt>
                <c:pt idx="3">
                  <c:v>109.41155678634661</c:v>
                </c:pt>
                <c:pt idx="4">
                  <c:v>103.71100069523501</c:v>
                </c:pt>
                <c:pt idx="5">
                  <c:v>67.647425813700139</c:v>
                </c:pt>
                <c:pt idx="6">
                  <c:v>69.296915708330516</c:v>
                </c:pt>
                <c:pt idx="7">
                  <c:v>73.183662994157686</c:v>
                </c:pt>
                <c:pt idx="8">
                  <c:v>75.707196212936566</c:v>
                </c:pt>
                <c:pt idx="9">
                  <c:v>79.275153273135629</c:v>
                </c:pt>
              </c:numCache>
            </c:numRef>
          </c:val>
          <c:extLst>
            <c:ext xmlns:c16="http://schemas.microsoft.com/office/drawing/2014/chart" uri="{C3380CC4-5D6E-409C-BE32-E72D297353CC}">
              <c16:uniqueId val="{00000004-5DA6-4294-9C81-F3E4C50971D3}"/>
            </c:ext>
          </c:extLst>
        </c:ser>
        <c:ser>
          <c:idx val="0"/>
          <c:order val="1"/>
          <c:tx>
            <c:strRef>
              <c:f>Charts_Revenue!$O$13</c:f>
              <c:strCache>
                <c:ptCount val="1"/>
                <c:pt idx="0">
                  <c:v>Depreciation</c:v>
                </c:pt>
              </c:strCache>
            </c:strRef>
          </c:tx>
          <c:spPr>
            <a:solidFill>
              <a:srgbClr val="4BB0E4"/>
            </a:solidFill>
            <a:ln>
              <a:solidFill>
                <a:schemeClr val="bg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A6-4294-9C81-F3E4C50971D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A6-4294-9C81-F3E4C50971D3}"/>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A6-4294-9C81-F3E4C50971D3}"/>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A6-4294-9C81-F3E4C50971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Charts_Revenue!$P$13:$Y$13</c:f>
              <c:numCache>
                <c:formatCode>_(#,##0_);\(#,##0\);_("-"_)</c:formatCode>
                <c:ptCount val="10"/>
                <c:pt idx="0">
                  <c:v>28.490464006480725</c:v>
                </c:pt>
                <c:pt idx="1">
                  <c:v>34.143121076443251</c:v>
                </c:pt>
                <c:pt idx="2">
                  <c:v>31.90165004523816</c:v>
                </c:pt>
                <c:pt idx="3">
                  <c:v>34.505409841174924</c:v>
                </c:pt>
                <c:pt idx="4">
                  <c:v>37.850963199394336</c:v>
                </c:pt>
                <c:pt idx="5">
                  <c:v>24.608747246603439</c:v>
                </c:pt>
                <c:pt idx="6">
                  <c:v>29.033720024002978</c:v>
                </c:pt>
                <c:pt idx="7">
                  <c:v>31.561292751106805</c:v>
                </c:pt>
                <c:pt idx="8">
                  <c:v>35.807226085283396</c:v>
                </c:pt>
                <c:pt idx="9">
                  <c:v>40.140571274283083</c:v>
                </c:pt>
              </c:numCache>
            </c:numRef>
          </c:val>
          <c:extLst>
            <c:ext xmlns:c16="http://schemas.microsoft.com/office/drawing/2014/chart" uri="{C3380CC4-5D6E-409C-BE32-E72D297353CC}">
              <c16:uniqueId val="{00000009-5DA6-4294-9C81-F3E4C50971D3}"/>
            </c:ext>
          </c:extLst>
        </c:ser>
        <c:ser>
          <c:idx val="2"/>
          <c:order val="2"/>
          <c:tx>
            <c:strRef>
              <c:f>Charts_Revenue!$O$15</c:f>
              <c:strCache>
                <c:ptCount val="1"/>
                <c:pt idx="0">
                  <c:v>Revenue Adjustments</c:v>
                </c:pt>
              </c:strCache>
            </c:strRef>
          </c:tx>
          <c:spPr>
            <a:solidFill>
              <a:srgbClr val="EF7D17"/>
            </a:solidFill>
            <a:ln>
              <a:solidFill>
                <a:schemeClr val="bg1"/>
              </a:solidFill>
            </a:ln>
            <a:effectLst/>
          </c:spPr>
          <c:invertIfNegative val="0"/>
          <c:dLbls>
            <c:delete val="1"/>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Charts_Revenue!$P$15:$Y$15</c:f>
              <c:numCache>
                <c:formatCode>_(#,##0_);\(#,##0\);_("-"_)</c:formatCode>
                <c:ptCount val="10"/>
                <c:pt idx="0">
                  <c:v>7.3685716277492181</c:v>
                </c:pt>
                <c:pt idx="1">
                  <c:v>8.685697290987056</c:v>
                </c:pt>
                <c:pt idx="2">
                  <c:v>10.053368420189708</c:v>
                </c:pt>
                <c:pt idx="3">
                  <c:v>10.958521346319987</c:v>
                </c:pt>
                <c:pt idx="4">
                  <c:v>11.979803846394363</c:v>
                </c:pt>
                <c:pt idx="5">
                  <c:v>6.8176419702615176E-2</c:v>
                </c:pt>
                <c:pt idx="6">
                  <c:v>7.4864690253208147E-2</c:v>
                </c:pt>
                <c:pt idx="7">
                  <c:v>8.0298936060156631E-2</c:v>
                </c:pt>
                <c:pt idx="8">
                  <c:v>8.7170176293116255E-2</c:v>
                </c:pt>
                <c:pt idx="9">
                  <c:v>9.3654690522419634E-2</c:v>
                </c:pt>
              </c:numCache>
            </c:numRef>
          </c:val>
          <c:extLst>
            <c:ext xmlns:c16="http://schemas.microsoft.com/office/drawing/2014/chart" uri="{C3380CC4-5D6E-409C-BE32-E72D297353CC}">
              <c16:uniqueId val="{0000000F-5DA6-4294-9C81-F3E4C50971D3}"/>
            </c:ext>
          </c:extLst>
        </c:ser>
        <c:ser>
          <c:idx val="3"/>
          <c:order val="3"/>
          <c:tx>
            <c:strRef>
              <c:f>Charts_Revenue!$O$16</c:f>
              <c:strCache>
                <c:ptCount val="1"/>
                <c:pt idx="0">
                  <c:v>Net Tax Allowance</c:v>
                </c:pt>
              </c:strCache>
            </c:strRef>
          </c:tx>
          <c:spPr>
            <a:solidFill>
              <a:srgbClr val="FFD339"/>
            </a:solidFill>
            <a:ln>
              <a:solidFill>
                <a:schemeClr val="bg1"/>
              </a:solidFill>
            </a:ln>
            <a:effectLst/>
          </c:spPr>
          <c:invertIfNegative val="0"/>
          <c:dLbls>
            <c:delete val="1"/>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Charts_Revenue!$P$16:$Y$16</c:f>
              <c:numCache>
                <c:formatCode>_(#,##0_);\(#,##0\);_("-"_)</c:formatCode>
                <c:ptCount val="10"/>
                <c:pt idx="0">
                  <c:v>0</c:v>
                </c:pt>
                <c:pt idx="1">
                  <c:v>0</c:v>
                </c:pt>
                <c:pt idx="2">
                  <c:v>0</c:v>
                </c:pt>
                <c:pt idx="3">
                  <c:v>0</c:v>
                </c:pt>
                <c:pt idx="4">
                  <c:v>0</c:v>
                </c:pt>
                <c:pt idx="5">
                  <c:v>8.2051513294607066</c:v>
                </c:pt>
                <c:pt idx="6">
                  <c:v>7.7985115617649585</c:v>
                </c:pt>
                <c:pt idx="7">
                  <c:v>7.377842954263123</c:v>
                </c:pt>
                <c:pt idx="8">
                  <c:v>6.8581163200322157</c:v>
                </c:pt>
                <c:pt idx="9">
                  <c:v>7.1855425294599264</c:v>
                </c:pt>
              </c:numCache>
            </c:numRef>
          </c:val>
          <c:extLst>
            <c:ext xmlns:c16="http://schemas.microsoft.com/office/drawing/2014/chart" uri="{C3380CC4-5D6E-409C-BE32-E72D297353CC}">
              <c16:uniqueId val="{00000014-5DA6-4294-9C81-F3E4C50971D3}"/>
            </c:ext>
          </c:extLst>
        </c:ser>
        <c:ser>
          <c:idx val="4"/>
          <c:order val="4"/>
          <c:tx>
            <c:strRef>
              <c:f>Charts_Revenue!$O$17</c:f>
              <c:strCache>
                <c:ptCount val="1"/>
                <c:pt idx="0">
                  <c:v>Return on Asset</c:v>
                </c:pt>
              </c:strCache>
            </c:strRef>
          </c:tx>
          <c:spPr>
            <a:solidFill>
              <a:srgbClr val="75842F"/>
            </a:solidFill>
            <a:ln>
              <a:solidFill>
                <a:schemeClr val="bg1"/>
              </a:solidFill>
            </a:ln>
            <a:effectLst/>
          </c:spPr>
          <c:invertIfNegative val="0"/>
          <c:dLbls>
            <c:dLbl>
              <c:idx val="0"/>
              <c:layout>
                <c:manualLayout>
                  <c:x val="2.5537288462775882E-2"/>
                  <c:y val="3.2080195436592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DA6-4294-9C81-F3E4C50971D3}"/>
                </c:ext>
              </c:extLst>
            </c:dLbl>
            <c:dLbl>
              <c:idx val="1"/>
              <c:layout>
                <c:manualLayout>
                  <c:x val="2.5537288462775882E-2"/>
                  <c:y val="4.4110268725314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DA6-4294-9C81-F3E4C50971D3}"/>
                </c:ext>
              </c:extLst>
            </c:dLbl>
            <c:dLbl>
              <c:idx val="2"/>
              <c:layout>
                <c:manualLayout>
                  <c:x val="2.0894145105907497E-2"/>
                  <c:y val="5.213031758446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DA6-4294-9C81-F3E4C50971D3}"/>
                </c:ext>
              </c:extLst>
            </c:dLbl>
            <c:dLbl>
              <c:idx val="3"/>
              <c:layout>
                <c:manualLayout>
                  <c:x val="2.0894145105907539E-2"/>
                  <c:y val="4.81202931548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DA6-4294-9C81-F3E4C50971D3}"/>
                </c:ext>
              </c:extLst>
            </c:dLbl>
            <c:dLbl>
              <c:idx val="4"/>
              <c:layout>
                <c:manualLayout>
                  <c:x val="2.036639885113278E-2"/>
                  <c:y val="4.75206839901827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DA6-4294-9C81-F3E4C50971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Charts_Revenue!$P$10:$Y$11</c:f>
              <c:multiLvlStrCache>
                <c:ptCount val="10"/>
                <c:lvl>
                  <c:pt idx="0">
                    <c:v>RY15</c:v>
                  </c:pt>
                  <c:pt idx="1">
                    <c:v>RY16</c:v>
                  </c:pt>
                  <c:pt idx="2">
                    <c:v>RY17</c:v>
                  </c:pt>
                  <c:pt idx="3">
                    <c:v>RY18</c:v>
                  </c:pt>
                  <c:pt idx="4">
                    <c:v>RY19</c:v>
                  </c:pt>
                  <c:pt idx="5">
                    <c:v>RY20</c:v>
                  </c:pt>
                  <c:pt idx="6">
                    <c:v>RY21</c:v>
                  </c:pt>
                  <c:pt idx="7">
                    <c:v>RY22</c:v>
                  </c:pt>
                  <c:pt idx="8">
                    <c:v>RY23</c:v>
                  </c:pt>
                  <c:pt idx="9">
                    <c:v>RY24</c:v>
                  </c:pt>
                </c:lvl>
                <c:lvl>
                  <c:pt idx="0">
                    <c:v>2014-19 Period</c:v>
                  </c:pt>
                  <c:pt idx="5">
                    <c:v>2019-24 Period</c:v>
                  </c:pt>
                </c:lvl>
              </c:multiLvlStrCache>
            </c:multiLvlStrRef>
          </c:cat>
          <c:val>
            <c:numRef>
              <c:f>Charts_Revenue!$P$17:$Y$17</c:f>
              <c:numCache>
                <c:formatCode>_(#,##0_);\(#,##0\);_("-"_)</c:formatCode>
                <c:ptCount val="10"/>
                <c:pt idx="0">
                  <c:v>40.126182048622823</c:v>
                </c:pt>
                <c:pt idx="1">
                  <c:v>45.599081075941257</c:v>
                </c:pt>
                <c:pt idx="2">
                  <c:v>49.475517671645832</c:v>
                </c:pt>
                <c:pt idx="3">
                  <c:v>50.184331037236213</c:v>
                </c:pt>
                <c:pt idx="4">
                  <c:v>51.436027342449563</c:v>
                </c:pt>
                <c:pt idx="5">
                  <c:v>64.469113068697538</c:v>
                </c:pt>
                <c:pt idx="6">
                  <c:v>68.501151446101417</c:v>
                </c:pt>
                <c:pt idx="7">
                  <c:v>72.779632896917192</c:v>
                </c:pt>
                <c:pt idx="8">
                  <c:v>77.405198248589372</c:v>
                </c:pt>
                <c:pt idx="9">
                  <c:v>80.692339197884934</c:v>
                </c:pt>
              </c:numCache>
            </c:numRef>
          </c:val>
          <c:extLst>
            <c:ext xmlns:c16="http://schemas.microsoft.com/office/drawing/2014/chart" uri="{C3380CC4-5D6E-409C-BE32-E72D297353CC}">
              <c16:uniqueId val="{0000001A-5DA6-4294-9C81-F3E4C50971D3}"/>
            </c:ext>
          </c:extLst>
        </c:ser>
        <c:dLbls>
          <c:dLblPos val="ctr"/>
          <c:showLegendKey val="0"/>
          <c:showVal val="1"/>
          <c:showCatName val="0"/>
          <c:showSerName val="0"/>
          <c:showPercent val="0"/>
          <c:showBubbleSize val="0"/>
        </c:dLbls>
        <c:gapWidth val="10"/>
        <c:overlap val="100"/>
        <c:axId val="165942784"/>
        <c:axId val="165944320"/>
      </c:barChart>
      <c:lineChart>
        <c:grouping val="standard"/>
        <c:varyColors val="0"/>
        <c:ser>
          <c:idx val="7"/>
          <c:order val="5"/>
          <c:tx>
            <c:v>MD Revenue</c:v>
          </c:tx>
          <c:spPr>
            <a:ln w="31750" cap="rnd" cmpd="sng">
              <a:solidFill>
                <a:srgbClr val="2A3D6F"/>
              </a:solidFill>
              <a:prstDash val="dash"/>
              <a:round/>
            </a:ln>
            <a:effectLst/>
          </c:spPr>
          <c:marker>
            <c:symbol val="none"/>
          </c:marker>
          <c:dPt>
            <c:idx val="5"/>
            <c:bubble3D val="0"/>
            <c:extLst>
              <c:ext xmlns:c16="http://schemas.microsoft.com/office/drawing/2014/chart" uri="{C3380CC4-5D6E-409C-BE32-E72D297353CC}">
                <c16:uniqueId val="{0000001B-5DA6-4294-9C81-F3E4C50971D3}"/>
              </c:ext>
            </c:extLst>
          </c:dPt>
          <c:dPt>
            <c:idx val="6"/>
            <c:bubble3D val="0"/>
            <c:extLst>
              <c:ext xmlns:c16="http://schemas.microsoft.com/office/drawing/2014/chart" uri="{C3380CC4-5D6E-409C-BE32-E72D297353CC}">
                <c16:uniqueId val="{0000001C-5DA6-4294-9C81-F3E4C50971D3}"/>
              </c:ext>
            </c:extLst>
          </c:dPt>
          <c:dPt>
            <c:idx val="7"/>
            <c:bubble3D val="0"/>
            <c:extLst>
              <c:ext xmlns:c16="http://schemas.microsoft.com/office/drawing/2014/chart" uri="{C3380CC4-5D6E-409C-BE32-E72D297353CC}">
                <c16:uniqueId val="{0000001D-5DA6-4294-9C81-F3E4C50971D3}"/>
              </c:ext>
            </c:extLst>
          </c:dPt>
          <c:dPt>
            <c:idx val="8"/>
            <c:bubble3D val="0"/>
            <c:extLst>
              <c:ext xmlns:c16="http://schemas.microsoft.com/office/drawing/2014/chart" uri="{C3380CC4-5D6E-409C-BE32-E72D297353CC}">
                <c16:uniqueId val="{0000001E-5DA6-4294-9C81-F3E4C50971D3}"/>
              </c:ext>
            </c:extLst>
          </c:dPt>
          <c:dPt>
            <c:idx val="9"/>
            <c:bubble3D val="0"/>
            <c:extLst>
              <c:ext xmlns:c16="http://schemas.microsoft.com/office/drawing/2014/chart" uri="{C3380CC4-5D6E-409C-BE32-E72D297353CC}">
                <c16:uniqueId val="{0000001F-5DA6-4294-9C81-F3E4C50971D3}"/>
              </c:ext>
            </c:extLst>
          </c:dPt>
          <c:dLbls>
            <c:dLbl>
              <c:idx val="0"/>
              <c:layout>
                <c:manualLayout>
                  <c:x val="-3.4456430173191235E-2"/>
                  <c:y val="-3.7501306503150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DA6-4294-9C81-F3E4C50971D3}"/>
                </c:ext>
              </c:extLst>
            </c:dLbl>
            <c:dLbl>
              <c:idx val="1"/>
              <c:layout>
                <c:manualLayout>
                  <c:x val="-3.4456430173191235E-2"/>
                  <c:y val="-4.5402539842124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DA6-4294-9C81-F3E4C50971D3}"/>
                </c:ext>
              </c:extLst>
            </c:dLbl>
            <c:dLbl>
              <c:idx val="2"/>
              <c:layout>
                <c:manualLayout>
                  <c:x val="-3.4456430173191277E-2"/>
                  <c:y val="-3.75013065031505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DA6-4294-9C81-F3E4C50971D3}"/>
                </c:ext>
              </c:extLst>
            </c:dLbl>
            <c:dLbl>
              <c:idx val="3"/>
              <c:layout>
                <c:manualLayout>
                  <c:x val="-3.4456430173191235E-2"/>
                  <c:y val="-4.1451923172637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DA6-4294-9C81-F3E4C50971D3}"/>
                </c:ext>
              </c:extLst>
            </c:dLbl>
            <c:dLbl>
              <c:idx val="4"/>
              <c:layout>
                <c:manualLayout>
                  <c:x val="-3.4456430173191235E-2"/>
                  <c:y val="-4.14519231726376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DA6-4294-9C81-F3E4C50971D3}"/>
                </c:ext>
              </c:extLst>
            </c:dLbl>
            <c:dLbl>
              <c:idx val="5"/>
              <c:delete val="1"/>
              <c:extLst>
                <c:ext xmlns:c15="http://schemas.microsoft.com/office/drawing/2012/chart" uri="{CE6537A1-D6FC-4f65-9D91-7224C49458BB}"/>
                <c:ext xmlns:c16="http://schemas.microsoft.com/office/drawing/2014/chart" uri="{C3380CC4-5D6E-409C-BE32-E72D297353CC}">
                  <c16:uniqueId val="{0000001B-5DA6-4294-9C81-F3E4C50971D3}"/>
                </c:ext>
              </c:extLst>
            </c:dLbl>
            <c:dLbl>
              <c:idx val="6"/>
              <c:delete val="1"/>
              <c:extLst>
                <c:ext xmlns:c15="http://schemas.microsoft.com/office/drawing/2012/chart" uri="{CE6537A1-D6FC-4f65-9D91-7224C49458BB}"/>
                <c:ext xmlns:c16="http://schemas.microsoft.com/office/drawing/2014/chart" uri="{C3380CC4-5D6E-409C-BE32-E72D297353CC}">
                  <c16:uniqueId val="{0000001C-5DA6-4294-9C81-F3E4C50971D3}"/>
                </c:ext>
              </c:extLst>
            </c:dLbl>
            <c:dLbl>
              <c:idx val="7"/>
              <c:delete val="1"/>
              <c:extLst>
                <c:ext xmlns:c15="http://schemas.microsoft.com/office/drawing/2012/chart" uri="{CE6537A1-D6FC-4f65-9D91-7224C49458BB}"/>
                <c:ext xmlns:c16="http://schemas.microsoft.com/office/drawing/2014/chart" uri="{C3380CC4-5D6E-409C-BE32-E72D297353CC}">
                  <c16:uniqueId val="{0000001D-5DA6-4294-9C81-F3E4C50971D3}"/>
                </c:ext>
              </c:extLst>
            </c:dLbl>
            <c:dLbl>
              <c:idx val="8"/>
              <c:delete val="1"/>
              <c:extLst>
                <c:ext xmlns:c15="http://schemas.microsoft.com/office/drawing/2012/chart" uri="{CE6537A1-D6FC-4f65-9D91-7224C49458BB}"/>
                <c:ext xmlns:c16="http://schemas.microsoft.com/office/drawing/2014/chart" uri="{C3380CC4-5D6E-409C-BE32-E72D297353CC}">
                  <c16:uniqueId val="{0000001E-5DA6-4294-9C81-F3E4C50971D3}"/>
                </c:ext>
              </c:extLst>
            </c:dLbl>
            <c:dLbl>
              <c:idx val="9"/>
              <c:delete val="1"/>
              <c:extLst>
                <c:ext xmlns:c15="http://schemas.microsoft.com/office/drawing/2012/chart" uri="{CE6537A1-D6FC-4f65-9D91-7224C49458BB}"/>
                <c:ext xmlns:c16="http://schemas.microsoft.com/office/drawing/2014/chart" uri="{C3380CC4-5D6E-409C-BE32-E72D297353CC}">
                  <c16:uniqueId val="{0000001F-5DA6-4294-9C81-F3E4C50971D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'17'!#REF!</c:f>
            </c:multiLvlStrRef>
          </c:cat>
          <c:val>
            <c:numRef>
              <c:f>Charts_Revenue!$J$71:$N$71</c:f>
              <c:numCache>
                <c:formatCode>_(#,##0.0_);\(#,##0.0\);_("-"_)</c:formatCode>
                <c:ptCount val="5"/>
                <c:pt idx="0">
                  <c:v>148.71926047034009</c:v>
                </c:pt>
                <c:pt idx="1">
                  <c:v>163.37941029046439</c:v>
                </c:pt>
                <c:pt idx="2">
                  <c:v>166.14052232437322</c:v>
                </c:pt>
                <c:pt idx="3">
                  <c:v>168.59940205477395</c:v>
                </c:pt>
                <c:pt idx="4">
                  <c:v>171.9713900958694</c:v>
                </c:pt>
              </c:numCache>
            </c:numRef>
          </c:val>
          <c:smooth val="1"/>
          <c:extLst>
            <c:ext xmlns:c16="http://schemas.microsoft.com/office/drawing/2014/chart" uri="{C3380CC4-5D6E-409C-BE32-E72D297353CC}">
              <c16:uniqueId val="{00000025-5DA6-4294-9C81-F3E4C50971D3}"/>
            </c:ext>
          </c:extLst>
        </c:ser>
        <c:ser>
          <c:idx val="6"/>
          <c:order val="6"/>
          <c:tx>
            <c:v>UC Revenue</c:v>
          </c:tx>
          <c:spPr>
            <a:ln w="31750" cap="rnd">
              <a:noFill/>
              <a:prstDash val="dash"/>
              <a:round/>
            </a:ln>
            <a:effectLst/>
          </c:spPr>
          <c:marker>
            <c:symbol val="none"/>
          </c:marker>
          <c:cat>
            <c:multiLvlStrRef>
              <c:f>'17'!#REF!</c:f>
            </c:multiLvlStrRef>
          </c:cat>
          <c:val>
            <c:numRef>
              <c:f>Charts_Revenue!$J$70:$N$70</c:f>
              <c:numCache>
                <c:formatCode>_(#,##0.0_);\(#,##0.0\);_("-"_)</c:formatCode>
                <c:ptCount val="5"/>
                <c:pt idx="0">
                  <c:v>179.19605995541366</c:v>
                </c:pt>
                <c:pt idx="1">
                  <c:v>196.86049076157855</c:v>
                </c:pt>
                <c:pt idx="2">
                  <c:v>206.19305604711266</c:v>
                </c:pt>
                <c:pt idx="3">
                  <c:v>205.05981901107774</c:v>
                </c:pt>
                <c:pt idx="4">
                  <c:v>204.9777950834733</c:v>
                </c:pt>
              </c:numCache>
            </c:numRef>
          </c:val>
          <c:smooth val="1"/>
          <c:extLst>
            <c:ext xmlns:c16="http://schemas.microsoft.com/office/drawing/2014/chart" uri="{C3380CC4-5D6E-409C-BE32-E72D297353CC}">
              <c16:uniqueId val="{00000026-5DA6-4294-9C81-F3E4C50971D3}"/>
            </c:ext>
          </c:extLst>
        </c:ser>
        <c:ser>
          <c:idx val="8"/>
          <c:order val="7"/>
          <c:tx>
            <c:v>Forecast Revenue</c:v>
          </c:tx>
          <c:spPr>
            <a:ln w="28575" cap="rnd">
              <a:noFill/>
              <a:prstDash val="dash"/>
              <a:round/>
            </a:ln>
            <a:effectLst/>
          </c:spPr>
          <c:marker>
            <c:symbol val="none"/>
          </c:marker>
          <c:dPt>
            <c:idx val="5"/>
            <c:bubble3D val="0"/>
            <c:extLst>
              <c:ext xmlns:c16="http://schemas.microsoft.com/office/drawing/2014/chart" uri="{C3380CC4-5D6E-409C-BE32-E72D297353CC}">
                <c16:uniqueId val="{00000027-5DA6-4294-9C81-F3E4C50971D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'17'!#REF!</c:f>
            </c:multiLvlStrRef>
          </c:cat>
          <c:val>
            <c:numRef>
              <c:f>Charts_Revenue!$J$70:$S$70</c:f>
              <c:numCache>
                <c:formatCode>_(#,##0.0_);\(#,##0.0\);_("-"_)</c:formatCode>
                <c:ptCount val="10"/>
                <c:pt idx="0">
                  <c:v>179.19605995541366</c:v>
                </c:pt>
                <c:pt idx="1">
                  <c:v>196.86049076157855</c:v>
                </c:pt>
                <c:pt idx="2">
                  <c:v>206.19305604711266</c:v>
                </c:pt>
                <c:pt idx="3">
                  <c:v>205.05981901107774</c:v>
                </c:pt>
                <c:pt idx="4">
                  <c:v>204.9777950834733</c:v>
                </c:pt>
                <c:pt idx="5">
                  <c:v>164.99861387816443</c:v>
                </c:pt>
                <c:pt idx="6">
                  <c:v>174.7051634304531</c:v>
                </c:pt>
                <c:pt idx="7">
                  <c:v>184.98273053250497</c:v>
                </c:pt>
                <c:pt idx="8">
                  <c:v>195.86490704313468</c:v>
                </c:pt>
                <c:pt idx="9">
                  <c:v>207.387260965286</c:v>
                </c:pt>
              </c:numCache>
            </c:numRef>
          </c:val>
          <c:smooth val="0"/>
          <c:extLst>
            <c:ext xmlns:c16="http://schemas.microsoft.com/office/drawing/2014/chart" uri="{C3380CC4-5D6E-409C-BE32-E72D297353CC}">
              <c16:uniqueId val="{00000028-5DA6-4294-9C81-F3E4C50971D3}"/>
            </c:ext>
          </c:extLst>
        </c:ser>
        <c:dLbls>
          <c:showLegendKey val="0"/>
          <c:showVal val="0"/>
          <c:showCatName val="0"/>
          <c:showSerName val="0"/>
          <c:showPercent val="0"/>
          <c:showBubbleSize val="0"/>
        </c:dLbls>
        <c:marker val="1"/>
        <c:smooth val="0"/>
        <c:axId val="165942784"/>
        <c:axId val="165944320"/>
      </c:lineChart>
      <c:catAx>
        <c:axId val="165942784"/>
        <c:scaling>
          <c:orientation val="minMax"/>
        </c:scaling>
        <c:delete val="0"/>
        <c:axPos val="b"/>
        <c:numFmt formatCode="General" sourceLinked="1"/>
        <c:majorTickMark val="none"/>
        <c:minorTickMark val="none"/>
        <c:tickLblPos val="nextTo"/>
        <c:spPr>
          <a:ln>
            <a:solidFill>
              <a:schemeClr val="tx1">
                <a:lumMod val="15000"/>
                <a:lumOff val="85000"/>
              </a:schemeClr>
            </a:solid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944320"/>
        <c:crosses val="autoZero"/>
        <c:auto val="1"/>
        <c:lblAlgn val="ctr"/>
        <c:lblOffset val="100"/>
        <c:noMultiLvlLbl val="0"/>
      </c:catAx>
      <c:valAx>
        <c:axId val="1659443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942784"/>
        <c:crosses val="autoZero"/>
        <c:crossBetween val="between"/>
      </c:valAx>
      <c:spPr>
        <a:noFill/>
        <a:ln>
          <a:noFill/>
        </a:ln>
        <a:effectLst/>
      </c:spPr>
    </c:plotArea>
    <c:legend>
      <c:legendPos val="b"/>
      <c:legendEntry>
        <c:idx val="7"/>
        <c:delete val="1"/>
      </c:legendEntry>
      <c:layout>
        <c:manualLayout>
          <c:xMode val="edge"/>
          <c:yMode val="edge"/>
          <c:x val="9.6962189330494539E-2"/>
          <c:y val="0.85827582645656442"/>
          <c:w val="0.82891380834125838"/>
          <c:h val="0.141724173543435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43478121873013E-2"/>
          <c:y val="3.1240104986876641E-2"/>
          <c:w val="0.9004680931326946"/>
          <c:h val="0.89699086614173229"/>
        </c:manualLayout>
      </c:layout>
      <c:lineChart>
        <c:grouping val="standard"/>
        <c:varyColors val="0"/>
        <c:ser>
          <c:idx val="0"/>
          <c:order val="0"/>
          <c:spPr>
            <a:ln w="28575" cap="rnd">
              <a:solidFill>
                <a:schemeClr val="accent1"/>
              </a:solidFill>
              <a:round/>
            </a:ln>
            <a:effectLst/>
          </c:spPr>
          <c:marker>
            <c:symbol val="none"/>
          </c:marker>
          <c:dLbls>
            <c:dLbl>
              <c:idx val="40"/>
              <c:layout>
                <c:manualLayout>
                  <c:x val="-4.6285082208816469E-2"/>
                  <c:y val="5.19999999999999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b="1">
                        <a:solidFill>
                          <a:schemeClr val="tx2"/>
                        </a:solidFill>
                      </a:rPr>
                      <a:t>RBA data series (interpolated)</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3003654080389768"/>
                      <c:h val="7.1960104986876647E-2"/>
                    </c:manualLayout>
                  </c15:layout>
                </c:ext>
                <c:ext xmlns:c16="http://schemas.microsoft.com/office/drawing/2014/chart" uri="{C3380CC4-5D6E-409C-BE32-E72D297353CC}">
                  <c16:uniqueId val="{00000000-4557-4156-8111-616AB5FB2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887"/>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38533</c:v>
              </c:pt>
              <c:pt idx="22">
                <c:v>38534</c:v>
              </c:pt>
              <c:pt idx="23">
                <c:v>38537</c:v>
              </c:pt>
              <c:pt idx="24">
                <c:v>38538</c:v>
              </c:pt>
              <c:pt idx="25">
                <c:v>38539</c:v>
              </c:pt>
              <c:pt idx="26">
                <c:v>38540</c:v>
              </c:pt>
              <c:pt idx="27">
                <c:v>38541</c:v>
              </c:pt>
              <c:pt idx="28">
                <c:v>38544</c:v>
              </c:pt>
              <c:pt idx="29">
                <c:v>38545</c:v>
              </c:pt>
              <c:pt idx="30">
                <c:v>38546</c:v>
              </c:pt>
              <c:pt idx="31">
                <c:v>38547</c:v>
              </c:pt>
              <c:pt idx="32">
                <c:v>38548</c:v>
              </c:pt>
              <c:pt idx="33">
                <c:v>38551</c:v>
              </c:pt>
              <c:pt idx="34">
                <c:v>38552</c:v>
              </c:pt>
              <c:pt idx="35">
                <c:v>38553</c:v>
              </c:pt>
              <c:pt idx="36">
                <c:v>38554</c:v>
              </c:pt>
              <c:pt idx="37">
                <c:v>38555</c:v>
              </c:pt>
              <c:pt idx="38">
                <c:v>38558</c:v>
              </c:pt>
              <c:pt idx="39">
                <c:v>38559</c:v>
              </c:pt>
              <c:pt idx="40">
                <c:v>38560</c:v>
              </c:pt>
              <c:pt idx="41">
                <c:v>38561</c:v>
              </c:pt>
              <c:pt idx="42">
                <c:v>38562</c:v>
              </c:pt>
              <c:pt idx="43">
                <c:v>38625</c:v>
              </c:pt>
              <c:pt idx="44">
                <c:v>38628</c:v>
              </c:pt>
              <c:pt idx="45">
                <c:v>38629</c:v>
              </c:pt>
              <c:pt idx="46">
                <c:v>38630</c:v>
              </c:pt>
              <c:pt idx="47">
                <c:v>38631</c:v>
              </c:pt>
              <c:pt idx="48">
                <c:v>38632</c:v>
              </c:pt>
              <c:pt idx="49">
                <c:v>38635</c:v>
              </c:pt>
              <c:pt idx="50">
                <c:v>38636</c:v>
              </c:pt>
              <c:pt idx="51">
                <c:v>38637</c:v>
              </c:pt>
              <c:pt idx="52">
                <c:v>38638</c:v>
              </c:pt>
              <c:pt idx="53">
                <c:v>38639</c:v>
              </c:pt>
              <c:pt idx="54">
                <c:v>38642</c:v>
              </c:pt>
              <c:pt idx="55">
                <c:v>38643</c:v>
              </c:pt>
              <c:pt idx="56">
                <c:v>38644</c:v>
              </c:pt>
              <c:pt idx="57">
                <c:v>38645</c:v>
              </c:pt>
              <c:pt idx="58">
                <c:v>38646</c:v>
              </c:pt>
              <c:pt idx="59">
                <c:v>38649</c:v>
              </c:pt>
              <c:pt idx="60">
                <c:v>38650</c:v>
              </c:pt>
              <c:pt idx="61">
                <c:v>38651</c:v>
              </c:pt>
              <c:pt idx="62">
                <c:v>38652</c:v>
              </c:pt>
              <c:pt idx="63">
                <c:v>38653</c:v>
              </c:pt>
              <c:pt idx="64">
                <c:v>38656</c:v>
              </c:pt>
              <c:pt idx="65">
                <c:v>38657</c:v>
              </c:pt>
              <c:pt idx="66">
                <c:v>38658</c:v>
              </c:pt>
              <c:pt idx="67">
                <c:v>38659</c:v>
              </c:pt>
              <c:pt idx="68">
                <c:v>38660</c:v>
              </c:pt>
              <c:pt idx="69">
                <c:v>38663</c:v>
              </c:pt>
              <c:pt idx="70">
                <c:v>38664</c:v>
              </c:pt>
              <c:pt idx="71">
                <c:v>38665</c:v>
              </c:pt>
              <c:pt idx="72">
                <c:v>38666</c:v>
              </c:pt>
              <c:pt idx="73">
                <c:v>38667</c:v>
              </c:pt>
              <c:pt idx="74">
                <c:v>38670</c:v>
              </c:pt>
              <c:pt idx="75">
                <c:v>38671</c:v>
              </c:pt>
              <c:pt idx="76">
                <c:v>38672</c:v>
              </c:pt>
              <c:pt idx="77">
                <c:v>38673</c:v>
              </c:pt>
              <c:pt idx="78">
                <c:v>38674</c:v>
              </c:pt>
              <c:pt idx="79">
                <c:v>38677</c:v>
              </c:pt>
              <c:pt idx="80">
                <c:v>38678</c:v>
              </c:pt>
              <c:pt idx="81">
                <c:v>38679</c:v>
              </c:pt>
              <c:pt idx="82">
                <c:v>38680</c:v>
              </c:pt>
              <c:pt idx="83">
                <c:v>38681</c:v>
              </c:pt>
              <c:pt idx="84">
                <c:v>38684</c:v>
              </c:pt>
              <c:pt idx="85">
                <c:v>38685</c:v>
              </c:pt>
              <c:pt idx="86">
                <c:v>38686</c:v>
              </c:pt>
              <c:pt idx="87">
                <c:v>38687</c:v>
              </c:pt>
              <c:pt idx="88">
                <c:v>38688</c:v>
              </c:pt>
              <c:pt idx="89">
                <c:v>38691</c:v>
              </c:pt>
              <c:pt idx="90">
                <c:v>38692</c:v>
              </c:pt>
              <c:pt idx="91">
                <c:v>38693</c:v>
              </c:pt>
              <c:pt idx="92">
                <c:v>38694</c:v>
              </c:pt>
              <c:pt idx="93">
                <c:v>38695</c:v>
              </c:pt>
              <c:pt idx="94">
                <c:v>38698</c:v>
              </c:pt>
              <c:pt idx="95">
                <c:v>38699</c:v>
              </c:pt>
              <c:pt idx="96">
                <c:v>38700</c:v>
              </c:pt>
              <c:pt idx="97">
                <c:v>38701</c:v>
              </c:pt>
              <c:pt idx="98">
                <c:v>38702</c:v>
              </c:pt>
              <c:pt idx="99">
                <c:v>38705</c:v>
              </c:pt>
              <c:pt idx="100">
                <c:v>38706</c:v>
              </c:pt>
              <c:pt idx="101">
                <c:v>38707</c:v>
              </c:pt>
              <c:pt idx="102">
                <c:v>38708</c:v>
              </c:pt>
              <c:pt idx="103">
                <c:v>38709</c:v>
              </c:pt>
              <c:pt idx="104">
                <c:v>38714</c:v>
              </c:pt>
              <c:pt idx="105">
                <c:v>38715</c:v>
              </c:pt>
              <c:pt idx="106">
                <c:v>38716</c:v>
              </c:pt>
              <c:pt idx="107">
                <c:v>38720</c:v>
              </c:pt>
              <c:pt idx="108">
                <c:v>38721</c:v>
              </c:pt>
              <c:pt idx="109">
                <c:v>38722</c:v>
              </c:pt>
              <c:pt idx="110">
                <c:v>38723</c:v>
              </c:pt>
              <c:pt idx="111">
                <c:v>38726</c:v>
              </c:pt>
              <c:pt idx="112">
                <c:v>38727</c:v>
              </c:pt>
              <c:pt idx="113">
                <c:v>38728</c:v>
              </c:pt>
              <c:pt idx="114">
                <c:v>38729</c:v>
              </c:pt>
              <c:pt idx="115">
                <c:v>38730</c:v>
              </c:pt>
              <c:pt idx="116">
                <c:v>38733</c:v>
              </c:pt>
              <c:pt idx="117">
                <c:v>38734</c:v>
              </c:pt>
              <c:pt idx="118">
                <c:v>38735</c:v>
              </c:pt>
              <c:pt idx="119">
                <c:v>38736</c:v>
              </c:pt>
              <c:pt idx="120">
                <c:v>38737</c:v>
              </c:pt>
              <c:pt idx="121">
                <c:v>38740</c:v>
              </c:pt>
              <c:pt idx="122">
                <c:v>38741</c:v>
              </c:pt>
              <c:pt idx="123">
                <c:v>38742</c:v>
              </c:pt>
              <c:pt idx="124">
                <c:v>38744</c:v>
              </c:pt>
              <c:pt idx="125">
                <c:v>38747</c:v>
              </c:pt>
              <c:pt idx="126">
                <c:v>38748</c:v>
              </c:pt>
              <c:pt idx="127">
                <c:v>38749</c:v>
              </c:pt>
              <c:pt idx="128">
                <c:v>38750</c:v>
              </c:pt>
              <c:pt idx="129">
                <c:v>38751</c:v>
              </c:pt>
              <c:pt idx="130">
                <c:v>38754</c:v>
              </c:pt>
              <c:pt idx="131">
                <c:v>38755</c:v>
              </c:pt>
              <c:pt idx="132">
                <c:v>38756</c:v>
              </c:pt>
              <c:pt idx="133">
                <c:v>38757</c:v>
              </c:pt>
              <c:pt idx="134">
                <c:v>38758</c:v>
              </c:pt>
              <c:pt idx="135">
                <c:v>38761</c:v>
              </c:pt>
              <c:pt idx="136">
                <c:v>38762</c:v>
              </c:pt>
              <c:pt idx="137">
                <c:v>38763</c:v>
              </c:pt>
              <c:pt idx="138">
                <c:v>38764</c:v>
              </c:pt>
              <c:pt idx="139">
                <c:v>38765</c:v>
              </c:pt>
              <c:pt idx="140">
                <c:v>38768</c:v>
              </c:pt>
              <c:pt idx="141">
                <c:v>38769</c:v>
              </c:pt>
              <c:pt idx="142">
                <c:v>38770</c:v>
              </c:pt>
              <c:pt idx="143">
                <c:v>38771</c:v>
              </c:pt>
              <c:pt idx="144">
                <c:v>38772</c:v>
              </c:pt>
              <c:pt idx="145">
                <c:v>38775</c:v>
              </c:pt>
              <c:pt idx="146">
                <c:v>38776</c:v>
              </c:pt>
              <c:pt idx="147">
                <c:v>38777</c:v>
              </c:pt>
              <c:pt idx="148">
                <c:v>38778</c:v>
              </c:pt>
              <c:pt idx="149">
                <c:v>38779</c:v>
              </c:pt>
              <c:pt idx="150">
                <c:v>38782</c:v>
              </c:pt>
              <c:pt idx="151">
                <c:v>38783</c:v>
              </c:pt>
              <c:pt idx="152">
                <c:v>38784</c:v>
              </c:pt>
              <c:pt idx="153">
                <c:v>38785</c:v>
              </c:pt>
              <c:pt idx="154">
                <c:v>38786</c:v>
              </c:pt>
              <c:pt idx="155">
                <c:v>38789</c:v>
              </c:pt>
              <c:pt idx="156">
                <c:v>38790</c:v>
              </c:pt>
              <c:pt idx="157">
                <c:v>38791</c:v>
              </c:pt>
              <c:pt idx="158">
                <c:v>38792</c:v>
              </c:pt>
              <c:pt idx="159">
                <c:v>38793</c:v>
              </c:pt>
              <c:pt idx="160">
                <c:v>38796</c:v>
              </c:pt>
              <c:pt idx="161">
                <c:v>38797</c:v>
              </c:pt>
              <c:pt idx="162">
                <c:v>38798</c:v>
              </c:pt>
              <c:pt idx="163">
                <c:v>38799</c:v>
              </c:pt>
              <c:pt idx="164">
                <c:v>38800</c:v>
              </c:pt>
              <c:pt idx="165">
                <c:v>38803</c:v>
              </c:pt>
              <c:pt idx="166">
                <c:v>38804</c:v>
              </c:pt>
              <c:pt idx="167">
                <c:v>38805</c:v>
              </c:pt>
              <c:pt idx="168">
                <c:v>38806</c:v>
              </c:pt>
              <c:pt idx="169">
                <c:v>38807</c:v>
              </c:pt>
              <c:pt idx="170">
                <c:v>38810</c:v>
              </c:pt>
              <c:pt idx="171">
                <c:v>38811</c:v>
              </c:pt>
              <c:pt idx="172">
                <c:v>38812</c:v>
              </c:pt>
              <c:pt idx="173">
                <c:v>38813</c:v>
              </c:pt>
              <c:pt idx="174">
                <c:v>38814</c:v>
              </c:pt>
              <c:pt idx="175">
                <c:v>38817</c:v>
              </c:pt>
              <c:pt idx="176">
                <c:v>38818</c:v>
              </c:pt>
              <c:pt idx="177">
                <c:v>38819</c:v>
              </c:pt>
              <c:pt idx="178">
                <c:v>38820</c:v>
              </c:pt>
              <c:pt idx="179">
                <c:v>38825</c:v>
              </c:pt>
              <c:pt idx="180">
                <c:v>38826</c:v>
              </c:pt>
              <c:pt idx="181">
                <c:v>38827</c:v>
              </c:pt>
              <c:pt idx="182">
                <c:v>38828</c:v>
              </c:pt>
              <c:pt idx="183">
                <c:v>38831</c:v>
              </c:pt>
              <c:pt idx="184">
                <c:v>38833</c:v>
              </c:pt>
              <c:pt idx="185">
                <c:v>38834</c:v>
              </c:pt>
              <c:pt idx="186">
                <c:v>38835</c:v>
              </c:pt>
              <c:pt idx="187">
                <c:v>38838</c:v>
              </c:pt>
              <c:pt idx="188">
                <c:v>38839</c:v>
              </c:pt>
              <c:pt idx="189">
                <c:v>38840</c:v>
              </c:pt>
              <c:pt idx="190">
                <c:v>38841</c:v>
              </c:pt>
              <c:pt idx="191">
                <c:v>38842</c:v>
              </c:pt>
              <c:pt idx="192">
                <c:v>38845</c:v>
              </c:pt>
              <c:pt idx="193">
                <c:v>38846</c:v>
              </c:pt>
              <c:pt idx="194">
                <c:v>38847</c:v>
              </c:pt>
              <c:pt idx="195">
                <c:v>38848</c:v>
              </c:pt>
              <c:pt idx="196">
                <c:v>38849</c:v>
              </c:pt>
              <c:pt idx="197">
                <c:v>38852</c:v>
              </c:pt>
              <c:pt idx="198">
                <c:v>38853</c:v>
              </c:pt>
              <c:pt idx="199">
                <c:v>38854</c:v>
              </c:pt>
              <c:pt idx="200">
                <c:v>38855</c:v>
              </c:pt>
              <c:pt idx="201">
                <c:v>38856</c:v>
              </c:pt>
              <c:pt idx="202">
                <c:v>38859</c:v>
              </c:pt>
              <c:pt idx="203">
                <c:v>38860</c:v>
              </c:pt>
              <c:pt idx="204">
                <c:v>38861</c:v>
              </c:pt>
              <c:pt idx="205">
                <c:v>38862</c:v>
              </c:pt>
              <c:pt idx="206">
                <c:v>38863</c:v>
              </c:pt>
              <c:pt idx="207">
                <c:v>38866</c:v>
              </c:pt>
              <c:pt idx="208">
                <c:v>38867</c:v>
              </c:pt>
              <c:pt idx="209">
                <c:v>38868</c:v>
              </c:pt>
              <c:pt idx="210">
                <c:v>38869</c:v>
              </c:pt>
              <c:pt idx="211">
                <c:v>38870</c:v>
              </c:pt>
              <c:pt idx="212">
                <c:v>38873</c:v>
              </c:pt>
              <c:pt idx="213">
                <c:v>38874</c:v>
              </c:pt>
              <c:pt idx="214">
                <c:v>38875</c:v>
              </c:pt>
              <c:pt idx="215">
                <c:v>38876</c:v>
              </c:pt>
              <c:pt idx="216">
                <c:v>38877</c:v>
              </c:pt>
              <c:pt idx="217">
                <c:v>38881</c:v>
              </c:pt>
              <c:pt idx="218">
                <c:v>38882</c:v>
              </c:pt>
              <c:pt idx="219">
                <c:v>38883</c:v>
              </c:pt>
              <c:pt idx="220">
                <c:v>38884</c:v>
              </c:pt>
              <c:pt idx="221">
                <c:v>38887</c:v>
              </c:pt>
              <c:pt idx="222">
                <c:v>38888</c:v>
              </c:pt>
              <c:pt idx="223">
                <c:v>38889</c:v>
              </c:pt>
              <c:pt idx="224">
                <c:v>38890</c:v>
              </c:pt>
              <c:pt idx="225">
                <c:v>38891</c:v>
              </c:pt>
              <c:pt idx="226">
                <c:v>38894</c:v>
              </c:pt>
              <c:pt idx="227">
                <c:v>38895</c:v>
              </c:pt>
              <c:pt idx="228">
                <c:v>38896</c:v>
              </c:pt>
              <c:pt idx="229">
                <c:v>38897</c:v>
              </c:pt>
              <c:pt idx="230">
                <c:v>38898</c:v>
              </c:pt>
              <c:pt idx="231">
                <c:v>38901</c:v>
              </c:pt>
              <c:pt idx="232">
                <c:v>38902</c:v>
              </c:pt>
              <c:pt idx="233">
                <c:v>38903</c:v>
              </c:pt>
              <c:pt idx="234">
                <c:v>38904</c:v>
              </c:pt>
              <c:pt idx="235">
                <c:v>38905</c:v>
              </c:pt>
              <c:pt idx="236">
                <c:v>38908</c:v>
              </c:pt>
              <c:pt idx="237">
                <c:v>38909</c:v>
              </c:pt>
              <c:pt idx="238">
                <c:v>38910</c:v>
              </c:pt>
              <c:pt idx="239">
                <c:v>38911</c:v>
              </c:pt>
              <c:pt idx="240">
                <c:v>38912</c:v>
              </c:pt>
              <c:pt idx="241">
                <c:v>38915</c:v>
              </c:pt>
              <c:pt idx="242">
                <c:v>38916</c:v>
              </c:pt>
              <c:pt idx="243">
                <c:v>38917</c:v>
              </c:pt>
              <c:pt idx="244">
                <c:v>38918</c:v>
              </c:pt>
              <c:pt idx="245">
                <c:v>38919</c:v>
              </c:pt>
              <c:pt idx="246">
                <c:v>38922</c:v>
              </c:pt>
              <c:pt idx="247">
                <c:v>38923</c:v>
              </c:pt>
              <c:pt idx="248">
                <c:v>38924</c:v>
              </c:pt>
              <c:pt idx="249">
                <c:v>38925</c:v>
              </c:pt>
              <c:pt idx="250">
                <c:v>38926</c:v>
              </c:pt>
              <c:pt idx="251">
                <c:v>38929</c:v>
              </c:pt>
              <c:pt idx="252">
                <c:v>38930</c:v>
              </c:pt>
              <c:pt idx="253">
                <c:v>38931</c:v>
              </c:pt>
              <c:pt idx="254">
                <c:v>38932</c:v>
              </c:pt>
              <c:pt idx="255">
                <c:v>38933</c:v>
              </c:pt>
              <c:pt idx="256">
                <c:v>38936</c:v>
              </c:pt>
              <c:pt idx="257">
                <c:v>38937</c:v>
              </c:pt>
              <c:pt idx="258">
                <c:v>38938</c:v>
              </c:pt>
              <c:pt idx="259">
                <c:v>38939</c:v>
              </c:pt>
              <c:pt idx="260">
                <c:v>38940</c:v>
              </c:pt>
              <c:pt idx="261">
                <c:v>38943</c:v>
              </c:pt>
              <c:pt idx="262">
                <c:v>38944</c:v>
              </c:pt>
              <c:pt idx="263">
                <c:v>38945</c:v>
              </c:pt>
              <c:pt idx="264">
                <c:v>38946</c:v>
              </c:pt>
              <c:pt idx="265">
                <c:v>38947</c:v>
              </c:pt>
              <c:pt idx="266">
                <c:v>38950</c:v>
              </c:pt>
              <c:pt idx="267">
                <c:v>38951</c:v>
              </c:pt>
              <c:pt idx="268">
                <c:v>38952</c:v>
              </c:pt>
              <c:pt idx="269">
                <c:v>38953</c:v>
              </c:pt>
              <c:pt idx="270">
                <c:v>38954</c:v>
              </c:pt>
              <c:pt idx="271">
                <c:v>38957</c:v>
              </c:pt>
              <c:pt idx="272">
                <c:v>38958</c:v>
              </c:pt>
              <c:pt idx="273">
                <c:v>38959</c:v>
              </c:pt>
              <c:pt idx="274">
                <c:v>38960</c:v>
              </c:pt>
              <c:pt idx="275">
                <c:v>38961</c:v>
              </c:pt>
              <c:pt idx="276">
                <c:v>38964</c:v>
              </c:pt>
              <c:pt idx="277">
                <c:v>38965</c:v>
              </c:pt>
              <c:pt idx="278">
                <c:v>38966</c:v>
              </c:pt>
              <c:pt idx="279">
                <c:v>38967</c:v>
              </c:pt>
              <c:pt idx="280">
                <c:v>38968</c:v>
              </c:pt>
              <c:pt idx="281">
                <c:v>38971</c:v>
              </c:pt>
              <c:pt idx="282">
                <c:v>38972</c:v>
              </c:pt>
              <c:pt idx="283">
                <c:v>38973</c:v>
              </c:pt>
              <c:pt idx="284">
                <c:v>38974</c:v>
              </c:pt>
              <c:pt idx="285">
                <c:v>38975</c:v>
              </c:pt>
              <c:pt idx="286">
                <c:v>38978</c:v>
              </c:pt>
              <c:pt idx="287">
                <c:v>38979</c:v>
              </c:pt>
              <c:pt idx="288">
                <c:v>38980</c:v>
              </c:pt>
              <c:pt idx="289">
                <c:v>38981</c:v>
              </c:pt>
              <c:pt idx="290">
                <c:v>38982</c:v>
              </c:pt>
              <c:pt idx="291">
                <c:v>38985</c:v>
              </c:pt>
              <c:pt idx="292">
                <c:v>38986</c:v>
              </c:pt>
              <c:pt idx="293">
                <c:v>38987</c:v>
              </c:pt>
              <c:pt idx="294">
                <c:v>38988</c:v>
              </c:pt>
              <c:pt idx="295">
                <c:v>38989</c:v>
              </c:pt>
              <c:pt idx="296">
                <c:v>38992</c:v>
              </c:pt>
              <c:pt idx="297">
                <c:v>38993</c:v>
              </c:pt>
              <c:pt idx="298">
                <c:v>38994</c:v>
              </c:pt>
              <c:pt idx="299">
                <c:v>38995</c:v>
              </c:pt>
              <c:pt idx="300">
                <c:v>38996</c:v>
              </c:pt>
              <c:pt idx="301">
                <c:v>38999</c:v>
              </c:pt>
              <c:pt idx="302">
                <c:v>39000</c:v>
              </c:pt>
              <c:pt idx="303">
                <c:v>39001</c:v>
              </c:pt>
              <c:pt idx="304">
                <c:v>39002</c:v>
              </c:pt>
              <c:pt idx="305">
                <c:v>39003</c:v>
              </c:pt>
              <c:pt idx="306">
                <c:v>39006</c:v>
              </c:pt>
              <c:pt idx="307">
                <c:v>39007</c:v>
              </c:pt>
              <c:pt idx="308">
                <c:v>39008</c:v>
              </c:pt>
              <c:pt idx="309">
                <c:v>39009</c:v>
              </c:pt>
              <c:pt idx="310">
                <c:v>39010</c:v>
              </c:pt>
              <c:pt idx="311">
                <c:v>39013</c:v>
              </c:pt>
              <c:pt idx="312">
                <c:v>39014</c:v>
              </c:pt>
              <c:pt idx="313">
                <c:v>39015</c:v>
              </c:pt>
              <c:pt idx="314">
                <c:v>39016</c:v>
              </c:pt>
              <c:pt idx="315">
                <c:v>39017</c:v>
              </c:pt>
              <c:pt idx="316">
                <c:v>39020</c:v>
              </c:pt>
              <c:pt idx="317">
                <c:v>39021</c:v>
              </c:pt>
              <c:pt idx="318">
                <c:v>39022</c:v>
              </c:pt>
              <c:pt idx="319">
                <c:v>39023</c:v>
              </c:pt>
              <c:pt idx="320">
                <c:v>39024</c:v>
              </c:pt>
              <c:pt idx="321">
                <c:v>39027</c:v>
              </c:pt>
              <c:pt idx="322">
                <c:v>39028</c:v>
              </c:pt>
              <c:pt idx="323">
                <c:v>39029</c:v>
              </c:pt>
              <c:pt idx="324">
                <c:v>39030</c:v>
              </c:pt>
              <c:pt idx="325">
                <c:v>39031</c:v>
              </c:pt>
              <c:pt idx="326">
                <c:v>39034</c:v>
              </c:pt>
              <c:pt idx="327">
                <c:v>39035</c:v>
              </c:pt>
              <c:pt idx="328">
                <c:v>39036</c:v>
              </c:pt>
              <c:pt idx="329">
                <c:v>39037</c:v>
              </c:pt>
              <c:pt idx="330">
                <c:v>39038</c:v>
              </c:pt>
              <c:pt idx="331">
                <c:v>39041</c:v>
              </c:pt>
              <c:pt idx="332">
                <c:v>39042</c:v>
              </c:pt>
              <c:pt idx="333">
                <c:v>39043</c:v>
              </c:pt>
              <c:pt idx="334">
                <c:v>39044</c:v>
              </c:pt>
              <c:pt idx="335">
                <c:v>39045</c:v>
              </c:pt>
              <c:pt idx="336">
                <c:v>39048</c:v>
              </c:pt>
              <c:pt idx="337">
                <c:v>39049</c:v>
              </c:pt>
              <c:pt idx="338">
                <c:v>39050</c:v>
              </c:pt>
              <c:pt idx="339">
                <c:v>39051</c:v>
              </c:pt>
              <c:pt idx="340">
                <c:v>39052</c:v>
              </c:pt>
              <c:pt idx="341">
                <c:v>39055</c:v>
              </c:pt>
              <c:pt idx="342">
                <c:v>39056</c:v>
              </c:pt>
              <c:pt idx="343">
                <c:v>39057</c:v>
              </c:pt>
              <c:pt idx="344">
                <c:v>39058</c:v>
              </c:pt>
              <c:pt idx="345">
                <c:v>39059</c:v>
              </c:pt>
              <c:pt idx="346">
                <c:v>39062</c:v>
              </c:pt>
              <c:pt idx="347">
                <c:v>39063</c:v>
              </c:pt>
              <c:pt idx="348">
                <c:v>39064</c:v>
              </c:pt>
              <c:pt idx="349">
                <c:v>39065</c:v>
              </c:pt>
              <c:pt idx="350">
                <c:v>39066</c:v>
              </c:pt>
              <c:pt idx="351">
                <c:v>39069</c:v>
              </c:pt>
              <c:pt idx="352">
                <c:v>39070</c:v>
              </c:pt>
              <c:pt idx="353">
                <c:v>39071</c:v>
              </c:pt>
              <c:pt idx="354">
                <c:v>39072</c:v>
              </c:pt>
              <c:pt idx="355">
                <c:v>39073</c:v>
              </c:pt>
              <c:pt idx="356">
                <c:v>39078</c:v>
              </c:pt>
              <c:pt idx="357">
                <c:v>39079</c:v>
              </c:pt>
              <c:pt idx="358">
                <c:v>39080</c:v>
              </c:pt>
              <c:pt idx="359">
                <c:v>39084</c:v>
              </c:pt>
              <c:pt idx="360">
                <c:v>39085</c:v>
              </c:pt>
              <c:pt idx="361">
                <c:v>39086</c:v>
              </c:pt>
              <c:pt idx="362">
                <c:v>39087</c:v>
              </c:pt>
              <c:pt idx="363">
                <c:v>39090</c:v>
              </c:pt>
              <c:pt idx="364">
                <c:v>39091</c:v>
              </c:pt>
              <c:pt idx="365">
                <c:v>39092</c:v>
              </c:pt>
              <c:pt idx="366">
                <c:v>39093</c:v>
              </c:pt>
              <c:pt idx="367">
                <c:v>39094</c:v>
              </c:pt>
              <c:pt idx="368">
                <c:v>39097</c:v>
              </c:pt>
              <c:pt idx="369">
                <c:v>39098</c:v>
              </c:pt>
              <c:pt idx="370">
                <c:v>39099</c:v>
              </c:pt>
              <c:pt idx="371">
                <c:v>39100</c:v>
              </c:pt>
              <c:pt idx="372">
                <c:v>39101</c:v>
              </c:pt>
              <c:pt idx="373">
                <c:v>39104</c:v>
              </c:pt>
              <c:pt idx="374">
                <c:v>39105</c:v>
              </c:pt>
              <c:pt idx="375">
                <c:v>39106</c:v>
              </c:pt>
              <c:pt idx="376">
                <c:v>39107</c:v>
              </c:pt>
              <c:pt idx="377">
                <c:v>39111</c:v>
              </c:pt>
              <c:pt idx="378">
                <c:v>39112</c:v>
              </c:pt>
              <c:pt idx="379">
                <c:v>39113</c:v>
              </c:pt>
              <c:pt idx="380">
                <c:v>39114</c:v>
              </c:pt>
              <c:pt idx="381">
                <c:v>39115</c:v>
              </c:pt>
              <c:pt idx="382">
                <c:v>39118</c:v>
              </c:pt>
              <c:pt idx="383">
                <c:v>39119</c:v>
              </c:pt>
              <c:pt idx="384">
                <c:v>39120</c:v>
              </c:pt>
              <c:pt idx="385">
                <c:v>39121</c:v>
              </c:pt>
              <c:pt idx="386">
                <c:v>39122</c:v>
              </c:pt>
              <c:pt idx="387">
                <c:v>39125</c:v>
              </c:pt>
              <c:pt idx="388">
                <c:v>39126</c:v>
              </c:pt>
              <c:pt idx="389">
                <c:v>39127</c:v>
              </c:pt>
              <c:pt idx="390">
                <c:v>39128</c:v>
              </c:pt>
              <c:pt idx="391">
                <c:v>39129</c:v>
              </c:pt>
              <c:pt idx="392">
                <c:v>39132</c:v>
              </c:pt>
              <c:pt idx="393">
                <c:v>39133</c:v>
              </c:pt>
              <c:pt idx="394">
                <c:v>39134</c:v>
              </c:pt>
              <c:pt idx="395">
                <c:v>39135</c:v>
              </c:pt>
              <c:pt idx="396">
                <c:v>39136</c:v>
              </c:pt>
              <c:pt idx="397">
                <c:v>39139</c:v>
              </c:pt>
              <c:pt idx="398">
                <c:v>39140</c:v>
              </c:pt>
              <c:pt idx="399">
                <c:v>39141</c:v>
              </c:pt>
              <c:pt idx="400">
                <c:v>39142</c:v>
              </c:pt>
              <c:pt idx="401">
                <c:v>39143</c:v>
              </c:pt>
              <c:pt idx="402">
                <c:v>39146</c:v>
              </c:pt>
              <c:pt idx="403">
                <c:v>39147</c:v>
              </c:pt>
              <c:pt idx="404">
                <c:v>39148</c:v>
              </c:pt>
              <c:pt idx="405">
                <c:v>39149</c:v>
              </c:pt>
              <c:pt idx="406">
                <c:v>39150</c:v>
              </c:pt>
              <c:pt idx="407">
                <c:v>39153</c:v>
              </c:pt>
              <c:pt idx="408">
                <c:v>39154</c:v>
              </c:pt>
              <c:pt idx="409">
                <c:v>39155</c:v>
              </c:pt>
              <c:pt idx="410">
                <c:v>39156</c:v>
              </c:pt>
              <c:pt idx="411">
                <c:v>39157</c:v>
              </c:pt>
              <c:pt idx="412">
                <c:v>39160</c:v>
              </c:pt>
              <c:pt idx="413">
                <c:v>39161</c:v>
              </c:pt>
              <c:pt idx="414">
                <c:v>39162</c:v>
              </c:pt>
              <c:pt idx="415">
                <c:v>39163</c:v>
              </c:pt>
              <c:pt idx="416">
                <c:v>39164</c:v>
              </c:pt>
              <c:pt idx="417">
                <c:v>39167</c:v>
              </c:pt>
              <c:pt idx="418">
                <c:v>39168</c:v>
              </c:pt>
              <c:pt idx="419">
                <c:v>39169</c:v>
              </c:pt>
              <c:pt idx="420">
                <c:v>39170</c:v>
              </c:pt>
              <c:pt idx="421">
                <c:v>39171</c:v>
              </c:pt>
              <c:pt idx="422">
                <c:v>39174</c:v>
              </c:pt>
              <c:pt idx="423">
                <c:v>39175</c:v>
              </c:pt>
              <c:pt idx="424">
                <c:v>39176</c:v>
              </c:pt>
              <c:pt idx="425">
                <c:v>39177</c:v>
              </c:pt>
              <c:pt idx="426">
                <c:v>39182</c:v>
              </c:pt>
              <c:pt idx="427">
                <c:v>39183</c:v>
              </c:pt>
              <c:pt idx="428">
                <c:v>39184</c:v>
              </c:pt>
              <c:pt idx="429">
                <c:v>39185</c:v>
              </c:pt>
              <c:pt idx="430">
                <c:v>39188</c:v>
              </c:pt>
              <c:pt idx="431">
                <c:v>39189</c:v>
              </c:pt>
              <c:pt idx="432">
                <c:v>39190</c:v>
              </c:pt>
              <c:pt idx="433">
                <c:v>39191</c:v>
              </c:pt>
              <c:pt idx="434">
                <c:v>39192</c:v>
              </c:pt>
              <c:pt idx="435">
                <c:v>39195</c:v>
              </c:pt>
              <c:pt idx="436">
                <c:v>39196</c:v>
              </c:pt>
              <c:pt idx="437">
                <c:v>39198</c:v>
              </c:pt>
              <c:pt idx="438">
                <c:v>39199</c:v>
              </c:pt>
              <c:pt idx="439">
                <c:v>39202</c:v>
              </c:pt>
              <c:pt idx="440">
                <c:v>39203</c:v>
              </c:pt>
              <c:pt idx="441">
                <c:v>39204</c:v>
              </c:pt>
              <c:pt idx="442">
                <c:v>39205</c:v>
              </c:pt>
              <c:pt idx="443">
                <c:v>39206</c:v>
              </c:pt>
              <c:pt idx="444">
                <c:v>39209</c:v>
              </c:pt>
              <c:pt idx="445">
                <c:v>39210</c:v>
              </c:pt>
              <c:pt idx="446">
                <c:v>39211</c:v>
              </c:pt>
              <c:pt idx="447">
                <c:v>39212</c:v>
              </c:pt>
              <c:pt idx="448">
                <c:v>39213</c:v>
              </c:pt>
              <c:pt idx="449">
                <c:v>39216</c:v>
              </c:pt>
              <c:pt idx="450">
                <c:v>39217</c:v>
              </c:pt>
              <c:pt idx="451">
                <c:v>39218</c:v>
              </c:pt>
              <c:pt idx="452">
                <c:v>39219</c:v>
              </c:pt>
              <c:pt idx="453">
                <c:v>39220</c:v>
              </c:pt>
              <c:pt idx="454">
                <c:v>39223</c:v>
              </c:pt>
              <c:pt idx="455">
                <c:v>39224</c:v>
              </c:pt>
              <c:pt idx="456">
                <c:v>39225</c:v>
              </c:pt>
              <c:pt idx="457">
                <c:v>39226</c:v>
              </c:pt>
              <c:pt idx="458">
                <c:v>39227</c:v>
              </c:pt>
              <c:pt idx="459">
                <c:v>39230</c:v>
              </c:pt>
              <c:pt idx="460">
                <c:v>39231</c:v>
              </c:pt>
              <c:pt idx="461">
                <c:v>39232</c:v>
              </c:pt>
              <c:pt idx="462">
                <c:v>39233</c:v>
              </c:pt>
              <c:pt idx="463">
                <c:v>39234</c:v>
              </c:pt>
              <c:pt idx="464">
                <c:v>39237</c:v>
              </c:pt>
              <c:pt idx="465">
                <c:v>39238</c:v>
              </c:pt>
              <c:pt idx="466">
                <c:v>39239</c:v>
              </c:pt>
              <c:pt idx="467">
                <c:v>39240</c:v>
              </c:pt>
              <c:pt idx="468">
                <c:v>39241</c:v>
              </c:pt>
              <c:pt idx="469">
                <c:v>39245</c:v>
              </c:pt>
              <c:pt idx="470">
                <c:v>39246</c:v>
              </c:pt>
              <c:pt idx="471">
                <c:v>39247</c:v>
              </c:pt>
              <c:pt idx="472">
                <c:v>39248</c:v>
              </c:pt>
              <c:pt idx="473">
                <c:v>39251</c:v>
              </c:pt>
              <c:pt idx="474">
                <c:v>39252</c:v>
              </c:pt>
              <c:pt idx="475">
                <c:v>39253</c:v>
              </c:pt>
              <c:pt idx="476">
                <c:v>39254</c:v>
              </c:pt>
              <c:pt idx="477">
                <c:v>39255</c:v>
              </c:pt>
              <c:pt idx="478">
                <c:v>39258</c:v>
              </c:pt>
              <c:pt idx="479">
                <c:v>39259</c:v>
              </c:pt>
              <c:pt idx="480">
                <c:v>39260</c:v>
              </c:pt>
              <c:pt idx="481">
                <c:v>39261</c:v>
              </c:pt>
              <c:pt idx="482">
                <c:v>39262</c:v>
              </c:pt>
              <c:pt idx="483">
                <c:v>39265</c:v>
              </c:pt>
              <c:pt idx="484">
                <c:v>39266</c:v>
              </c:pt>
              <c:pt idx="485">
                <c:v>39267</c:v>
              </c:pt>
              <c:pt idx="486">
                <c:v>39268</c:v>
              </c:pt>
              <c:pt idx="487">
                <c:v>39269</c:v>
              </c:pt>
              <c:pt idx="488">
                <c:v>39272</c:v>
              </c:pt>
              <c:pt idx="489">
                <c:v>39273</c:v>
              </c:pt>
              <c:pt idx="490">
                <c:v>39274</c:v>
              </c:pt>
              <c:pt idx="491">
                <c:v>39275</c:v>
              </c:pt>
              <c:pt idx="492">
                <c:v>39276</c:v>
              </c:pt>
              <c:pt idx="493">
                <c:v>39279</c:v>
              </c:pt>
              <c:pt idx="494">
                <c:v>39280</c:v>
              </c:pt>
              <c:pt idx="495">
                <c:v>39281</c:v>
              </c:pt>
              <c:pt idx="496">
                <c:v>39282</c:v>
              </c:pt>
              <c:pt idx="497">
                <c:v>39283</c:v>
              </c:pt>
              <c:pt idx="498">
                <c:v>39286</c:v>
              </c:pt>
              <c:pt idx="499">
                <c:v>39287</c:v>
              </c:pt>
              <c:pt idx="500">
                <c:v>39288</c:v>
              </c:pt>
              <c:pt idx="501">
                <c:v>39289</c:v>
              </c:pt>
              <c:pt idx="502">
                <c:v>39290</c:v>
              </c:pt>
              <c:pt idx="503">
                <c:v>39293</c:v>
              </c:pt>
              <c:pt idx="504">
                <c:v>39294</c:v>
              </c:pt>
              <c:pt idx="505">
                <c:v>39295</c:v>
              </c:pt>
              <c:pt idx="506">
                <c:v>39296</c:v>
              </c:pt>
              <c:pt idx="507">
                <c:v>39297</c:v>
              </c:pt>
              <c:pt idx="508">
                <c:v>39300</c:v>
              </c:pt>
              <c:pt idx="509">
                <c:v>39301</c:v>
              </c:pt>
              <c:pt idx="510">
                <c:v>39302</c:v>
              </c:pt>
              <c:pt idx="511">
                <c:v>39303</c:v>
              </c:pt>
              <c:pt idx="512">
                <c:v>39304</c:v>
              </c:pt>
              <c:pt idx="513">
                <c:v>39307</c:v>
              </c:pt>
              <c:pt idx="514">
                <c:v>39308</c:v>
              </c:pt>
              <c:pt idx="515">
                <c:v>39309</c:v>
              </c:pt>
              <c:pt idx="516">
                <c:v>39310</c:v>
              </c:pt>
              <c:pt idx="517">
                <c:v>39311</c:v>
              </c:pt>
              <c:pt idx="518">
                <c:v>39314</c:v>
              </c:pt>
              <c:pt idx="519">
                <c:v>39315</c:v>
              </c:pt>
              <c:pt idx="520">
                <c:v>39316</c:v>
              </c:pt>
              <c:pt idx="521">
                <c:v>39317</c:v>
              </c:pt>
              <c:pt idx="522">
                <c:v>39318</c:v>
              </c:pt>
              <c:pt idx="523">
                <c:v>39321</c:v>
              </c:pt>
              <c:pt idx="524">
                <c:v>39322</c:v>
              </c:pt>
              <c:pt idx="525">
                <c:v>39323</c:v>
              </c:pt>
              <c:pt idx="526">
                <c:v>39324</c:v>
              </c:pt>
              <c:pt idx="527">
                <c:v>39325</c:v>
              </c:pt>
              <c:pt idx="528">
                <c:v>39568</c:v>
              </c:pt>
              <c:pt idx="529">
                <c:v>39569</c:v>
              </c:pt>
              <c:pt idx="530">
                <c:v>39570</c:v>
              </c:pt>
              <c:pt idx="531">
                <c:v>39573</c:v>
              </c:pt>
              <c:pt idx="532">
                <c:v>39574</c:v>
              </c:pt>
              <c:pt idx="533">
                <c:v>39575</c:v>
              </c:pt>
              <c:pt idx="534">
                <c:v>39576</c:v>
              </c:pt>
              <c:pt idx="535">
                <c:v>39577</c:v>
              </c:pt>
              <c:pt idx="536">
                <c:v>39580</c:v>
              </c:pt>
              <c:pt idx="537">
                <c:v>39581</c:v>
              </c:pt>
              <c:pt idx="538">
                <c:v>39582</c:v>
              </c:pt>
              <c:pt idx="539">
                <c:v>39583</c:v>
              </c:pt>
              <c:pt idx="540">
                <c:v>39584</c:v>
              </c:pt>
              <c:pt idx="541">
                <c:v>39587</c:v>
              </c:pt>
              <c:pt idx="542">
                <c:v>39588</c:v>
              </c:pt>
              <c:pt idx="543">
                <c:v>39589</c:v>
              </c:pt>
              <c:pt idx="544">
                <c:v>39590</c:v>
              </c:pt>
              <c:pt idx="545">
                <c:v>39591</c:v>
              </c:pt>
              <c:pt idx="546">
                <c:v>39594</c:v>
              </c:pt>
              <c:pt idx="547">
                <c:v>39595</c:v>
              </c:pt>
              <c:pt idx="548">
                <c:v>39596</c:v>
              </c:pt>
              <c:pt idx="549">
                <c:v>39597</c:v>
              </c:pt>
              <c:pt idx="550">
                <c:v>39598</c:v>
              </c:pt>
              <c:pt idx="551">
                <c:v>39660</c:v>
              </c:pt>
              <c:pt idx="552">
                <c:v>39661</c:v>
              </c:pt>
              <c:pt idx="553">
                <c:v>39664</c:v>
              </c:pt>
              <c:pt idx="554">
                <c:v>39665</c:v>
              </c:pt>
              <c:pt idx="555">
                <c:v>39666</c:v>
              </c:pt>
              <c:pt idx="556">
                <c:v>39667</c:v>
              </c:pt>
              <c:pt idx="557">
                <c:v>39668</c:v>
              </c:pt>
              <c:pt idx="558">
                <c:v>39671</c:v>
              </c:pt>
              <c:pt idx="559">
                <c:v>39672</c:v>
              </c:pt>
              <c:pt idx="560">
                <c:v>39673</c:v>
              </c:pt>
              <c:pt idx="561">
                <c:v>39674</c:v>
              </c:pt>
              <c:pt idx="562">
                <c:v>39675</c:v>
              </c:pt>
              <c:pt idx="563">
                <c:v>39678</c:v>
              </c:pt>
              <c:pt idx="564">
                <c:v>39679</c:v>
              </c:pt>
              <c:pt idx="565">
                <c:v>39680</c:v>
              </c:pt>
              <c:pt idx="566">
                <c:v>39681</c:v>
              </c:pt>
              <c:pt idx="567">
                <c:v>39682</c:v>
              </c:pt>
              <c:pt idx="568">
                <c:v>39685</c:v>
              </c:pt>
              <c:pt idx="569">
                <c:v>39686</c:v>
              </c:pt>
              <c:pt idx="570">
                <c:v>39687</c:v>
              </c:pt>
              <c:pt idx="571">
                <c:v>39688</c:v>
              </c:pt>
              <c:pt idx="572">
                <c:v>39689</c:v>
              </c:pt>
              <c:pt idx="573">
                <c:v>39692</c:v>
              </c:pt>
              <c:pt idx="574">
                <c:v>39693</c:v>
              </c:pt>
              <c:pt idx="575">
                <c:v>39694</c:v>
              </c:pt>
              <c:pt idx="576">
                <c:v>39695</c:v>
              </c:pt>
              <c:pt idx="577">
                <c:v>39696</c:v>
              </c:pt>
              <c:pt idx="578">
                <c:v>39699</c:v>
              </c:pt>
              <c:pt idx="579">
                <c:v>39700</c:v>
              </c:pt>
              <c:pt idx="580">
                <c:v>39701</c:v>
              </c:pt>
              <c:pt idx="581">
                <c:v>39702</c:v>
              </c:pt>
              <c:pt idx="582">
                <c:v>39703</c:v>
              </c:pt>
              <c:pt idx="583">
                <c:v>39706</c:v>
              </c:pt>
              <c:pt idx="584">
                <c:v>39707</c:v>
              </c:pt>
              <c:pt idx="585">
                <c:v>39708</c:v>
              </c:pt>
              <c:pt idx="586">
                <c:v>39709</c:v>
              </c:pt>
              <c:pt idx="587">
                <c:v>39710</c:v>
              </c:pt>
              <c:pt idx="588">
                <c:v>39713</c:v>
              </c:pt>
              <c:pt idx="589">
                <c:v>39714</c:v>
              </c:pt>
              <c:pt idx="590">
                <c:v>39715</c:v>
              </c:pt>
              <c:pt idx="591">
                <c:v>39716</c:v>
              </c:pt>
              <c:pt idx="592">
                <c:v>39717</c:v>
              </c:pt>
              <c:pt idx="593">
                <c:v>39720</c:v>
              </c:pt>
              <c:pt idx="594">
                <c:v>39721</c:v>
              </c:pt>
              <c:pt idx="595">
                <c:v>39722</c:v>
              </c:pt>
              <c:pt idx="596">
                <c:v>39723</c:v>
              </c:pt>
              <c:pt idx="597">
                <c:v>39724</c:v>
              </c:pt>
              <c:pt idx="598">
                <c:v>39727</c:v>
              </c:pt>
              <c:pt idx="599">
                <c:v>39728</c:v>
              </c:pt>
              <c:pt idx="600">
                <c:v>39729</c:v>
              </c:pt>
              <c:pt idx="601">
                <c:v>39730</c:v>
              </c:pt>
              <c:pt idx="602">
                <c:v>39731</c:v>
              </c:pt>
              <c:pt idx="603">
                <c:v>39734</c:v>
              </c:pt>
              <c:pt idx="604">
                <c:v>39735</c:v>
              </c:pt>
              <c:pt idx="605">
                <c:v>39736</c:v>
              </c:pt>
              <c:pt idx="606">
                <c:v>39737</c:v>
              </c:pt>
              <c:pt idx="607">
                <c:v>39738</c:v>
              </c:pt>
              <c:pt idx="608">
                <c:v>39741</c:v>
              </c:pt>
              <c:pt idx="609">
                <c:v>39742</c:v>
              </c:pt>
              <c:pt idx="610">
                <c:v>39743</c:v>
              </c:pt>
              <c:pt idx="611">
                <c:v>39744</c:v>
              </c:pt>
              <c:pt idx="612">
                <c:v>39745</c:v>
              </c:pt>
              <c:pt idx="613">
                <c:v>39748</c:v>
              </c:pt>
              <c:pt idx="614">
                <c:v>39749</c:v>
              </c:pt>
              <c:pt idx="615">
                <c:v>39750</c:v>
              </c:pt>
              <c:pt idx="616">
                <c:v>39751</c:v>
              </c:pt>
              <c:pt idx="617">
                <c:v>39752</c:v>
              </c:pt>
              <c:pt idx="618">
                <c:v>39755</c:v>
              </c:pt>
              <c:pt idx="619">
                <c:v>39756</c:v>
              </c:pt>
              <c:pt idx="620">
                <c:v>39757</c:v>
              </c:pt>
              <c:pt idx="621">
                <c:v>39758</c:v>
              </c:pt>
              <c:pt idx="622">
                <c:v>39759</c:v>
              </c:pt>
              <c:pt idx="623">
                <c:v>39762</c:v>
              </c:pt>
              <c:pt idx="624">
                <c:v>39763</c:v>
              </c:pt>
              <c:pt idx="625">
                <c:v>39764</c:v>
              </c:pt>
              <c:pt idx="626">
                <c:v>39765</c:v>
              </c:pt>
              <c:pt idx="627">
                <c:v>39766</c:v>
              </c:pt>
              <c:pt idx="628">
                <c:v>39769</c:v>
              </c:pt>
              <c:pt idx="629">
                <c:v>39770</c:v>
              </c:pt>
              <c:pt idx="630">
                <c:v>39771</c:v>
              </c:pt>
              <c:pt idx="631">
                <c:v>39772</c:v>
              </c:pt>
              <c:pt idx="632">
                <c:v>39773</c:v>
              </c:pt>
              <c:pt idx="633">
                <c:v>39776</c:v>
              </c:pt>
              <c:pt idx="634">
                <c:v>39777</c:v>
              </c:pt>
              <c:pt idx="635">
                <c:v>39778</c:v>
              </c:pt>
              <c:pt idx="636">
                <c:v>39779</c:v>
              </c:pt>
              <c:pt idx="637">
                <c:v>39780</c:v>
              </c:pt>
              <c:pt idx="638">
                <c:v>39783</c:v>
              </c:pt>
              <c:pt idx="639">
                <c:v>39784</c:v>
              </c:pt>
              <c:pt idx="640">
                <c:v>39785</c:v>
              </c:pt>
              <c:pt idx="641">
                <c:v>39786</c:v>
              </c:pt>
              <c:pt idx="642">
                <c:v>39787</c:v>
              </c:pt>
              <c:pt idx="643">
                <c:v>39790</c:v>
              </c:pt>
              <c:pt idx="644">
                <c:v>39791</c:v>
              </c:pt>
              <c:pt idx="645">
                <c:v>39792</c:v>
              </c:pt>
              <c:pt idx="646">
                <c:v>39793</c:v>
              </c:pt>
              <c:pt idx="647">
                <c:v>39794</c:v>
              </c:pt>
              <c:pt idx="648">
                <c:v>39797</c:v>
              </c:pt>
              <c:pt idx="649">
                <c:v>39798</c:v>
              </c:pt>
              <c:pt idx="650">
                <c:v>39799</c:v>
              </c:pt>
              <c:pt idx="651">
                <c:v>39800</c:v>
              </c:pt>
              <c:pt idx="652">
                <c:v>39801</c:v>
              </c:pt>
              <c:pt idx="653">
                <c:v>39804</c:v>
              </c:pt>
              <c:pt idx="654">
                <c:v>39805</c:v>
              </c:pt>
              <c:pt idx="655">
                <c:v>39806</c:v>
              </c:pt>
              <c:pt idx="656">
                <c:v>39811</c:v>
              </c:pt>
              <c:pt idx="657">
                <c:v>39812</c:v>
              </c:pt>
              <c:pt idx="658">
                <c:v>39813</c:v>
              </c:pt>
              <c:pt idx="659">
                <c:v>39815</c:v>
              </c:pt>
              <c:pt idx="660">
                <c:v>39818</c:v>
              </c:pt>
              <c:pt idx="661">
                <c:v>39819</c:v>
              </c:pt>
              <c:pt idx="662">
                <c:v>39820</c:v>
              </c:pt>
              <c:pt idx="663">
                <c:v>39821</c:v>
              </c:pt>
              <c:pt idx="664">
                <c:v>39822</c:v>
              </c:pt>
              <c:pt idx="665">
                <c:v>39825</c:v>
              </c:pt>
              <c:pt idx="666">
                <c:v>39826</c:v>
              </c:pt>
              <c:pt idx="667">
                <c:v>39827</c:v>
              </c:pt>
              <c:pt idx="668">
                <c:v>39828</c:v>
              </c:pt>
              <c:pt idx="669">
                <c:v>39829</c:v>
              </c:pt>
              <c:pt idx="670">
                <c:v>39832</c:v>
              </c:pt>
              <c:pt idx="671">
                <c:v>39833</c:v>
              </c:pt>
              <c:pt idx="672">
                <c:v>39834</c:v>
              </c:pt>
              <c:pt idx="673">
                <c:v>39835</c:v>
              </c:pt>
              <c:pt idx="674">
                <c:v>39836</c:v>
              </c:pt>
              <c:pt idx="675">
                <c:v>39840</c:v>
              </c:pt>
              <c:pt idx="676">
                <c:v>39841</c:v>
              </c:pt>
              <c:pt idx="677">
                <c:v>39842</c:v>
              </c:pt>
              <c:pt idx="678">
                <c:v>39843</c:v>
              </c:pt>
              <c:pt idx="679">
                <c:v>39846</c:v>
              </c:pt>
              <c:pt idx="680">
                <c:v>39847</c:v>
              </c:pt>
              <c:pt idx="681">
                <c:v>39848</c:v>
              </c:pt>
              <c:pt idx="682">
                <c:v>39849</c:v>
              </c:pt>
              <c:pt idx="683">
                <c:v>39850</c:v>
              </c:pt>
              <c:pt idx="684">
                <c:v>39853</c:v>
              </c:pt>
              <c:pt idx="685">
                <c:v>39854</c:v>
              </c:pt>
              <c:pt idx="686">
                <c:v>39855</c:v>
              </c:pt>
              <c:pt idx="687">
                <c:v>39856</c:v>
              </c:pt>
              <c:pt idx="688">
                <c:v>39857</c:v>
              </c:pt>
              <c:pt idx="689">
                <c:v>39860</c:v>
              </c:pt>
              <c:pt idx="690">
                <c:v>39861</c:v>
              </c:pt>
              <c:pt idx="691">
                <c:v>39862</c:v>
              </c:pt>
              <c:pt idx="692">
                <c:v>39863</c:v>
              </c:pt>
              <c:pt idx="693">
                <c:v>39864</c:v>
              </c:pt>
              <c:pt idx="694">
                <c:v>39867</c:v>
              </c:pt>
              <c:pt idx="695">
                <c:v>39868</c:v>
              </c:pt>
              <c:pt idx="696">
                <c:v>39869</c:v>
              </c:pt>
              <c:pt idx="697">
                <c:v>39870</c:v>
              </c:pt>
              <c:pt idx="698">
                <c:v>39871</c:v>
              </c:pt>
              <c:pt idx="699">
                <c:v>39874</c:v>
              </c:pt>
              <c:pt idx="700">
                <c:v>39875</c:v>
              </c:pt>
              <c:pt idx="701">
                <c:v>39876</c:v>
              </c:pt>
              <c:pt idx="702">
                <c:v>39877</c:v>
              </c:pt>
              <c:pt idx="703">
                <c:v>39878</c:v>
              </c:pt>
              <c:pt idx="704">
                <c:v>39881</c:v>
              </c:pt>
              <c:pt idx="705">
                <c:v>39882</c:v>
              </c:pt>
              <c:pt idx="706">
                <c:v>39883</c:v>
              </c:pt>
              <c:pt idx="707">
                <c:v>39884</c:v>
              </c:pt>
              <c:pt idx="708">
                <c:v>39885</c:v>
              </c:pt>
              <c:pt idx="709">
                <c:v>39888</c:v>
              </c:pt>
              <c:pt idx="710">
                <c:v>39889</c:v>
              </c:pt>
              <c:pt idx="711">
                <c:v>39890</c:v>
              </c:pt>
              <c:pt idx="712">
                <c:v>39891</c:v>
              </c:pt>
              <c:pt idx="713">
                <c:v>39892</c:v>
              </c:pt>
              <c:pt idx="714">
                <c:v>39895</c:v>
              </c:pt>
              <c:pt idx="715">
                <c:v>39896</c:v>
              </c:pt>
              <c:pt idx="716">
                <c:v>39897</c:v>
              </c:pt>
              <c:pt idx="717">
                <c:v>39898</c:v>
              </c:pt>
              <c:pt idx="718">
                <c:v>39899</c:v>
              </c:pt>
              <c:pt idx="719">
                <c:v>39902</c:v>
              </c:pt>
              <c:pt idx="720">
                <c:v>39903</c:v>
              </c:pt>
              <c:pt idx="721">
                <c:v>39904</c:v>
              </c:pt>
              <c:pt idx="722">
                <c:v>39905</c:v>
              </c:pt>
              <c:pt idx="723">
                <c:v>39906</c:v>
              </c:pt>
              <c:pt idx="724">
                <c:v>39909</c:v>
              </c:pt>
              <c:pt idx="725">
                <c:v>39910</c:v>
              </c:pt>
              <c:pt idx="726">
                <c:v>39911</c:v>
              </c:pt>
              <c:pt idx="727">
                <c:v>39912</c:v>
              </c:pt>
              <c:pt idx="728">
                <c:v>39917</c:v>
              </c:pt>
              <c:pt idx="729">
                <c:v>39918</c:v>
              </c:pt>
              <c:pt idx="730">
                <c:v>39919</c:v>
              </c:pt>
              <c:pt idx="731">
                <c:v>39920</c:v>
              </c:pt>
              <c:pt idx="732">
                <c:v>39923</c:v>
              </c:pt>
              <c:pt idx="733">
                <c:v>39924</c:v>
              </c:pt>
              <c:pt idx="734">
                <c:v>39925</c:v>
              </c:pt>
              <c:pt idx="735">
                <c:v>39926</c:v>
              </c:pt>
              <c:pt idx="736">
                <c:v>39927</c:v>
              </c:pt>
              <c:pt idx="737">
                <c:v>39930</c:v>
              </c:pt>
              <c:pt idx="738">
                <c:v>39931</c:v>
              </c:pt>
              <c:pt idx="739">
                <c:v>39932</c:v>
              </c:pt>
              <c:pt idx="740">
                <c:v>39933</c:v>
              </c:pt>
              <c:pt idx="741">
                <c:v>39934</c:v>
              </c:pt>
              <c:pt idx="742">
                <c:v>39937</c:v>
              </c:pt>
              <c:pt idx="743">
                <c:v>39938</c:v>
              </c:pt>
              <c:pt idx="744">
                <c:v>39939</c:v>
              </c:pt>
              <c:pt idx="745">
                <c:v>39940</c:v>
              </c:pt>
              <c:pt idx="746">
                <c:v>39941</c:v>
              </c:pt>
              <c:pt idx="747">
                <c:v>39944</c:v>
              </c:pt>
              <c:pt idx="748">
                <c:v>39945</c:v>
              </c:pt>
              <c:pt idx="749">
                <c:v>39946</c:v>
              </c:pt>
              <c:pt idx="750">
                <c:v>39947</c:v>
              </c:pt>
              <c:pt idx="751">
                <c:v>39948</c:v>
              </c:pt>
              <c:pt idx="752">
                <c:v>39951</c:v>
              </c:pt>
              <c:pt idx="753">
                <c:v>39952</c:v>
              </c:pt>
              <c:pt idx="754">
                <c:v>39953</c:v>
              </c:pt>
              <c:pt idx="755">
                <c:v>39954</c:v>
              </c:pt>
              <c:pt idx="756">
                <c:v>39955</c:v>
              </c:pt>
              <c:pt idx="757">
                <c:v>39958</c:v>
              </c:pt>
              <c:pt idx="758">
                <c:v>39959</c:v>
              </c:pt>
              <c:pt idx="759">
                <c:v>39960</c:v>
              </c:pt>
              <c:pt idx="760">
                <c:v>39961</c:v>
              </c:pt>
              <c:pt idx="761">
                <c:v>39962</c:v>
              </c:pt>
              <c:pt idx="762">
                <c:v>39965</c:v>
              </c:pt>
              <c:pt idx="763">
                <c:v>39966</c:v>
              </c:pt>
              <c:pt idx="764">
                <c:v>39967</c:v>
              </c:pt>
              <c:pt idx="765">
                <c:v>39968</c:v>
              </c:pt>
              <c:pt idx="766">
                <c:v>39969</c:v>
              </c:pt>
              <c:pt idx="767">
                <c:v>39973</c:v>
              </c:pt>
              <c:pt idx="768">
                <c:v>39974</c:v>
              </c:pt>
              <c:pt idx="769">
                <c:v>39975</c:v>
              </c:pt>
              <c:pt idx="770">
                <c:v>39976</c:v>
              </c:pt>
              <c:pt idx="771">
                <c:v>39979</c:v>
              </c:pt>
              <c:pt idx="772">
                <c:v>39980</c:v>
              </c:pt>
              <c:pt idx="773">
                <c:v>39981</c:v>
              </c:pt>
              <c:pt idx="774">
                <c:v>39982</c:v>
              </c:pt>
              <c:pt idx="775">
                <c:v>39983</c:v>
              </c:pt>
              <c:pt idx="776">
                <c:v>39986</c:v>
              </c:pt>
              <c:pt idx="777">
                <c:v>39987</c:v>
              </c:pt>
              <c:pt idx="778">
                <c:v>39988</c:v>
              </c:pt>
              <c:pt idx="779">
                <c:v>39989</c:v>
              </c:pt>
              <c:pt idx="780">
                <c:v>39990</c:v>
              </c:pt>
              <c:pt idx="781">
                <c:v>39993</c:v>
              </c:pt>
              <c:pt idx="782">
                <c:v>39994</c:v>
              </c:pt>
              <c:pt idx="783">
                <c:v>39995</c:v>
              </c:pt>
              <c:pt idx="784">
                <c:v>39996</c:v>
              </c:pt>
              <c:pt idx="785">
                <c:v>39997</c:v>
              </c:pt>
              <c:pt idx="786">
                <c:v>40000</c:v>
              </c:pt>
              <c:pt idx="787">
                <c:v>40001</c:v>
              </c:pt>
              <c:pt idx="788">
                <c:v>40002</c:v>
              </c:pt>
              <c:pt idx="789">
                <c:v>40003</c:v>
              </c:pt>
              <c:pt idx="790">
                <c:v>40004</c:v>
              </c:pt>
              <c:pt idx="791">
                <c:v>40007</c:v>
              </c:pt>
              <c:pt idx="792">
                <c:v>40008</c:v>
              </c:pt>
              <c:pt idx="793">
                <c:v>40009</c:v>
              </c:pt>
              <c:pt idx="794">
                <c:v>40010</c:v>
              </c:pt>
              <c:pt idx="795">
                <c:v>40011</c:v>
              </c:pt>
              <c:pt idx="796">
                <c:v>40014</c:v>
              </c:pt>
              <c:pt idx="797">
                <c:v>40015</c:v>
              </c:pt>
              <c:pt idx="798">
                <c:v>40016</c:v>
              </c:pt>
              <c:pt idx="799">
                <c:v>40017</c:v>
              </c:pt>
              <c:pt idx="800">
                <c:v>40018</c:v>
              </c:pt>
              <c:pt idx="801">
                <c:v>40021</c:v>
              </c:pt>
              <c:pt idx="802">
                <c:v>40022</c:v>
              </c:pt>
              <c:pt idx="803">
                <c:v>40023</c:v>
              </c:pt>
              <c:pt idx="804">
                <c:v>40024</c:v>
              </c:pt>
              <c:pt idx="805">
                <c:v>40025</c:v>
              </c:pt>
              <c:pt idx="806">
                <c:v>40028</c:v>
              </c:pt>
              <c:pt idx="807">
                <c:v>40029</c:v>
              </c:pt>
              <c:pt idx="808">
                <c:v>40030</c:v>
              </c:pt>
              <c:pt idx="809">
                <c:v>40031</c:v>
              </c:pt>
              <c:pt idx="810">
                <c:v>40032</c:v>
              </c:pt>
              <c:pt idx="811">
                <c:v>40035</c:v>
              </c:pt>
              <c:pt idx="812">
                <c:v>40036</c:v>
              </c:pt>
              <c:pt idx="813">
                <c:v>40037</c:v>
              </c:pt>
              <c:pt idx="814">
                <c:v>40038</c:v>
              </c:pt>
              <c:pt idx="815">
                <c:v>40039</c:v>
              </c:pt>
              <c:pt idx="816">
                <c:v>40042</c:v>
              </c:pt>
              <c:pt idx="817">
                <c:v>40043</c:v>
              </c:pt>
              <c:pt idx="818">
                <c:v>40044</c:v>
              </c:pt>
              <c:pt idx="819">
                <c:v>40045</c:v>
              </c:pt>
              <c:pt idx="820">
                <c:v>40046</c:v>
              </c:pt>
              <c:pt idx="821">
                <c:v>40049</c:v>
              </c:pt>
              <c:pt idx="822">
                <c:v>40050</c:v>
              </c:pt>
              <c:pt idx="823">
                <c:v>40051</c:v>
              </c:pt>
              <c:pt idx="824">
                <c:v>40052</c:v>
              </c:pt>
              <c:pt idx="825">
                <c:v>40053</c:v>
              </c:pt>
              <c:pt idx="826">
                <c:v>40056</c:v>
              </c:pt>
              <c:pt idx="827">
                <c:v>40057</c:v>
              </c:pt>
              <c:pt idx="828">
                <c:v>40058</c:v>
              </c:pt>
              <c:pt idx="829">
                <c:v>40059</c:v>
              </c:pt>
              <c:pt idx="830">
                <c:v>40060</c:v>
              </c:pt>
              <c:pt idx="831">
                <c:v>40063</c:v>
              </c:pt>
              <c:pt idx="832">
                <c:v>40064</c:v>
              </c:pt>
              <c:pt idx="833">
                <c:v>40065</c:v>
              </c:pt>
              <c:pt idx="834">
                <c:v>40066</c:v>
              </c:pt>
              <c:pt idx="835">
                <c:v>40067</c:v>
              </c:pt>
              <c:pt idx="836">
                <c:v>40070</c:v>
              </c:pt>
              <c:pt idx="837">
                <c:v>40071</c:v>
              </c:pt>
              <c:pt idx="838">
                <c:v>40072</c:v>
              </c:pt>
              <c:pt idx="839">
                <c:v>40073</c:v>
              </c:pt>
              <c:pt idx="840">
                <c:v>40074</c:v>
              </c:pt>
              <c:pt idx="841">
                <c:v>40077</c:v>
              </c:pt>
              <c:pt idx="842">
                <c:v>40078</c:v>
              </c:pt>
              <c:pt idx="843">
                <c:v>40079</c:v>
              </c:pt>
              <c:pt idx="844">
                <c:v>40080</c:v>
              </c:pt>
              <c:pt idx="845">
                <c:v>40081</c:v>
              </c:pt>
              <c:pt idx="846">
                <c:v>40084</c:v>
              </c:pt>
              <c:pt idx="847">
                <c:v>40085</c:v>
              </c:pt>
              <c:pt idx="848">
                <c:v>40086</c:v>
              </c:pt>
              <c:pt idx="849">
                <c:v>40087</c:v>
              </c:pt>
              <c:pt idx="850">
                <c:v>40088</c:v>
              </c:pt>
              <c:pt idx="851">
                <c:v>40091</c:v>
              </c:pt>
              <c:pt idx="852">
                <c:v>40092</c:v>
              </c:pt>
              <c:pt idx="853">
                <c:v>40093</c:v>
              </c:pt>
              <c:pt idx="854">
                <c:v>40094</c:v>
              </c:pt>
              <c:pt idx="855">
                <c:v>40095</c:v>
              </c:pt>
              <c:pt idx="856">
                <c:v>40098</c:v>
              </c:pt>
              <c:pt idx="857">
                <c:v>40099</c:v>
              </c:pt>
              <c:pt idx="858">
                <c:v>40100</c:v>
              </c:pt>
              <c:pt idx="859">
                <c:v>40101</c:v>
              </c:pt>
              <c:pt idx="860">
                <c:v>40102</c:v>
              </c:pt>
              <c:pt idx="861">
                <c:v>40105</c:v>
              </c:pt>
              <c:pt idx="862">
                <c:v>40106</c:v>
              </c:pt>
              <c:pt idx="863">
                <c:v>40107</c:v>
              </c:pt>
              <c:pt idx="864">
                <c:v>40108</c:v>
              </c:pt>
              <c:pt idx="865">
                <c:v>40109</c:v>
              </c:pt>
              <c:pt idx="866">
                <c:v>40112</c:v>
              </c:pt>
              <c:pt idx="867">
                <c:v>40113</c:v>
              </c:pt>
              <c:pt idx="868">
                <c:v>40114</c:v>
              </c:pt>
              <c:pt idx="869">
                <c:v>40115</c:v>
              </c:pt>
              <c:pt idx="870">
                <c:v>40116</c:v>
              </c:pt>
              <c:pt idx="871">
                <c:v>40119</c:v>
              </c:pt>
              <c:pt idx="872">
                <c:v>40120</c:v>
              </c:pt>
              <c:pt idx="873">
                <c:v>40121</c:v>
              </c:pt>
              <c:pt idx="874">
                <c:v>40122</c:v>
              </c:pt>
              <c:pt idx="875">
                <c:v>40123</c:v>
              </c:pt>
              <c:pt idx="876">
                <c:v>40126</c:v>
              </c:pt>
              <c:pt idx="877">
                <c:v>40127</c:v>
              </c:pt>
              <c:pt idx="878">
                <c:v>40128</c:v>
              </c:pt>
              <c:pt idx="879">
                <c:v>40129</c:v>
              </c:pt>
              <c:pt idx="880">
                <c:v>40130</c:v>
              </c:pt>
              <c:pt idx="881">
                <c:v>40133</c:v>
              </c:pt>
              <c:pt idx="882">
                <c:v>40134</c:v>
              </c:pt>
              <c:pt idx="883">
                <c:v>40135</c:v>
              </c:pt>
              <c:pt idx="884">
                <c:v>40136</c:v>
              </c:pt>
              <c:pt idx="885">
                <c:v>40137</c:v>
              </c:pt>
              <c:pt idx="886">
                <c:v>40140</c:v>
              </c:pt>
              <c:pt idx="887">
                <c:v>40141</c:v>
              </c:pt>
              <c:pt idx="888">
                <c:v>40142</c:v>
              </c:pt>
              <c:pt idx="889">
                <c:v>40143</c:v>
              </c:pt>
              <c:pt idx="890">
                <c:v>40144</c:v>
              </c:pt>
              <c:pt idx="891">
                <c:v>40147</c:v>
              </c:pt>
              <c:pt idx="892">
                <c:v>40148</c:v>
              </c:pt>
              <c:pt idx="893">
                <c:v>40149</c:v>
              </c:pt>
              <c:pt idx="894">
                <c:v>40150</c:v>
              </c:pt>
              <c:pt idx="895">
                <c:v>40151</c:v>
              </c:pt>
              <c:pt idx="896">
                <c:v>40154</c:v>
              </c:pt>
              <c:pt idx="897">
                <c:v>40155</c:v>
              </c:pt>
              <c:pt idx="898">
                <c:v>40156</c:v>
              </c:pt>
              <c:pt idx="899">
                <c:v>40157</c:v>
              </c:pt>
              <c:pt idx="900">
                <c:v>40158</c:v>
              </c:pt>
              <c:pt idx="901">
                <c:v>40161</c:v>
              </c:pt>
              <c:pt idx="902">
                <c:v>40162</c:v>
              </c:pt>
              <c:pt idx="903">
                <c:v>40163</c:v>
              </c:pt>
              <c:pt idx="904">
                <c:v>40164</c:v>
              </c:pt>
              <c:pt idx="905">
                <c:v>40165</c:v>
              </c:pt>
              <c:pt idx="906">
                <c:v>40168</c:v>
              </c:pt>
              <c:pt idx="907">
                <c:v>40169</c:v>
              </c:pt>
              <c:pt idx="908">
                <c:v>40170</c:v>
              </c:pt>
              <c:pt idx="909">
                <c:v>40171</c:v>
              </c:pt>
              <c:pt idx="910">
                <c:v>40176</c:v>
              </c:pt>
              <c:pt idx="911">
                <c:v>40177</c:v>
              </c:pt>
              <c:pt idx="912">
                <c:v>40178</c:v>
              </c:pt>
              <c:pt idx="913">
                <c:v>40182</c:v>
              </c:pt>
              <c:pt idx="914">
                <c:v>40183</c:v>
              </c:pt>
              <c:pt idx="915">
                <c:v>40184</c:v>
              </c:pt>
              <c:pt idx="916">
                <c:v>40185</c:v>
              </c:pt>
              <c:pt idx="917">
                <c:v>40186</c:v>
              </c:pt>
              <c:pt idx="918">
                <c:v>40189</c:v>
              </c:pt>
              <c:pt idx="919">
                <c:v>40190</c:v>
              </c:pt>
              <c:pt idx="920">
                <c:v>40191</c:v>
              </c:pt>
              <c:pt idx="921">
                <c:v>40192</c:v>
              </c:pt>
              <c:pt idx="922">
                <c:v>40193</c:v>
              </c:pt>
              <c:pt idx="923">
                <c:v>40196</c:v>
              </c:pt>
              <c:pt idx="924">
                <c:v>40197</c:v>
              </c:pt>
              <c:pt idx="925">
                <c:v>40198</c:v>
              </c:pt>
              <c:pt idx="926">
                <c:v>40199</c:v>
              </c:pt>
              <c:pt idx="927">
                <c:v>40200</c:v>
              </c:pt>
              <c:pt idx="928">
                <c:v>40203</c:v>
              </c:pt>
              <c:pt idx="929">
                <c:v>40205</c:v>
              </c:pt>
              <c:pt idx="930">
                <c:v>40206</c:v>
              </c:pt>
              <c:pt idx="931">
                <c:v>40207</c:v>
              </c:pt>
              <c:pt idx="932">
                <c:v>40210</c:v>
              </c:pt>
              <c:pt idx="933">
                <c:v>40211</c:v>
              </c:pt>
              <c:pt idx="934">
                <c:v>40212</c:v>
              </c:pt>
              <c:pt idx="935">
                <c:v>40213</c:v>
              </c:pt>
              <c:pt idx="936">
                <c:v>40214</c:v>
              </c:pt>
              <c:pt idx="937">
                <c:v>40217</c:v>
              </c:pt>
              <c:pt idx="938">
                <c:v>40218</c:v>
              </c:pt>
              <c:pt idx="939">
                <c:v>40219</c:v>
              </c:pt>
              <c:pt idx="940">
                <c:v>40220</c:v>
              </c:pt>
              <c:pt idx="941">
                <c:v>40221</c:v>
              </c:pt>
              <c:pt idx="942">
                <c:v>40224</c:v>
              </c:pt>
              <c:pt idx="943">
                <c:v>40225</c:v>
              </c:pt>
              <c:pt idx="944">
                <c:v>40226</c:v>
              </c:pt>
              <c:pt idx="945">
                <c:v>40227</c:v>
              </c:pt>
              <c:pt idx="946">
                <c:v>40228</c:v>
              </c:pt>
              <c:pt idx="947">
                <c:v>40231</c:v>
              </c:pt>
              <c:pt idx="948">
                <c:v>40232</c:v>
              </c:pt>
              <c:pt idx="949">
                <c:v>40233</c:v>
              </c:pt>
              <c:pt idx="950">
                <c:v>40234</c:v>
              </c:pt>
              <c:pt idx="951">
                <c:v>40235</c:v>
              </c:pt>
              <c:pt idx="952">
                <c:v>40238</c:v>
              </c:pt>
              <c:pt idx="953">
                <c:v>40239</c:v>
              </c:pt>
              <c:pt idx="954">
                <c:v>40240</c:v>
              </c:pt>
              <c:pt idx="955">
                <c:v>40241</c:v>
              </c:pt>
              <c:pt idx="956">
                <c:v>40242</c:v>
              </c:pt>
              <c:pt idx="957">
                <c:v>40245</c:v>
              </c:pt>
              <c:pt idx="958">
                <c:v>40246</c:v>
              </c:pt>
              <c:pt idx="959">
                <c:v>40247</c:v>
              </c:pt>
              <c:pt idx="960">
                <c:v>40248</c:v>
              </c:pt>
              <c:pt idx="961">
                <c:v>40249</c:v>
              </c:pt>
              <c:pt idx="962">
                <c:v>40252</c:v>
              </c:pt>
              <c:pt idx="963">
                <c:v>40253</c:v>
              </c:pt>
              <c:pt idx="964">
                <c:v>40254</c:v>
              </c:pt>
              <c:pt idx="965">
                <c:v>40255</c:v>
              </c:pt>
              <c:pt idx="966">
                <c:v>40256</c:v>
              </c:pt>
              <c:pt idx="967">
                <c:v>40259</c:v>
              </c:pt>
              <c:pt idx="968">
                <c:v>40260</c:v>
              </c:pt>
              <c:pt idx="969">
                <c:v>40261</c:v>
              </c:pt>
              <c:pt idx="970">
                <c:v>40262</c:v>
              </c:pt>
              <c:pt idx="971">
                <c:v>40263</c:v>
              </c:pt>
              <c:pt idx="972">
                <c:v>40266</c:v>
              </c:pt>
              <c:pt idx="973">
                <c:v>40267</c:v>
              </c:pt>
              <c:pt idx="974">
                <c:v>40268</c:v>
              </c:pt>
              <c:pt idx="975">
                <c:v>40269</c:v>
              </c:pt>
              <c:pt idx="976">
                <c:v>40274</c:v>
              </c:pt>
              <c:pt idx="977">
                <c:v>40275</c:v>
              </c:pt>
              <c:pt idx="978">
                <c:v>40276</c:v>
              </c:pt>
              <c:pt idx="979">
                <c:v>40277</c:v>
              </c:pt>
              <c:pt idx="980">
                <c:v>40280</c:v>
              </c:pt>
              <c:pt idx="981">
                <c:v>40281</c:v>
              </c:pt>
              <c:pt idx="982">
                <c:v>40282</c:v>
              </c:pt>
              <c:pt idx="983">
                <c:v>40283</c:v>
              </c:pt>
              <c:pt idx="984">
                <c:v>40284</c:v>
              </c:pt>
              <c:pt idx="985">
                <c:v>40287</c:v>
              </c:pt>
              <c:pt idx="986">
                <c:v>40288</c:v>
              </c:pt>
              <c:pt idx="987">
                <c:v>40289</c:v>
              </c:pt>
              <c:pt idx="988">
                <c:v>40290</c:v>
              </c:pt>
              <c:pt idx="989">
                <c:v>40291</c:v>
              </c:pt>
              <c:pt idx="990">
                <c:v>40295</c:v>
              </c:pt>
              <c:pt idx="991">
                <c:v>40296</c:v>
              </c:pt>
              <c:pt idx="992">
                <c:v>40297</c:v>
              </c:pt>
              <c:pt idx="993">
                <c:v>40298</c:v>
              </c:pt>
              <c:pt idx="994">
                <c:v>40301</c:v>
              </c:pt>
              <c:pt idx="995">
                <c:v>40302</c:v>
              </c:pt>
              <c:pt idx="996">
                <c:v>40303</c:v>
              </c:pt>
              <c:pt idx="997">
                <c:v>40304</c:v>
              </c:pt>
              <c:pt idx="998">
                <c:v>40305</c:v>
              </c:pt>
              <c:pt idx="999">
                <c:v>40308</c:v>
              </c:pt>
              <c:pt idx="1000">
                <c:v>40309</c:v>
              </c:pt>
              <c:pt idx="1001">
                <c:v>40310</c:v>
              </c:pt>
              <c:pt idx="1002">
                <c:v>40311</c:v>
              </c:pt>
              <c:pt idx="1003">
                <c:v>40312</c:v>
              </c:pt>
              <c:pt idx="1004">
                <c:v>40315</c:v>
              </c:pt>
              <c:pt idx="1005">
                <c:v>40316</c:v>
              </c:pt>
              <c:pt idx="1006">
                <c:v>40317</c:v>
              </c:pt>
              <c:pt idx="1007">
                <c:v>40318</c:v>
              </c:pt>
              <c:pt idx="1008">
                <c:v>40319</c:v>
              </c:pt>
              <c:pt idx="1009">
                <c:v>40322</c:v>
              </c:pt>
              <c:pt idx="1010">
                <c:v>40323</c:v>
              </c:pt>
              <c:pt idx="1011">
                <c:v>40324</c:v>
              </c:pt>
              <c:pt idx="1012">
                <c:v>40325</c:v>
              </c:pt>
              <c:pt idx="1013">
                <c:v>40326</c:v>
              </c:pt>
              <c:pt idx="1014">
                <c:v>40329</c:v>
              </c:pt>
              <c:pt idx="1015">
                <c:v>40330</c:v>
              </c:pt>
              <c:pt idx="1016">
                <c:v>40331</c:v>
              </c:pt>
              <c:pt idx="1017">
                <c:v>40332</c:v>
              </c:pt>
              <c:pt idx="1018">
                <c:v>40333</c:v>
              </c:pt>
              <c:pt idx="1019">
                <c:v>40336</c:v>
              </c:pt>
              <c:pt idx="1020">
                <c:v>40337</c:v>
              </c:pt>
              <c:pt idx="1021">
                <c:v>40338</c:v>
              </c:pt>
              <c:pt idx="1022">
                <c:v>40339</c:v>
              </c:pt>
              <c:pt idx="1023">
                <c:v>40340</c:v>
              </c:pt>
              <c:pt idx="1024">
                <c:v>40344</c:v>
              </c:pt>
              <c:pt idx="1025">
                <c:v>40345</c:v>
              </c:pt>
              <c:pt idx="1026">
                <c:v>40346</c:v>
              </c:pt>
              <c:pt idx="1027">
                <c:v>40347</c:v>
              </c:pt>
              <c:pt idx="1028">
                <c:v>40350</c:v>
              </c:pt>
              <c:pt idx="1029">
                <c:v>40351</c:v>
              </c:pt>
              <c:pt idx="1030">
                <c:v>40352</c:v>
              </c:pt>
              <c:pt idx="1031">
                <c:v>40353</c:v>
              </c:pt>
              <c:pt idx="1032">
                <c:v>40354</c:v>
              </c:pt>
              <c:pt idx="1033">
                <c:v>40357</c:v>
              </c:pt>
              <c:pt idx="1034">
                <c:v>40358</c:v>
              </c:pt>
              <c:pt idx="1035">
                <c:v>40359</c:v>
              </c:pt>
              <c:pt idx="1036">
                <c:v>40360</c:v>
              </c:pt>
              <c:pt idx="1037">
                <c:v>40361</c:v>
              </c:pt>
              <c:pt idx="1038">
                <c:v>40364</c:v>
              </c:pt>
              <c:pt idx="1039">
                <c:v>40365</c:v>
              </c:pt>
              <c:pt idx="1040">
                <c:v>40366</c:v>
              </c:pt>
              <c:pt idx="1041">
                <c:v>40367</c:v>
              </c:pt>
              <c:pt idx="1042">
                <c:v>40368</c:v>
              </c:pt>
              <c:pt idx="1043">
                <c:v>40371</c:v>
              </c:pt>
              <c:pt idx="1044">
                <c:v>40372</c:v>
              </c:pt>
              <c:pt idx="1045">
                <c:v>40373</c:v>
              </c:pt>
              <c:pt idx="1046">
                <c:v>40374</c:v>
              </c:pt>
              <c:pt idx="1047">
                <c:v>40375</c:v>
              </c:pt>
              <c:pt idx="1048">
                <c:v>40378</c:v>
              </c:pt>
              <c:pt idx="1049">
                <c:v>40379</c:v>
              </c:pt>
              <c:pt idx="1050">
                <c:v>40380</c:v>
              </c:pt>
              <c:pt idx="1051">
                <c:v>40381</c:v>
              </c:pt>
              <c:pt idx="1052">
                <c:v>40382</c:v>
              </c:pt>
              <c:pt idx="1053">
                <c:v>40385</c:v>
              </c:pt>
              <c:pt idx="1054">
                <c:v>40386</c:v>
              </c:pt>
              <c:pt idx="1055">
                <c:v>40387</c:v>
              </c:pt>
              <c:pt idx="1056">
                <c:v>40388</c:v>
              </c:pt>
              <c:pt idx="1057">
                <c:v>40389</c:v>
              </c:pt>
              <c:pt idx="1058">
                <c:v>40392</c:v>
              </c:pt>
              <c:pt idx="1059">
                <c:v>40393</c:v>
              </c:pt>
              <c:pt idx="1060">
                <c:v>40394</c:v>
              </c:pt>
              <c:pt idx="1061">
                <c:v>40395</c:v>
              </c:pt>
              <c:pt idx="1062">
                <c:v>40396</c:v>
              </c:pt>
              <c:pt idx="1063">
                <c:v>40399</c:v>
              </c:pt>
              <c:pt idx="1064">
                <c:v>40400</c:v>
              </c:pt>
              <c:pt idx="1065">
                <c:v>40401</c:v>
              </c:pt>
              <c:pt idx="1066">
                <c:v>40402</c:v>
              </c:pt>
              <c:pt idx="1067">
                <c:v>40403</c:v>
              </c:pt>
              <c:pt idx="1068">
                <c:v>40406</c:v>
              </c:pt>
              <c:pt idx="1069">
                <c:v>40407</c:v>
              </c:pt>
              <c:pt idx="1070">
                <c:v>40408</c:v>
              </c:pt>
              <c:pt idx="1071">
                <c:v>40409</c:v>
              </c:pt>
              <c:pt idx="1072">
                <c:v>40410</c:v>
              </c:pt>
              <c:pt idx="1073">
                <c:v>40413</c:v>
              </c:pt>
              <c:pt idx="1074">
                <c:v>40414</c:v>
              </c:pt>
              <c:pt idx="1075">
                <c:v>40415</c:v>
              </c:pt>
              <c:pt idx="1076">
                <c:v>40416</c:v>
              </c:pt>
              <c:pt idx="1077">
                <c:v>40417</c:v>
              </c:pt>
              <c:pt idx="1078">
                <c:v>40420</c:v>
              </c:pt>
              <c:pt idx="1079">
                <c:v>40421</c:v>
              </c:pt>
              <c:pt idx="1080">
                <c:v>40422</c:v>
              </c:pt>
              <c:pt idx="1081">
                <c:v>40423</c:v>
              </c:pt>
              <c:pt idx="1082">
                <c:v>40424</c:v>
              </c:pt>
              <c:pt idx="1083">
                <c:v>40427</c:v>
              </c:pt>
              <c:pt idx="1084">
                <c:v>40428</c:v>
              </c:pt>
              <c:pt idx="1085">
                <c:v>40429</c:v>
              </c:pt>
              <c:pt idx="1086">
                <c:v>40430</c:v>
              </c:pt>
              <c:pt idx="1087">
                <c:v>40431</c:v>
              </c:pt>
              <c:pt idx="1088">
                <c:v>40434</c:v>
              </c:pt>
              <c:pt idx="1089">
                <c:v>40435</c:v>
              </c:pt>
              <c:pt idx="1090">
                <c:v>40436</c:v>
              </c:pt>
              <c:pt idx="1091">
                <c:v>40437</c:v>
              </c:pt>
              <c:pt idx="1092">
                <c:v>40438</c:v>
              </c:pt>
              <c:pt idx="1093">
                <c:v>40441</c:v>
              </c:pt>
              <c:pt idx="1094">
                <c:v>40442</c:v>
              </c:pt>
              <c:pt idx="1095">
                <c:v>40443</c:v>
              </c:pt>
              <c:pt idx="1096">
                <c:v>40444</c:v>
              </c:pt>
              <c:pt idx="1097">
                <c:v>40445</c:v>
              </c:pt>
              <c:pt idx="1098">
                <c:v>40448</c:v>
              </c:pt>
              <c:pt idx="1099">
                <c:v>40449</c:v>
              </c:pt>
              <c:pt idx="1100">
                <c:v>40450</c:v>
              </c:pt>
              <c:pt idx="1101">
                <c:v>40451</c:v>
              </c:pt>
              <c:pt idx="1102">
                <c:v>40452</c:v>
              </c:pt>
              <c:pt idx="1103">
                <c:v>40455</c:v>
              </c:pt>
              <c:pt idx="1104">
                <c:v>40456</c:v>
              </c:pt>
              <c:pt idx="1105">
                <c:v>40457</c:v>
              </c:pt>
              <c:pt idx="1106">
                <c:v>40458</c:v>
              </c:pt>
              <c:pt idx="1107">
                <c:v>40459</c:v>
              </c:pt>
              <c:pt idx="1108">
                <c:v>40462</c:v>
              </c:pt>
              <c:pt idx="1109">
                <c:v>40463</c:v>
              </c:pt>
              <c:pt idx="1110">
                <c:v>40464</c:v>
              </c:pt>
              <c:pt idx="1111">
                <c:v>40465</c:v>
              </c:pt>
              <c:pt idx="1112">
                <c:v>40466</c:v>
              </c:pt>
              <c:pt idx="1113">
                <c:v>40469</c:v>
              </c:pt>
              <c:pt idx="1114">
                <c:v>40470</c:v>
              </c:pt>
              <c:pt idx="1115">
                <c:v>40471</c:v>
              </c:pt>
              <c:pt idx="1116">
                <c:v>40472</c:v>
              </c:pt>
              <c:pt idx="1117">
                <c:v>40473</c:v>
              </c:pt>
              <c:pt idx="1118">
                <c:v>40476</c:v>
              </c:pt>
              <c:pt idx="1119">
                <c:v>40477</c:v>
              </c:pt>
              <c:pt idx="1120">
                <c:v>40478</c:v>
              </c:pt>
              <c:pt idx="1121">
                <c:v>40479</c:v>
              </c:pt>
              <c:pt idx="1122">
                <c:v>40480</c:v>
              </c:pt>
              <c:pt idx="1123">
                <c:v>40483</c:v>
              </c:pt>
              <c:pt idx="1124">
                <c:v>40484</c:v>
              </c:pt>
              <c:pt idx="1125">
                <c:v>40485</c:v>
              </c:pt>
              <c:pt idx="1126">
                <c:v>40486</c:v>
              </c:pt>
              <c:pt idx="1127">
                <c:v>40487</c:v>
              </c:pt>
              <c:pt idx="1128">
                <c:v>40490</c:v>
              </c:pt>
              <c:pt idx="1129">
                <c:v>40491</c:v>
              </c:pt>
              <c:pt idx="1130">
                <c:v>40492</c:v>
              </c:pt>
              <c:pt idx="1131">
                <c:v>40493</c:v>
              </c:pt>
              <c:pt idx="1132">
                <c:v>40494</c:v>
              </c:pt>
              <c:pt idx="1133">
                <c:v>40497</c:v>
              </c:pt>
              <c:pt idx="1134">
                <c:v>40498</c:v>
              </c:pt>
              <c:pt idx="1135">
                <c:v>40499</c:v>
              </c:pt>
              <c:pt idx="1136">
                <c:v>40500</c:v>
              </c:pt>
              <c:pt idx="1137">
                <c:v>40501</c:v>
              </c:pt>
              <c:pt idx="1138">
                <c:v>40504</c:v>
              </c:pt>
              <c:pt idx="1139">
                <c:v>40505</c:v>
              </c:pt>
              <c:pt idx="1140">
                <c:v>40506</c:v>
              </c:pt>
              <c:pt idx="1141">
                <c:v>40507</c:v>
              </c:pt>
              <c:pt idx="1142">
                <c:v>40508</c:v>
              </c:pt>
              <c:pt idx="1143">
                <c:v>40511</c:v>
              </c:pt>
              <c:pt idx="1144">
                <c:v>40512</c:v>
              </c:pt>
              <c:pt idx="1145">
                <c:v>40513</c:v>
              </c:pt>
              <c:pt idx="1146">
                <c:v>40514</c:v>
              </c:pt>
              <c:pt idx="1147">
                <c:v>40515</c:v>
              </c:pt>
              <c:pt idx="1148">
                <c:v>40518</c:v>
              </c:pt>
              <c:pt idx="1149">
                <c:v>40519</c:v>
              </c:pt>
              <c:pt idx="1150">
                <c:v>40520</c:v>
              </c:pt>
              <c:pt idx="1151">
                <c:v>40521</c:v>
              </c:pt>
              <c:pt idx="1152">
                <c:v>40522</c:v>
              </c:pt>
              <c:pt idx="1153">
                <c:v>40525</c:v>
              </c:pt>
              <c:pt idx="1154">
                <c:v>40526</c:v>
              </c:pt>
              <c:pt idx="1155">
                <c:v>40527</c:v>
              </c:pt>
              <c:pt idx="1156">
                <c:v>40528</c:v>
              </c:pt>
              <c:pt idx="1157">
                <c:v>40529</c:v>
              </c:pt>
              <c:pt idx="1158">
                <c:v>40532</c:v>
              </c:pt>
              <c:pt idx="1159">
                <c:v>40533</c:v>
              </c:pt>
              <c:pt idx="1160">
                <c:v>40534</c:v>
              </c:pt>
              <c:pt idx="1161">
                <c:v>40535</c:v>
              </c:pt>
              <c:pt idx="1162">
                <c:v>40536</c:v>
              </c:pt>
              <c:pt idx="1163">
                <c:v>40541</c:v>
              </c:pt>
              <c:pt idx="1164">
                <c:v>40542</c:v>
              </c:pt>
              <c:pt idx="1165">
                <c:v>40543</c:v>
              </c:pt>
              <c:pt idx="1166">
                <c:v>40547</c:v>
              </c:pt>
              <c:pt idx="1167">
                <c:v>40548</c:v>
              </c:pt>
              <c:pt idx="1168">
                <c:v>40549</c:v>
              </c:pt>
              <c:pt idx="1169">
                <c:v>40550</c:v>
              </c:pt>
              <c:pt idx="1170">
                <c:v>40553</c:v>
              </c:pt>
              <c:pt idx="1171">
                <c:v>40554</c:v>
              </c:pt>
              <c:pt idx="1172">
                <c:v>40555</c:v>
              </c:pt>
              <c:pt idx="1173">
                <c:v>40556</c:v>
              </c:pt>
              <c:pt idx="1174">
                <c:v>40557</c:v>
              </c:pt>
              <c:pt idx="1175">
                <c:v>40560</c:v>
              </c:pt>
              <c:pt idx="1176">
                <c:v>40561</c:v>
              </c:pt>
              <c:pt idx="1177">
                <c:v>40562</c:v>
              </c:pt>
              <c:pt idx="1178">
                <c:v>40563</c:v>
              </c:pt>
              <c:pt idx="1179">
                <c:v>40564</c:v>
              </c:pt>
              <c:pt idx="1180">
                <c:v>40567</c:v>
              </c:pt>
              <c:pt idx="1181">
                <c:v>40568</c:v>
              </c:pt>
              <c:pt idx="1182">
                <c:v>40570</c:v>
              </c:pt>
              <c:pt idx="1183">
                <c:v>40571</c:v>
              </c:pt>
              <c:pt idx="1184">
                <c:v>40574</c:v>
              </c:pt>
              <c:pt idx="1185">
                <c:v>40575</c:v>
              </c:pt>
              <c:pt idx="1186">
                <c:v>40576</c:v>
              </c:pt>
              <c:pt idx="1187">
                <c:v>40577</c:v>
              </c:pt>
              <c:pt idx="1188">
                <c:v>40578</c:v>
              </c:pt>
              <c:pt idx="1189">
                <c:v>40581</c:v>
              </c:pt>
              <c:pt idx="1190">
                <c:v>40582</c:v>
              </c:pt>
              <c:pt idx="1191">
                <c:v>40583</c:v>
              </c:pt>
              <c:pt idx="1192">
                <c:v>40584</c:v>
              </c:pt>
              <c:pt idx="1193">
                <c:v>40585</c:v>
              </c:pt>
              <c:pt idx="1194">
                <c:v>40588</c:v>
              </c:pt>
              <c:pt idx="1195">
                <c:v>40589</c:v>
              </c:pt>
              <c:pt idx="1196">
                <c:v>40590</c:v>
              </c:pt>
              <c:pt idx="1197">
                <c:v>40591</c:v>
              </c:pt>
              <c:pt idx="1198">
                <c:v>40592</c:v>
              </c:pt>
              <c:pt idx="1199">
                <c:v>40595</c:v>
              </c:pt>
              <c:pt idx="1200">
                <c:v>40596</c:v>
              </c:pt>
              <c:pt idx="1201">
                <c:v>40597</c:v>
              </c:pt>
              <c:pt idx="1202">
                <c:v>40598</c:v>
              </c:pt>
              <c:pt idx="1203">
                <c:v>40599</c:v>
              </c:pt>
              <c:pt idx="1204">
                <c:v>40602</c:v>
              </c:pt>
              <c:pt idx="1205">
                <c:v>40603</c:v>
              </c:pt>
              <c:pt idx="1206">
                <c:v>40604</c:v>
              </c:pt>
              <c:pt idx="1207">
                <c:v>40605</c:v>
              </c:pt>
              <c:pt idx="1208">
                <c:v>40606</c:v>
              </c:pt>
              <c:pt idx="1209">
                <c:v>40609</c:v>
              </c:pt>
              <c:pt idx="1210">
                <c:v>40610</c:v>
              </c:pt>
              <c:pt idx="1211">
                <c:v>40611</c:v>
              </c:pt>
              <c:pt idx="1212">
                <c:v>40612</c:v>
              </c:pt>
              <c:pt idx="1213">
                <c:v>40613</c:v>
              </c:pt>
              <c:pt idx="1214">
                <c:v>40616</c:v>
              </c:pt>
              <c:pt idx="1215">
                <c:v>40617</c:v>
              </c:pt>
              <c:pt idx="1216">
                <c:v>40618</c:v>
              </c:pt>
              <c:pt idx="1217">
                <c:v>40619</c:v>
              </c:pt>
              <c:pt idx="1218">
                <c:v>40620</c:v>
              </c:pt>
              <c:pt idx="1219">
                <c:v>40623</c:v>
              </c:pt>
              <c:pt idx="1220">
                <c:v>40624</c:v>
              </c:pt>
              <c:pt idx="1221">
                <c:v>40625</c:v>
              </c:pt>
              <c:pt idx="1222">
                <c:v>40626</c:v>
              </c:pt>
              <c:pt idx="1223">
                <c:v>40627</c:v>
              </c:pt>
              <c:pt idx="1224">
                <c:v>40630</c:v>
              </c:pt>
              <c:pt idx="1225">
                <c:v>40631</c:v>
              </c:pt>
              <c:pt idx="1226">
                <c:v>40632</c:v>
              </c:pt>
              <c:pt idx="1227">
                <c:v>40633</c:v>
              </c:pt>
              <c:pt idx="1228">
                <c:v>40634</c:v>
              </c:pt>
              <c:pt idx="1229">
                <c:v>40637</c:v>
              </c:pt>
              <c:pt idx="1230">
                <c:v>40638</c:v>
              </c:pt>
              <c:pt idx="1231">
                <c:v>40639</c:v>
              </c:pt>
              <c:pt idx="1232">
                <c:v>40640</c:v>
              </c:pt>
              <c:pt idx="1233">
                <c:v>40641</c:v>
              </c:pt>
              <c:pt idx="1234">
                <c:v>40644</c:v>
              </c:pt>
              <c:pt idx="1235">
                <c:v>40645</c:v>
              </c:pt>
              <c:pt idx="1236">
                <c:v>40646</c:v>
              </c:pt>
              <c:pt idx="1237">
                <c:v>40647</c:v>
              </c:pt>
              <c:pt idx="1238">
                <c:v>40648</c:v>
              </c:pt>
              <c:pt idx="1239">
                <c:v>40651</c:v>
              </c:pt>
              <c:pt idx="1240">
                <c:v>40652</c:v>
              </c:pt>
              <c:pt idx="1241">
                <c:v>40653</c:v>
              </c:pt>
              <c:pt idx="1242">
                <c:v>40654</c:v>
              </c:pt>
              <c:pt idx="1243">
                <c:v>40660</c:v>
              </c:pt>
              <c:pt idx="1244">
                <c:v>40661</c:v>
              </c:pt>
              <c:pt idx="1245">
                <c:v>40662</c:v>
              </c:pt>
              <c:pt idx="1246">
                <c:v>40665</c:v>
              </c:pt>
              <c:pt idx="1247">
                <c:v>40666</c:v>
              </c:pt>
              <c:pt idx="1248">
                <c:v>40667</c:v>
              </c:pt>
              <c:pt idx="1249">
                <c:v>40668</c:v>
              </c:pt>
              <c:pt idx="1250">
                <c:v>40669</c:v>
              </c:pt>
              <c:pt idx="1251">
                <c:v>40672</c:v>
              </c:pt>
              <c:pt idx="1252">
                <c:v>40673</c:v>
              </c:pt>
              <c:pt idx="1253">
                <c:v>40674</c:v>
              </c:pt>
              <c:pt idx="1254">
                <c:v>40675</c:v>
              </c:pt>
              <c:pt idx="1255">
                <c:v>40676</c:v>
              </c:pt>
              <c:pt idx="1256">
                <c:v>40679</c:v>
              </c:pt>
              <c:pt idx="1257">
                <c:v>40680</c:v>
              </c:pt>
              <c:pt idx="1258">
                <c:v>40681</c:v>
              </c:pt>
              <c:pt idx="1259">
                <c:v>40682</c:v>
              </c:pt>
              <c:pt idx="1260">
                <c:v>40683</c:v>
              </c:pt>
              <c:pt idx="1261">
                <c:v>40686</c:v>
              </c:pt>
              <c:pt idx="1262">
                <c:v>40687</c:v>
              </c:pt>
              <c:pt idx="1263">
                <c:v>40688</c:v>
              </c:pt>
              <c:pt idx="1264">
                <c:v>40689</c:v>
              </c:pt>
              <c:pt idx="1265">
                <c:v>40690</c:v>
              </c:pt>
              <c:pt idx="1266">
                <c:v>40693</c:v>
              </c:pt>
              <c:pt idx="1267">
                <c:v>40694</c:v>
              </c:pt>
              <c:pt idx="1268">
                <c:v>40695</c:v>
              </c:pt>
              <c:pt idx="1269">
                <c:v>40696</c:v>
              </c:pt>
              <c:pt idx="1270">
                <c:v>40697</c:v>
              </c:pt>
              <c:pt idx="1271">
                <c:v>40700</c:v>
              </c:pt>
              <c:pt idx="1272">
                <c:v>40701</c:v>
              </c:pt>
              <c:pt idx="1273">
                <c:v>40702</c:v>
              </c:pt>
              <c:pt idx="1274">
                <c:v>40703</c:v>
              </c:pt>
              <c:pt idx="1275">
                <c:v>40704</c:v>
              </c:pt>
              <c:pt idx="1276">
                <c:v>40708</c:v>
              </c:pt>
              <c:pt idx="1277">
                <c:v>40709</c:v>
              </c:pt>
              <c:pt idx="1278">
                <c:v>40710</c:v>
              </c:pt>
              <c:pt idx="1279">
                <c:v>40711</c:v>
              </c:pt>
              <c:pt idx="1280">
                <c:v>40714</c:v>
              </c:pt>
              <c:pt idx="1281">
                <c:v>40715</c:v>
              </c:pt>
              <c:pt idx="1282">
                <c:v>40716</c:v>
              </c:pt>
              <c:pt idx="1283">
                <c:v>40717</c:v>
              </c:pt>
              <c:pt idx="1284">
                <c:v>40718</c:v>
              </c:pt>
              <c:pt idx="1285">
                <c:v>40721</c:v>
              </c:pt>
              <c:pt idx="1286">
                <c:v>40722</c:v>
              </c:pt>
              <c:pt idx="1287">
                <c:v>40723</c:v>
              </c:pt>
              <c:pt idx="1288">
                <c:v>40724</c:v>
              </c:pt>
              <c:pt idx="1289">
                <c:v>40725</c:v>
              </c:pt>
              <c:pt idx="1290">
                <c:v>40728</c:v>
              </c:pt>
              <c:pt idx="1291">
                <c:v>40729</c:v>
              </c:pt>
              <c:pt idx="1292">
                <c:v>40730</c:v>
              </c:pt>
              <c:pt idx="1293">
                <c:v>40731</c:v>
              </c:pt>
              <c:pt idx="1294">
                <c:v>40732</c:v>
              </c:pt>
              <c:pt idx="1295">
                <c:v>40735</c:v>
              </c:pt>
              <c:pt idx="1296">
                <c:v>40736</c:v>
              </c:pt>
              <c:pt idx="1297">
                <c:v>40737</c:v>
              </c:pt>
              <c:pt idx="1298">
                <c:v>40738</c:v>
              </c:pt>
              <c:pt idx="1299">
                <c:v>40739</c:v>
              </c:pt>
              <c:pt idx="1300">
                <c:v>40742</c:v>
              </c:pt>
              <c:pt idx="1301">
                <c:v>40743</c:v>
              </c:pt>
              <c:pt idx="1302">
                <c:v>40744</c:v>
              </c:pt>
              <c:pt idx="1303">
                <c:v>40745</c:v>
              </c:pt>
              <c:pt idx="1304">
                <c:v>40746</c:v>
              </c:pt>
              <c:pt idx="1305">
                <c:v>40749</c:v>
              </c:pt>
              <c:pt idx="1306">
                <c:v>40750</c:v>
              </c:pt>
              <c:pt idx="1307">
                <c:v>40751</c:v>
              </c:pt>
              <c:pt idx="1308">
                <c:v>40752</c:v>
              </c:pt>
              <c:pt idx="1309">
                <c:v>40753</c:v>
              </c:pt>
              <c:pt idx="1310">
                <c:v>40757</c:v>
              </c:pt>
              <c:pt idx="1311">
                <c:v>40758</c:v>
              </c:pt>
              <c:pt idx="1312">
                <c:v>40759</c:v>
              </c:pt>
              <c:pt idx="1313">
                <c:v>40760</c:v>
              </c:pt>
              <c:pt idx="1314">
                <c:v>40763</c:v>
              </c:pt>
              <c:pt idx="1315">
                <c:v>40764</c:v>
              </c:pt>
              <c:pt idx="1316">
                <c:v>40765</c:v>
              </c:pt>
              <c:pt idx="1317">
                <c:v>40766</c:v>
              </c:pt>
              <c:pt idx="1318">
                <c:v>40767</c:v>
              </c:pt>
              <c:pt idx="1319">
                <c:v>40770</c:v>
              </c:pt>
              <c:pt idx="1320">
                <c:v>40771</c:v>
              </c:pt>
              <c:pt idx="1321">
                <c:v>40772</c:v>
              </c:pt>
              <c:pt idx="1322">
                <c:v>40773</c:v>
              </c:pt>
              <c:pt idx="1323">
                <c:v>40774</c:v>
              </c:pt>
              <c:pt idx="1324">
                <c:v>40777</c:v>
              </c:pt>
              <c:pt idx="1325">
                <c:v>40778</c:v>
              </c:pt>
              <c:pt idx="1326">
                <c:v>40779</c:v>
              </c:pt>
              <c:pt idx="1327">
                <c:v>40780</c:v>
              </c:pt>
              <c:pt idx="1328">
                <c:v>40781</c:v>
              </c:pt>
              <c:pt idx="1329">
                <c:v>40784</c:v>
              </c:pt>
              <c:pt idx="1330">
                <c:v>40785</c:v>
              </c:pt>
              <c:pt idx="1331">
                <c:v>40786</c:v>
              </c:pt>
              <c:pt idx="1332">
                <c:v>40787</c:v>
              </c:pt>
              <c:pt idx="1333">
                <c:v>40788</c:v>
              </c:pt>
              <c:pt idx="1334">
                <c:v>40791</c:v>
              </c:pt>
              <c:pt idx="1335">
                <c:v>40792</c:v>
              </c:pt>
              <c:pt idx="1336">
                <c:v>40793</c:v>
              </c:pt>
              <c:pt idx="1337">
                <c:v>40794</c:v>
              </c:pt>
              <c:pt idx="1338">
                <c:v>40795</c:v>
              </c:pt>
              <c:pt idx="1339">
                <c:v>40798</c:v>
              </c:pt>
              <c:pt idx="1340">
                <c:v>40799</c:v>
              </c:pt>
              <c:pt idx="1341">
                <c:v>40800</c:v>
              </c:pt>
              <c:pt idx="1342">
                <c:v>40801</c:v>
              </c:pt>
              <c:pt idx="1343">
                <c:v>40802</c:v>
              </c:pt>
              <c:pt idx="1344">
                <c:v>40805</c:v>
              </c:pt>
              <c:pt idx="1345">
                <c:v>40806</c:v>
              </c:pt>
              <c:pt idx="1346">
                <c:v>40807</c:v>
              </c:pt>
              <c:pt idx="1347">
                <c:v>40808</c:v>
              </c:pt>
              <c:pt idx="1348">
                <c:v>40809</c:v>
              </c:pt>
              <c:pt idx="1349">
                <c:v>40812</c:v>
              </c:pt>
              <c:pt idx="1350">
                <c:v>40813</c:v>
              </c:pt>
              <c:pt idx="1351">
                <c:v>40814</c:v>
              </c:pt>
              <c:pt idx="1352">
                <c:v>40815</c:v>
              </c:pt>
              <c:pt idx="1353">
                <c:v>40816</c:v>
              </c:pt>
              <c:pt idx="1354">
                <c:v>40820</c:v>
              </c:pt>
              <c:pt idx="1355">
                <c:v>40821</c:v>
              </c:pt>
              <c:pt idx="1356">
                <c:v>40822</c:v>
              </c:pt>
              <c:pt idx="1357">
                <c:v>40823</c:v>
              </c:pt>
              <c:pt idx="1358">
                <c:v>40826</c:v>
              </c:pt>
              <c:pt idx="1359">
                <c:v>40827</c:v>
              </c:pt>
              <c:pt idx="1360">
                <c:v>40828</c:v>
              </c:pt>
              <c:pt idx="1361">
                <c:v>40829</c:v>
              </c:pt>
              <c:pt idx="1362">
                <c:v>40830</c:v>
              </c:pt>
              <c:pt idx="1363">
                <c:v>40833</c:v>
              </c:pt>
              <c:pt idx="1364">
                <c:v>40834</c:v>
              </c:pt>
              <c:pt idx="1365">
                <c:v>40835</c:v>
              </c:pt>
              <c:pt idx="1366">
                <c:v>40836</c:v>
              </c:pt>
              <c:pt idx="1367">
                <c:v>40837</c:v>
              </c:pt>
              <c:pt idx="1368">
                <c:v>40840</c:v>
              </c:pt>
              <c:pt idx="1369">
                <c:v>40841</c:v>
              </c:pt>
              <c:pt idx="1370">
                <c:v>40842</c:v>
              </c:pt>
              <c:pt idx="1371">
                <c:v>40843</c:v>
              </c:pt>
              <c:pt idx="1372">
                <c:v>40844</c:v>
              </c:pt>
              <c:pt idx="1373">
                <c:v>40847</c:v>
              </c:pt>
              <c:pt idx="1374">
                <c:v>40848</c:v>
              </c:pt>
              <c:pt idx="1375">
                <c:v>40849</c:v>
              </c:pt>
              <c:pt idx="1376">
                <c:v>40850</c:v>
              </c:pt>
              <c:pt idx="1377">
                <c:v>40851</c:v>
              </c:pt>
              <c:pt idx="1378">
                <c:v>40854</c:v>
              </c:pt>
              <c:pt idx="1379">
                <c:v>40855</c:v>
              </c:pt>
              <c:pt idx="1380">
                <c:v>40856</c:v>
              </c:pt>
              <c:pt idx="1381">
                <c:v>40857</c:v>
              </c:pt>
              <c:pt idx="1382">
                <c:v>40858</c:v>
              </c:pt>
              <c:pt idx="1383">
                <c:v>40861</c:v>
              </c:pt>
              <c:pt idx="1384">
                <c:v>40862</c:v>
              </c:pt>
              <c:pt idx="1385">
                <c:v>40863</c:v>
              </c:pt>
              <c:pt idx="1386">
                <c:v>40864</c:v>
              </c:pt>
              <c:pt idx="1387">
                <c:v>40865</c:v>
              </c:pt>
              <c:pt idx="1388">
                <c:v>40868</c:v>
              </c:pt>
              <c:pt idx="1389">
                <c:v>40869</c:v>
              </c:pt>
              <c:pt idx="1390">
                <c:v>40870</c:v>
              </c:pt>
              <c:pt idx="1391">
                <c:v>40871</c:v>
              </c:pt>
              <c:pt idx="1392">
                <c:v>40872</c:v>
              </c:pt>
              <c:pt idx="1393">
                <c:v>40875</c:v>
              </c:pt>
              <c:pt idx="1394">
                <c:v>40876</c:v>
              </c:pt>
              <c:pt idx="1395">
                <c:v>40877</c:v>
              </c:pt>
              <c:pt idx="1396">
                <c:v>40878</c:v>
              </c:pt>
              <c:pt idx="1397">
                <c:v>40879</c:v>
              </c:pt>
              <c:pt idx="1398">
                <c:v>40882</c:v>
              </c:pt>
              <c:pt idx="1399">
                <c:v>40883</c:v>
              </c:pt>
              <c:pt idx="1400">
                <c:v>40884</c:v>
              </c:pt>
              <c:pt idx="1401">
                <c:v>40885</c:v>
              </c:pt>
              <c:pt idx="1402">
                <c:v>40886</c:v>
              </c:pt>
              <c:pt idx="1403">
                <c:v>40889</c:v>
              </c:pt>
              <c:pt idx="1404">
                <c:v>40890</c:v>
              </c:pt>
              <c:pt idx="1405">
                <c:v>40891</c:v>
              </c:pt>
              <c:pt idx="1406">
                <c:v>40892</c:v>
              </c:pt>
              <c:pt idx="1407">
                <c:v>40893</c:v>
              </c:pt>
              <c:pt idx="1408">
                <c:v>40896</c:v>
              </c:pt>
              <c:pt idx="1409">
                <c:v>40897</c:v>
              </c:pt>
              <c:pt idx="1410">
                <c:v>40898</c:v>
              </c:pt>
              <c:pt idx="1411">
                <c:v>40899</c:v>
              </c:pt>
              <c:pt idx="1412">
                <c:v>40900</c:v>
              </c:pt>
              <c:pt idx="1413">
                <c:v>40905</c:v>
              </c:pt>
              <c:pt idx="1414">
                <c:v>40906</c:v>
              </c:pt>
              <c:pt idx="1415">
                <c:v>40907</c:v>
              </c:pt>
              <c:pt idx="1416">
                <c:v>40911</c:v>
              </c:pt>
              <c:pt idx="1417">
                <c:v>40912</c:v>
              </c:pt>
              <c:pt idx="1418">
                <c:v>40913</c:v>
              </c:pt>
              <c:pt idx="1419">
                <c:v>40914</c:v>
              </c:pt>
              <c:pt idx="1420">
                <c:v>40917</c:v>
              </c:pt>
              <c:pt idx="1421">
                <c:v>40918</c:v>
              </c:pt>
              <c:pt idx="1422">
                <c:v>40919</c:v>
              </c:pt>
              <c:pt idx="1423">
                <c:v>40920</c:v>
              </c:pt>
              <c:pt idx="1424">
                <c:v>40921</c:v>
              </c:pt>
              <c:pt idx="1425">
                <c:v>40924</c:v>
              </c:pt>
              <c:pt idx="1426">
                <c:v>40925</c:v>
              </c:pt>
              <c:pt idx="1427">
                <c:v>40926</c:v>
              </c:pt>
              <c:pt idx="1428">
                <c:v>40927</c:v>
              </c:pt>
              <c:pt idx="1429">
                <c:v>40928</c:v>
              </c:pt>
              <c:pt idx="1430">
                <c:v>40931</c:v>
              </c:pt>
              <c:pt idx="1431">
                <c:v>40932</c:v>
              </c:pt>
              <c:pt idx="1432">
                <c:v>40933</c:v>
              </c:pt>
              <c:pt idx="1433">
                <c:v>40935</c:v>
              </c:pt>
              <c:pt idx="1434">
                <c:v>40938</c:v>
              </c:pt>
              <c:pt idx="1435">
                <c:v>40939</c:v>
              </c:pt>
              <c:pt idx="1436">
                <c:v>40940</c:v>
              </c:pt>
              <c:pt idx="1437">
                <c:v>40941</c:v>
              </c:pt>
              <c:pt idx="1438">
                <c:v>40942</c:v>
              </c:pt>
              <c:pt idx="1439">
                <c:v>40945</c:v>
              </c:pt>
              <c:pt idx="1440">
                <c:v>40946</c:v>
              </c:pt>
              <c:pt idx="1441">
                <c:v>40947</c:v>
              </c:pt>
              <c:pt idx="1442">
                <c:v>40948</c:v>
              </c:pt>
              <c:pt idx="1443">
                <c:v>40949</c:v>
              </c:pt>
              <c:pt idx="1444">
                <c:v>40952</c:v>
              </c:pt>
              <c:pt idx="1445">
                <c:v>40953</c:v>
              </c:pt>
              <c:pt idx="1446">
                <c:v>40954</c:v>
              </c:pt>
              <c:pt idx="1447">
                <c:v>40955</c:v>
              </c:pt>
              <c:pt idx="1448">
                <c:v>40956</c:v>
              </c:pt>
              <c:pt idx="1449">
                <c:v>40959</c:v>
              </c:pt>
              <c:pt idx="1450">
                <c:v>40960</c:v>
              </c:pt>
              <c:pt idx="1451">
                <c:v>40961</c:v>
              </c:pt>
              <c:pt idx="1452">
                <c:v>40962</c:v>
              </c:pt>
              <c:pt idx="1453">
                <c:v>40963</c:v>
              </c:pt>
              <c:pt idx="1454">
                <c:v>40966</c:v>
              </c:pt>
              <c:pt idx="1455">
                <c:v>40967</c:v>
              </c:pt>
              <c:pt idx="1456">
                <c:v>40968</c:v>
              </c:pt>
              <c:pt idx="1457">
                <c:v>40969</c:v>
              </c:pt>
              <c:pt idx="1458">
                <c:v>40970</c:v>
              </c:pt>
              <c:pt idx="1459">
                <c:v>40973</c:v>
              </c:pt>
              <c:pt idx="1460">
                <c:v>40974</c:v>
              </c:pt>
              <c:pt idx="1461">
                <c:v>40975</c:v>
              </c:pt>
              <c:pt idx="1462">
                <c:v>40976</c:v>
              </c:pt>
              <c:pt idx="1463">
                <c:v>40977</c:v>
              </c:pt>
              <c:pt idx="1464">
                <c:v>40980</c:v>
              </c:pt>
              <c:pt idx="1465">
                <c:v>40981</c:v>
              </c:pt>
              <c:pt idx="1466">
                <c:v>40982</c:v>
              </c:pt>
              <c:pt idx="1467">
                <c:v>40983</c:v>
              </c:pt>
              <c:pt idx="1468">
                <c:v>40984</c:v>
              </c:pt>
              <c:pt idx="1469">
                <c:v>40987</c:v>
              </c:pt>
              <c:pt idx="1470">
                <c:v>40988</c:v>
              </c:pt>
              <c:pt idx="1471">
                <c:v>40989</c:v>
              </c:pt>
              <c:pt idx="1472">
                <c:v>40990</c:v>
              </c:pt>
              <c:pt idx="1473">
                <c:v>40991</c:v>
              </c:pt>
              <c:pt idx="1474">
                <c:v>40994</c:v>
              </c:pt>
              <c:pt idx="1475">
                <c:v>40995</c:v>
              </c:pt>
              <c:pt idx="1476">
                <c:v>40996</c:v>
              </c:pt>
              <c:pt idx="1477">
                <c:v>40997</c:v>
              </c:pt>
              <c:pt idx="1478">
                <c:v>40998</c:v>
              </c:pt>
              <c:pt idx="1479">
                <c:v>41001</c:v>
              </c:pt>
              <c:pt idx="1480">
                <c:v>41002</c:v>
              </c:pt>
              <c:pt idx="1481">
                <c:v>41003</c:v>
              </c:pt>
              <c:pt idx="1482">
                <c:v>41004</c:v>
              </c:pt>
              <c:pt idx="1483">
                <c:v>41009</c:v>
              </c:pt>
              <c:pt idx="1484">
                <c:v>41010</c:v>
              </c:pt>
              <c:pt idx="1485">
                <c:v>41011</c:v>
              </c:pt>
              <c:pt idx="1486">
                <c:v>41012</c:v>
              </c:pt>
              <c:pt idx="1487">
                <c:v>41015</c:v>
              </c:pt>
              <c:pt idx="1488">
                <c:v>41016</c:v>
              </c:pt>
              <c:pt idx="1489">
                <c:v>41017</c:v>
              </c:pt>
              <c:pt idx="1490">
                <c:v>41018</c:v>
              </c:pt>
              <c:pt idx="1491">
                <c:v>41019</c:v>
              </c:pt>
              <c:pt idx="1492">
                <c:v>41022</c:v>
              </c:pt>
              <c:pt idx="1493">
                <c:v>41023</c:v>
              </c:pt>
              <c:pt idx="1494">
                <c:v>41025</c:v>
              </c:pt>
              <c:pt idx="1495">
                <c:v>41026</c:v>
              </c:pt>
              <c:pt idx="1496">
                <c:v>41029</c:v>
              </c:pt>
              <c:pt idx="1497">
                <c:v>41030</c:v>
              </c:pt>
              <c:pt idx="1498">
                <c:v>41031</c:v>
              </c:pt>
              <c:pt idx="1499">
                <c:v>41032</c:v>
              </c:pt>
              <c:pt idx="1500">
                <c:v>41033</c:v>
              </c:pt>
              <c:pt idx="1501">
                <c:v>41036</c:v>
              </c:pt>
              <c:pt idx="1502">
                <c:v>41037</c:v>
              </c:pt>
              <c:pt idx="1503">
                <c:v>41038</c:v>
              </c:pt>
              <c:pt idx="1504">
                <c:v>41039</c:v>
              </c:pt>
              <c:pt idx="1505">
                <c:v>41040</c:v>
              </c:pt>
              <c:pt idx="1506">
                <c:v>41043</c:v>
              </c:pt>
              <c:pt idx="1507">
                <c:v>41044</c:v>
              </c:pt>
              <c:pt idx="1508">
                <c:v>41045</c:v>
              </c:pt>
              <c:pt idx="1509">
                <c:v>41046</c:v>
              </c:pt>
              <c:pt idx="1510">
                <c:v>41047</c:v>
              </c:pt>
              <c:pt idx="1511">
                <c:v>41050</c:v>
              </c:pt>
              <c:pt idx="1512">
                <c:v>41051</c:v>
              </c:pt>
              <c:pt idx="1513">
                <c:v>41052</c:v>
              </c:pt>
              <c:pt idx="1514">
                <c:v>41053</c:v>
              </c:pt>
              <c:pt idx="1515">
                <c:v>41054</c:v>
              </c:pt>
              <c:pt idx="1516">
                <c:v>41057</c:v>
              </c:pt>
              <c:pt idx="1517">
                <c:v>41058</c:v>
              </c:pt>
              <c:pt idx="1518">
                <c:v>41059</c:v>
              </c:pt>
              <c:pt idx="1519">
                <c:v>41060</c:v>
              </c:pt>
              <c:pt idx="1520">
                <c:v>41061</c:v>
              </c:pt>
              <c:pt idx="1521">
                <c:v>41064</c:v>
              </c:pt>
              <c:pt idx="1522">
                <c:v>41065</c:v>
              </c:pt>
              <c:pt idx="1523">
                <c:v>41066</c:v>
              </c:pt>
              <c:pt idx="1524">
                <c:v>41067</c:v>
              </c:pt>
              <c:pt idx="1525">
                <c:v>41068</c:v>
              </c:pt>
              <c:pt idx="1526">
                <c:v>41072</c:v>
              </c:pt>
              <c:pt idx="1527">
                <c:v>41073</c:v>
              </c:pt>
              <c:pt idx="1528">
                <c:v>41074</c:v>
              </c:pt>
              <c:pt idx="1529">
                <c:v>41075</c:v>
              </c:pt>
              <c:pt idx="1530">
                <c:v>41078</c:v>
              </c:pt>
              <c:pt idx="1531">
                <c:v>41079</c:v>
              </c:pt>
              <c:pt idx="1532">
                <c:v>41080</c:v>
              </c:pt>
              <c:pt idx="1533">
                <c:v>41081</c:v>
              </c:pt>
              <c:pt idx="1534">
                <c:v>41082</c:v>
              </c:pt>
              <c:pt idx="1535">
                <c:v>41085</c:v>
              </c:pt>
              <c:pt idx="1536">
                <c:v>41086</c:v>
              </c:pt>
              <c:pt idx="1537">
                <c:v>41087</c:v>
              </c:pt>
              <c:pt idx="1538">
                <c:v>41088</c:v>
              </c:pt>
              <c:pt idx="1539">
                <c:v>41089</c:v>
              </c:pt>
              <c:pt idx="1540">
                <c:v>41092</c:v>
              </c:pt>
              <c:pt idx="1541">
                <c:v>41093</c:v>
              </c:pt>
              <c:pt idx="1542">
                <c:v>41094</c:v>
              </c:pt>
              <c:pt idx="1543">
                <c:v>41095</c:v>
              </c:pt>
              <c:pt idx="1544">
                <c:v>41096</c:v>
              </c:pt>
              <c:pt idx="1545">
                <c:v>41099</c:v>
              </c:pt>
              <c:pt idx="1546">
                <c:v>41100</c:v>
              </c:pt>
              <c:pt idx="1547">
                <c:v>41101</c:v>
              </c:pt>
              <c:pt idx="1548">
                <c:v>41102</c:v>
              </c:pt>
              <c:pt idx="1549">
                <c:v>41103</c:v>
              </c:pt>
              <c:pt idx="1550">
                <c:v>41106</c:v>
              </c:pt>
              <c:pt idx="1551">
                <c:v>41107</c:v>
              </c:pt>
              <c:pt idx="1552">
                <c:v>41108</c:v>
              </c:pt>
              <c:pt idx="1553">
                <c:v>41109</c:v>
              </c:pt>
              <c:pt idx="1554">
                <c:v>41110</c:v>
              </c:pt>
              <c:pt idx="1555">
                <c:v>41113</c:v>
              </c:pt>
              <c:pt idx="1556">
                <c:v>41114</c:v>
              </c:pt>
              <c:pt idx="1557">
                <c:v>41115</c:v>
              </c:pt>
              <c:pt idx="1558">
                <c:v>41116</c:v>
              </c:pt>
              <c:pt idx="1559">
                <c:v>41117</c:v>
              </c:pt>
              <c:pt idx="1560">
                <c:v>41120</c:v>
              </c:pt>
              <c:pt idx="1561">
                <c:v>41121</c:v>
              </c:pt>
              <c:pt idx="1562">
                <c:v>41122</c:v>
              </c:pt>
              <c:pt idx="1563">
                <c:v>41123</c:v>
              </c:pt>
              <c:pt idx="1564">
                <c:v>41124</c:v>
              </c:pt>
              <c:pt idx="1565">
                <c:v>41127</c:v>
              </c:pt>
              <c:pt idx="1566">
                <c:v>41128</c:v>
              </c:pt>
              <c:pt idx="1567">
                <c:v>41129</c:v>
              </c:pt>
              <c:pt idx="1568">
                <c:v>41130</c:v>
              </c:pt>
              <c:pt idx="1569">
                <c:v>41131</c:v>
              </c:pt>
              <c:pt idx="1570">
                <c:v>41134</c:v>
              </c:pt>
              <c:pt idx="1571">
                <c:v>41135</c:v>
              </c:pt>
              <c:pt idx="1572">
                <c:v>41136</c:v>
              </c:pt>
              <c:pt idx="1573">
                <c:v>41137</c:v>
              </c:pt>
              <c:pt idx="1574">
                <c:v>41138</c:v>
              </c:pt>
              <c:pt idx="1575">
                <c:v>41141</c:v>
              </c:pt>
              <c:pt idx="1576">
                <c:v>41142</c:v>
              </c:pt>
              <c:pt idx="1577">
                <c:v>41143</c:v>
              </c:pt>
              <c:pt idx="1578">
                <c:v>41144</c:v>
              </c:pt>
              <c:pt idx="1579">
                <c:v>41145</c:v>
              </c:pt>
              <c:pt idx="1580">
                <c:v>41148</c:v>
              </c:pt>
              <c:pt idx="1581">
                <c:v>41149</c:v>
              </c:pt>
              <c:pt idx="1582">
                <c:v>41150</c:v>
              </c:pt>
              <c:pt idx="1583">
                <c:v>41151</c:v>
              </c:pt>
              <c:pt idx="1584">
                <c:v>41152</c:v>
              </c:pt>
              <c:pt idx="1585">
                <c:v>41155</c:v>
              </c:pt>
              <c:pt idx="1586">
                <c:v>41156</c:v>
              </c:pt>
              <c:pt idx="1587">
                <c:v>41157</c:v>
              </c:pt>
              <c:pt idx="1588">
                <c:v>41158</c:v>
              </c:pt>
              <c:pt idx="1589">
                <c:v>41159</c:v>
              </c:pt>
              <c:pt idx="1590">
                <c:v>41162</c:v>
              </c:pt>
              <c:pt idx="1591">
                <c:v>41163</c:v>
              </c:pt>
              <c:pt idx="1592">
                <c:v>41164</c:v>
              </c:pt>
              <c:pt idx="1593">
                <c:v>41165</c:v>
              </c:pt>
              <c:pt idx="1594">
                <c:v>41166</c:v>
              </c:pt>
              <c:pt idx="1595">
                <c:v>41169</c:v>
              </c:pt>
              <c:pt idx="1596">
                <c:v>41170</c:v>
              </c:pt>
              <c:pt idx="1597">
                <c:v>41171</c:v>
              </c:pt>
              <c:pt idx="1598">
                <c:v>41172</c:v>
              </c:pt>
              <c:pt idx="1599">
                <c:v>41173</c:v>
              </c:pt>
              <c:pt idx="1600">
                <c:v>41176</c:v>
              </c:pt>
              <c:pt idx="1601">
                <c:v>41177</c:v>
              </c:pt>
              <c:pt idx="1602">
                <c:v>41178</c:v>
              </c:pt>
              <c:pt idx="1603">
                <c:v>41179</c:v>
              </c:pt>
              <c:pt idx="1604">
                <c:v>41180</c:v>
              </c:pt>
              <c:pt idx="1605">
                <c:v>41183</c:v>
              </c:pt>
              <c:pt idx="1606">
                <c:v>41184</c:v>
              </c:pt>
              <c:pt idx="1607">
                <c:v>41185</c:v>
              </c:pt>
              <c:pt idx="1608">
                <c:v>41186</c:v>
              </c:pt>
              <c:pt idx="1609">
                <c:v>41187</c:v>
              </c:pt>
              <c:pt idx="1610">
                <c:v>41190</c:v>
              </c:pt>
              <c:pt idx="1611">
                <c:v>41191</c:v>
              </c:pt>
              <c:pt idx="1612">
                <c:v>41192</c:v>
              </c:pt>
              <c:pt idx="1613">
                <c:v>41193</c:v>
              </c:pt>
              <c:pt idx="1614">
                <c:v>41194</c:v>
              </c:pt>
              <c:pt idx="1615">
                <c:v>41197</c:v>
              </c:pt>
              <c:pt idx="1616">
                <c:v>41198</c:v>
              </c:pt>
              <c:pt idx="1617">
                <c:v>41199</c:v>
              </c:pt>
              <c:pt idx="1618">
                <c:v>41200</c:v>
              </c:pt>
              <c:pt idx="1619">
                <c:v>41201</c:v>
              </c:pt>
              <c:pt idx="1620">
                <c:v>41204</c:v>
              </c:pt>
              <c:pt idx="1621">
                <c:v>41205</c:v>
              </c:pt>
              <c:pt idx="1622">
                <c:v>41206</c:v>
              </c:pt>
              <c:pt idx="1623">
                <c:v>41207</c:v>
              </c:pt>
              <c:pt idx="1624">
                <c:v>41208</c:v>
              </c:pt>
              <c:pt idx="1625">
                <c:v>41211</c:v>
              </c:pt>
              <c:pt idx="1626">
                <c:v>41212</c:v>
              </c:pt>
              <c:pt idx="1627">
                <c:v>41213</c:v>
              </c:pt>
              <c:pt idx="1628">
                <c:v>41214</c:v>
              </c:pt>
              <c:pt idx="1629">
                <c:v>41215</c:v>
              </c:pt>
              <c:pt idx="1630">
                <c:v>41218</c:v>
              </c:pt>
              <c:pt idx="1631">
                <c:v>41219</c:v>
              </c:pt>
              <c:pt idx="1632">
                <c:v>41220</c:v>
              </c:pt>
              <c:pt idx="1633">
                <c:v>41221</c:v>
              </c:pt>
              <c:pt idx="1634">
                <c:v>41222</c:v>
              </c:pt>
              <c:pt idx="1635">
                <c:v>41225</c:v>
              </c:pt>
              <c:pt idx="1636">
                <c:v>41226</c:v>
              </c:pt>
              <c:pt idx="1637">
                <c:v>41227</c:v>
              </c:pt>
              <c:pt idx="1638">
                <c:v>41228</c:v>
              </c:pt>
              <c:pt idx="1639">
                <c:v>41229</c:v>
              </c:pt>
              <c:pt idx="1640">
                <c:v>41232</c:v>
              </c:pt>
              <c:pt idx="1641">
                <c:v>41233</c:v>
              </c:pt>
              <c:pt idx="1642">
                <c:v>41234</c:v>
              </c:pt>
              <c:pt idx="1643">
                <c:v>41235</c:v>
              </c:pt>
              <c:pt idx="1644">
                <c:v>41236</c:v>
              </c:pt>
              <c:pt idx="1645">
                <c:v>41239</c:v>
              </c:pt>
              <c:pt idx="1646">
                <c:v>41240</c:v>
              </c:pt>
              <c:pt idx="1647">
                <c:v>41241</c:v>
              </c:pt>
              <c:pt idx="1648">
                <c:v>41242</c:v>
              </c:pt>
              <c:pt idx="1649">
                <c:v>41243</c:v>
              </c:pt>
              <c:pt idx="1650">
                <c:v>41246</c:v>
              </c:pt>
              <c:pt idx="1651">
                <c:v>41247</c:v>
              </c:pt>
              <c:pt idx="1652">
                <c:v>41248</c:v>
              </c:pt>
              <c:pt idx="1653">
                <c:v>41249</c:v>
              </c:pt>
              <c:pt idx="1654">
                <c:v>41250</c:v>
              </c:pt>
              <c:pt idx="1655">
                <c:v>41253</c:v>
              </c:pt>
              <c:pt idx="1656">
                <c:v>41254</c:v>
              </c:pt>
              <c:pt idx="1657">
                <c:v>41255</c:v>
              </c:pt>
              <c:pt idx="1658">
                <c:v>41256</c:v>
              </c:pt>
              <c:pt idx="1659">
                <c:v>41257</c:v>
              </c:pt>
              <c:pt idx="1660">
                <c:v>41260</c:v>
              </c:pt>
              <c:pt idx="1661">
                <c:v>41261</c:v>
              </c:pt>
              <c:pt idx="1662">
                <c:v>41262</c:v>
              </c:pt>
              <c:pt idx="1663">
                <c:v>41263</c:v>
              </c:pt>
              <c:pt idx="1664">
                <c:v>41264</c:v>
              </c:pt>
              <c:pt idx="1665">
                <c:v>41267</c:v>
              </c:pt>
              <c:pt idx="1666">
                <c:v>41270</c:v>
              </c:pt>
              <c:pt idx="1667">
                <c:v>41271</c:v>
              </c:pt>
              <c:pt idx="1668">
                <c:v>41274</c:v>
              </c:pt>
              <c:pt idx="1669">
                <c:v>41276</c:v>
              </c:pt>
              <c:pt idx="1670">
                <c:v>41277</c:v>
              </c:pt>
              <c:pt idx="1671">
                <c:v>41278</c:v>
              </c:pt>
              <c:pt idx="1672">
                <c:v>41281</c:v>
              </c:pt>
              <c:pt idx="1673">
                <c:v>41282</c:v>
              </c:pt>
              <c:pt idx="1674">
                <c:v>41283</c:v>
              </c:pt>
              <c:pt idx="1675">
                <c:v>41284</c:v>
              </c:pt>
              <c:pt idx="1676">
                <c:v>41285</c:v>
              </c:pt>
              <c:pt idx="1677">
                <c:v>41288</c:v>
              </c:pt>
              <c:pt idx="1678">
                <c:v>41289</c:v>
              </c:pt>
              <c:pt idx="1679">
                <c:v>41290</c:v>
              </c:pt>
              <c:pt idx="1680">
                <c:v>41291</c:v>
              </c:pt>
              <c:pt idx="1681">
                <c:v>41292</c:v>
              </c:pt>
              <c:pt idx="1682">
                <c:v>41295</c:v>
              </c:pt>
              <c:pt idx="1683">
                <c:v>41296</c:v>
              </c:pt>
              <c:pt idx="1684">
                <c:v>41297</c:v>
              </c:pt>
              <c:pt idx="1685">
                <c:v>41298</c:v>
              </c:pt>
              <c:pt idx="1686">
                <c:v>41299</c:v>
              </c:pt>
              <c:pt idx="1687">
                <c:v>41303</c:v>
              </c:pt>
              <c:pt idx="1688">
                <c:v>41304</c:v>
              </c:pt>
              <c:pt idx="1689">
                <c:v>41305</c:v>
              </c:pt>
              <c:pt idx="1690">
                <c:v>41306</c:v>
              </c:pt>
              <c:pt idx="1691">
                <c:v>41309</c:v>
              </c:pt>
              <c:pt idx="1692">
                <c:v>41310</c:v>
              </c:pt>
              <c:pt idx="1693">
                <c:v>41311</c:v>
              </c:pt>
              <c:pt idx="1694">
                <c:v>41312</c:v>
              </c:pt>
              <c:pt idx="1695">
                <c:v>41313</c:v>
              </c:pt>
              <c:pt idx="1696">
                <c:v>41316</c:v>
              </c:pt>
              <c:pt idx="1697">
                <c:v>41317</c:v>
              </c:pt>
              <c:pt idx="1698">
                <c:v>41318</c:v>
              </c:pt>
              <c:pt idx="1699">
                <c:v>41319</c:v>
              </c:pt>
              <c:pt idx="1700">
                <c:v>41320</c:v>
              </c:pt>
              <c:pt idx="1701">
                <c:v>41323</c:v>
              </c:pt>
              <c:pt idx="1702">
                <c:v>41324</c:v>
              </c:pt>
              <c:pt idx="1703">
                <c:v>41325</c:v>
              </c:pt>
              <c:pt idx="1704">
                <c:v>41326</c:v>
              </c:pt>
              <c:pt idx="1705">
                <c:v>41327</c:v>
              </c:pt>
              <c:pt idx="1706">
                <c:v>41330</c:v>
              </c:pt>
              <c:pt idx="1707">
                <c:v>41331</c:v>
              </c:pt>
              <c:pt idx="1708">
                <c:v>41332</c:v>
              </c:pt>
              <c:pt idx="1709">
                <c:v>41333</c:v>
              </c:pt>
              <c:pt idx="1710">
                <c:v>41334</c:v>
              </c:pt>
              <c:pt idx="1711">
                <c:v>41337</c:v>
              </c:pt>
              <c:pt idx="1712">
                <c:v>41338</c:v>
              </c:pt>
              <c:pt idx="1713">
                <c:v>41339</c:v>
              </c:pt>
              <c:pt idx="1714">
                <c:v>41340</c:v>
              </c:pt>
              <c:pt idx="1715">
                <c:v>41341</c:v>
              </c:pt>
              <c:pt idx="1716">
                <c:v>41344</c:v>
              </c:pt>
              <c:pt idx="1717">
                <c:v>41345</c:v>
              </c:pt>
              <c:pt idx="1718">
                <c:v>41346</c:v>
              </c:pt>
              <c:pt idx="1719">
                <c:v>41347</c:v>
              </c:pt>
              <c:pt idx="1720">
                <c:v>41348</c:v>
              </c:pt>
              <c:pt idx="1721">
                <c:v>41351</c:v>
              </c:pt>
              <c:pt idx="1722">
                <c:v>41352</c:v>
              </c:pt>
              <c:pt idx="1723">
                <c:v>41353</c:v>
              </c:pt>
              <c:pt idx="1724">
                <c:v>41354</c:v>
              </c:pt>
              <c:pt idx="1725">
                <c:v>41355</c:v>
              </c:pt>
              <c:pt idx="1726">
                <c:v>41358</c:v>
              </c:pt>
              <c:pt idx="1727">
                <c:v>41359</c:v>
              </c:pt>
              <c:pt idx="1728">
                <c:v>41360</c:v>
              </c:pt>
              <c:pt idx="1729">
                <c:v>41361</c:v>
              </c:pt>
              <c:pt idx="1730">
                <c:v>41366</c:v>
              </c:pt>
              <c:pt idx="1731">
                <c:v>41367</c:v>
              </c:pt>
              <c:pt idx="1732">
                <c:v>41368</c:v>
              </c:pt>
              <c:pt idx="1733">
                <c:v>41369</c:v>
              </c:pt>
              <c:pt idx="1734">
                <c:v>41372</c:v>
              </c:pt>
              <c:pt idx="1735">
                <c:v>41373</c:v>
              </c:pt>
              <c:pt idx="1736">
                <c:v>41374</c:v>
              </c:pt>
              <c:pt idx="1737">
                <c:v>41375</c:v>
              </c:pt>
              <c:pt idx="1738">
                <c:v>41376</c:v>
              </c:pt>
              <c:pt idx="1739">
                <c:v>41379</c:v>
              </c:pt>
              <c:pt idx="1740">
                <c:v>41380</c:v>
              </c:pt>
              <c:pt idx="1741">
                <c:v>41381</c:v>
              </c:pt>
              <c:pt idx="1742">
                <c:v>41382</c:v>
              </c:pt>
              <c:pt idx="1743">
                <c:v>41383</c:v>
              </c:pt>
              <c:pt idx="1744">
                <c:v>41386</c:v>
              </c:pt>
              <c:pt idx="1745">
                <c:v>41387</c:v>
              </c:pt>
              <c:pt idx="1746">
                <c:v>41388</c:v>
              </c:pt>
              <c:pt idx="1747">
                <c:v>41390</c:v>
              </c:pt>
              <c:pt idx="1748">
                <c:v>41393</c:v>
              </c:pt>
              <c:pt idx="1749">
                <c:v>41394</c:v>
              </c:pt>
              <c:pt idx="1750">
                <c:v>41395</c:v>
              </c:pt>
              <c:pt idx="1751">
                <c:v>41396</c:v>
              </c:pt>
              <c:pt idx="1752">
                <c:v>41397</c:v>
              </c:pt>
              <c:pt idx="1753">
                <c:v>41400</c:v>
              </c:pt>
              <c:pt idx="1754">
                <c:v>41401</c:v>
              </c:pt>
              <c:pt idx="1755">
                <c:v>41402</c:v>
              </c:pt>
              <c:pt idx="1756">
                <c:v>41403</c:v>
              </c:pt>
              <c:pt idx="1757">
                <c:v>41404</c:v>
              </c:pt>
              <c:pt idx="1758">
                <c:v>41407</c:v>
              </c:pt>
              <c:pt idx="1759">
                <c:v>41408</c:v>
              </c:pt>
              <c:pt idx="1760">
                <c:v>41409</c:v>
              </c:pt>
              <c:pt idx="1761">
                <c:v>41410</c:v>
              </c:pt>
              <c:pt idx="1762">
                <c:v>41411</c:v>
              </c:pt>
              <c:pt idx="1763">
                <c:v>41414</c:v>
              </c:pt>
              <c:pt idx="1764">
                <c:v>41415</c:v>
              </c:pt>
              <c:pt idx="1765">
                <c:v>41416</c:v>
              </c:pt>
              <c:pt idx="1766">
                <c:v>41417</c:v>
              </c:pt>
              <c:pt idx="1767">
                <c:v>41418</c:v>
              </c:pt>
              <c:pt idx="1768">
                <c:v>41421</c:v>
              </c:pt>
              <c:pt idx="1769">
                <c:v>41422</c:v>
              </c:pt>
              <c:pt idx="1770">
                <c:v>41423</c:v>
              </c:pt>
              <c:pt idx="1771">
                <c:v>41424</c:v>
              </c:pt>
              <c:pt idx="1772">
                <c:v>41425</c:v>
              </c:pt>
              <c:pt idx="1773">
                <c:v>41428</c:v>
              </c:pt>
              <c:pt idx="1774">
                <c:v>41429</c:v>
              </c:pt>
              <c:pt idx="1775">
                <c:v>41430</c:v>
              </c:pt>
              <c:pt idx="1776">
                <c:v>41431</c:v>
              </c:pt>
              <c:pt idx="1777">
                <c:v>41432</c:v>
              </c:pt>
              <c:pt idx="1778">
                <c:v>41436</c:v>
              </c:pt>
              <c:pt idx="1779">
                <c:v>41437</c:v>
              </c:pt>
              <c:pt idx="1780">
                <c:v>41438</c:v>
              </c:pt>
              <c:pt idx="1781">
                <c:v>41439</c:v>
              </c:pt>
              <c:pt idx="1782">
                <c:v>41442</c:v>
              </c:pt>
              <c:pt idx="1783">
                <c:v>41443</c:v>
              </c:pt>
              <c:pt idx="1784">
                <c:v>41444</c:v>
              </c:pt>
              <c:pt idx="1785">
                <c:v>41445</c:v>
              </c:pt>
              <c:pt idx="1786">
                <c:v>41446</c:v>
              </c:pt>
              <c:pt idx="1787">
                <c:v>41449</c:v>
              </c:pt>
              <c:pt idx="1788">
                <c:v>41450</c:v>
              </c:pt>
              <c:pt idx="1789">
                <c:v>41451</c:v>
              </c:pt>
              <c:pt idx="1790">
                <c:v>41452</c:v>
              </c:pt>
              <c:pt idx="1791">
                <c:v>41453</c:v>
              </c:pt>
              <c:pt idx="1792">
                <c:v>41456</c:v>
              </c:pt>
              <c:pt idx="1793">
                <c:v>41457</c:v>
              </c:pt>
              <c:pt idx="1794">
                <c:v>41458</c:v>
              </c:pt>
              <c:pt idx="1795">
                <c:v>41459</c:v>
              </c:pt>
              <c:pt idx="1796">
                <c:v>41460</c:v>
              </c:pt>
              <c:pt idx="1797">
                <c:v>41463</c:v>
              </c:pt>
              <c:pt idx="1798">
                <c:v>41464</c:v>
              </c:pt>
              <c:pt idx="1799">
                <c:v>41465</c:v>
              </c:pt>
              <c:pt idx="1800">
                <c:v>41466</c:v>
              </c:pt>
              <c:pt idx="1801">
                <c:v>41467</c:v>
              </c:pt>
              <c:pt idx="1802">
                <c:v>41470</c:v>
              </c:pt>
              <c:pt idx="1803">
                <c:v>41471</c:v>
              </c:pt>
              <c:pt idx="1804">
                <c:v>41472</c:v>
              </c:pt>
              <c:pt idx="1805">
                <c:v>41473</c:v>
              </c:pt>
              <c:pt idx="1806">
                <c:v>41474</c:v>
              </c:pt>
              <c:pt idx="1807">
                <c:v>41477</c:v>
              </c:pt>
              <c:pt idx="1808">
                <c:v>41478</c:v>
              </c:pt>
              <c:pt idx="1809">
                <c:v>41479</c:v>
              </c:pt>
              <c:pt idx="1810">
                <c:v>41480</c:v>
              </c:pt>
              <c:pt idx="1811">
                <c:v>41481</c:v>
              </c:pt>
              <c:pt idx="1812">
                <c:v>41484</c:v>
              </c:pt>
              <c:pt idx="1813">
                <c:v>41485</c:v>
              </c:pt>
              <c:pt idx="1814">
                <c:v>41486</c:v>
              </c:pt>
              <c:pt idx="1815">
                <c:v>41487</c:v>
              </c:pt>
              <c:pt idx="1816">
                <c:v>41488</c:v>
              </c:pt>
              <c:pt idx="1817">
                <c:v>41492</c:v>
              </c:pt>
              <c:pt idx="1818">
                <c:v>41493</c:v>
              </c:pt>
              <c:pt idx="1819">
                <c:v>41494</c:v>
              </c:pt>
              <c:pt idx="1820">
                <c:v>41495</c:v>
              </c:pt>
              <c:pt idx="1821">
                <c:v>41498</c:v>
              </c:pt>
              <c:pt idx="1822">
                <c:v>41499</c:v>
              </c:pt>
              <c:pt idx="1823">
                <c:v>41500</c:v>
              </c:pt>
              <c:pt idx="1824">
                <c:v>41501</c:v>
              </c:pt>
              <c:pt idx="1825">
                <c:v>41502</c:v>
              </c:pt>
              <c:pt idx="1826">
                <c:v>41505</c:v>
              </c:pt>
              <c:pt idx="1827">
                <c:v>41506</c:v>
              </c:pt>
              <c:pt idx="1828">
                <c:v>41507</c:v>
              </c:pt>
              <c:pt idx="1829">
                <c:v>41508</c:v>
              </c:pt>
              <c:pt idx="1830">
                <c:v>41509</c:v>
              </c:pt>
              <c:pt idx="1831">
                <c:v>41512</c:v>
              </c:pt>
              <c:pt idx="1832">
                <c:v>41513</c:v>
              </c:pt>
              <c:pt idx="1833">
                <c:v>41514</c:v>
              </c:pt>
              <c:pt idx="1834">
                <c:v>41515</c:v>
              </c:pt>
              <c:pt idx="1835">
                <c:v>41516</c:v>
              </c:pt>
              <c:pt idx="1836">
                <c:v>41519</c:v>
              </c:pt>
              <c:pt idx="1837">
                <c:v>41520</c:v>
              </c:pt>
              <c:pt idx="1838">
                <c:v>41521</c:v>
              </c:pt>
              <c:pt idx="1839">
                <c:v>41522</c:v>
              </c:pt>
              <c:pt idx="1840">
                <c:v>41523</c:v>
              </c:pt>
              <c:pt idx="1841">
                <c:v>41526</c:v>
              </c:pt>
              <c:pt idx="1842">
                <c:v>41527</c:v>
              </c:pt>
              <c:pt idx="1843">
                <c:v>41528</c:v>
              </c:pt>
              <c:pt idx="1844">
                <c:v>41529</c:v>
              </c:pt>
              <c:pt idx="1845">
                <c:v>41530</c:v>
              </c:pt>
              <c:pt idx="1846">
                <c:v>41533</c:v>
              </c:pt>
              <c:pt idx="1847">
                <c:v>41534</c:v>
              </c:pt>
              <c:pt idx="1848">
                <c:v>41535</c:v>
              </c:pt>
              <c:pt idx="1849">
                <c:v>41536</c:v>
              </c:pt>
              <c:pt idx="1850">
                <c:v>41537</c:v>
              </c:pt>
              <c:pt idx="1851">
                <c:v>41540</c:v>
              </c:pt>
              <c:pt idx="1852">
                <c:v>41541</c:v>
              </c:pt>
              <c:pt idx="1853">
                <c:v>41542</c:v>
              </c:pt>
              <c:pt idx="1854">
                <c:v>41543</c:v>
              </c:pt>
              <c:pt idx="1855">
                <c:v>41544</c:v>
              </c:pt>
              <c:pt idx="1856">
                <c:v>41547</c:v>
              </c:pt>
              <c:pt idx="1857">
                <c:v>41548</c:v>
              </c:pt>
              <c:pt idx="1858">
                <c:v>41549</c:v>
              </c:pt>
              <c:pt idx="1859">
                <c:v>41550</c:v>
              </c:pt>
              <c:pt idx="1860">
                <c:v>41551</c:v>
              </c:pt>
              <c:pt idx="1861">
                <c:v>41555</c:v>
              </c:pt>
              <c:pt idx="1862">
                <c:v>41556</c:v>
              </c:pt>
              <c:pt idx="1863">
                <c:v>41557</c:v>
              </c:pt>
              <c:pt idx="1864">
                <c:v>41558</c:v>
              </c:pt>
              <c:pt idx="1865">
                <c:v>41561</c:v>
              </c:pt>
              <c:pt idx="1866">
                <c:v>41562</c:v>
              </c:pt>
              <c:pt idx="1867">
                <c:v>41563</c:v>
              </c:pt>
              <c:pt idx="1868">
                <c:v>41564</c:v>
              </c:pt>
              <c:pt idx="1869">
                <c:v>41565</c:v>
              </c:pt>
              <c:pt idx="1870">
                <c:v>41568</c:v>
              </c:pt>
              <c:pt idx="1871">
                <c:v>41569</c:v>
              </c:pt>
              <c:pt idx="1872">
                <c:v>41570</c:v>
              </c:pt>
              <c:pt idx="1873">
                <c:v>41571</c:v>
              </c:pt>
              <c:pt idx="1874">
                <c:v>41572</c:v>
              </c:pt>
              <c:pt idx="1875">
                <c:v>41575</c:v>
              </c:pt>
              <c:pt idx="1876">
                <c:v>41576</c:v>
              </c:pt>
              <c:pt idx="1877">
                <c:v>41577</c:v>
              </c:pt>
              <c:pt idx="1878">
                <c:v>41578</c:v>
              </c:pt>
              <c:pt idx="1879">
                <c:v>41579</c:v>
              </c:pt>
              <c:pt idx="1880">
                <c:v>41582</c:v>
              </c:pt>
              <c:pt idx="1881">
                <c:v>41583</c:v>
              </c:pt>
              <c:pt idx="1882">
                <c:v>41584</c:v>
              </c:pt>
              <c:pt idx="1883">
                <c:v>41585</c:v>
              </c:pt>
              <c:pt idx="1884">
                <c:v>41586</c:v>
              </c:pt>
              <c:pt idx="1885">
                <c:v>41589</c:v>
              </c:pt>
              <c:pt idx="1886">
                <c:v>41590</c:v>
              </c:pt>
              <c:pt idx="1887">
                <c:v>41591</c:v>
              </c:pt>
              <c:pt idx="1888">
                <c:v>41592</c:v>
              </c:pt>
              <c:pt idx="1889">
                <c:v>41593</c:v>
              </c:pt>
              <c:pt idx="1890">
                <c:v>41596</c:v>
              </c:pt>
              <c:pt idx="1891">
                <c:v>41597</c:v>
              </c:pt>
              <c:pt idx="1892">
                <c:v>41598</c:v>
              </c:pt>
              <c:pt idx="1893">
                <c:v>41599</c:v>
              </c:pt>
              <c:pt idx="1894">
                <c:v>41600</c:v>
              </c:pt>
              <c:pt idx="1895">
                <c:v>41603</c:v>
              </c:pt>
              <c:pt idx="1896">
                <c:v>41604</c:v>
              </c:pt>
              <c:pt idx="1897">
                <c:v>41605</c:v>
              </c:pt>
              <c:pt idx="1898">
                <c:v>41606</c:v>
              </c:pt>
              <c:pt idx="1899">
                <c:v>41607</c:v>
              </c:pt>
              <c:pt idx="1900">
                <c:v>41610</c:v>
              </c:pt>
              <c:pt idx="1901">
                <c:v>41611</c:v>
              </c:pt>
              <c:pt idx="1902">
                <c:v>41612</c:v>
              </c:pt>
              <c:pt idx="1903">
                <c:v>41613</c:v>
              </c:pt>
              <c:pt idx="1904">
                <c:v>41614</c:v>
              </c:pt>
              <c:pt idx="1905">
                <c:v>41617</c:v>
              </c:pt>
              <c:pt idx="1906">
                <c:v>41618</c:v>
              </c:pt>
              <c:pt idx="1907">
                <c:v>41619</c:v>
              </c:pt>
              <c:pt idx="1908">
                <c:v>41620</c:v>
              </c:pt>
              <c:pt idx="1909">
                <c:v>41621</c:v>
              </c:pt>
              <c:pt idx="1910">
                <c:v>41624</c:v>
              </c:pt>
              <c:pt idx="1911">
                <c:v>41625</c:v>
              </c:pt>
              <c:pt idx="1912">
                <c:v>41626</c:v>
              </c:pt>
              <c:pt idx="1913">
                <c:v>41627</c:v>
              </c:pt>
              <c:pt idx="1914">
                <c:v>41628</c:v>
              </c:pt>
              <c:pt idx="1915">
                <c:v>41631</c:v>
              </c:pt>
              <c:pt idx="1916">
                <c:v>41632</c:v>
              </c:pt>
              <c:pt idx="1917">
                <c:v>41635</c:v>
              </c:pt>
              <c:pt idx="1918">
                <c:v>41638</c:v>
              </c:pt>
              <c:pt idx="1919">
                <c:v>41639</c:v>
              </c:pt>
              <c:pt idx="1920">
                <c:v>41641</c:v>
              </c:pt>
              <c:pt idx="1921">
                <c:v>41642</c:v>
              </c:pt>
              <c:pt idx="1922">
                <c:v>41645</c:v>
              </c:pt>
              <c:pt idx="1923">
                <c:v>41646</c:v>
              </c:pt>
              <c:pt idx="1924">
                <c:v>41647</c:v>
              </c:pt>
              <c:pt idx="1925">
                <c:v>41648</c:v>
              </c:pt>
              <c:pt idx="1926">
                <c:v>41649</c:v>
              </c:pt>
              <c:pt idx="1927">
                <c:v>41652</c:v>
              </c:pt>
              <c:pt idx="1928">
                <c:v>41653</c:v>
              </c:pt>
              <c:pt idx="1929">
                <c:v>41654</c:v>
              </c:pt>
              <c:pt idx="1930">
                <c:v>41655</c:v>
              </c:pt>
              <c:pt idx="1931">
                <c:v>41656</c:v>
              </c:pt>
              <c:pt idx="1932">
                <c:v>41659</c:v>
              </c:pt>
              <c:pt idx="1933">
                <c:v>41660</c:v>
              </c:pt>
              <c:pt idx="1934">
                <c:v>41661</c:v>
              </c:pt>
              <c:pt idx="1935">
                <c:v>41662</c:v>
              </c:pt>
              <c:pt idx="1936">
                <c:v>41663</c:v>
              </c:pt>
              <c:pt idx="1937">
                <c:v>41667</c:v>
              </c:pt>
              <c:pt idx="1938">
                <c:v>41668</c:v>
              </c:pt>
              <c:pt idx="1939">
                <c:v>41669</c:v>
              </c:pt>
              <c:pt idx="1940">
                <c:v>41670</c:v>
              </c:pt>
              <c:pt idx="1941">
                <c:v>41673</c:v>
              </c:pt>
              <c:pt idx="1942">
                <c:v>41674</c:v>
              </c:pt>
              <c:pt idx="1943">
                <c:v>41675</c:v>
              </c:pt>
              <c:pt idx="1944">
                <c:v>41676</c:v>
              </c:pt>
              <c:pt idx="1945">
                <c:v>41677</c:v>
              </c:pt>
              <c:pt idx="1946">
                <c:v>41680</c:v>
              </c:pt>
              <c:pt idx="1947">
                <c:v>41681</c:v>
              </c:pt>
              <c:pt idx="1948">
                <c:v>41682</c:v>
              </c:pt>
              <c:pt idx="1949">
                <c:v>41683</c:v>
              </c:pt>
              <c:pt idx="1950">
                <c:v>41684</c:v>
              </c:pt>
              <c:pt idx="1951">
                <c:v>41687</c:v>
              </c:pt>
              <c:pt idx="1952">
                <c:v>41688</c:v>
              </c:pt>
              <c:pt idx="1953">
                <c:v>41689</c:v>
              </c:pt>
              <c:pt idx="1954">
                <c:v>41690</c:v>
              </c:pt>
              <c:pt idx="1955">
                <c:v>41691</c:v>
              </c:pt>
              <c:pt idx="1956">
                <c:v>41694</c:v>
              </c:pt>
              <c:pt idx="1957">
                <c:v>41695</c:v>
              </c:pt>
              <c:pt idx="1958">
                <c:v>41696</c:v>
              </c:pt>
              <c:pt idx="1959">
                <c:v>41697</c:v>
              </c:pt>
              <c:pt idx="1960">
                <c:v>41698</c:v>
              </c:pt>
              <c:pt idx="1961">
                <c:v>41701</c:v>
              </c:pt>
              <c:pt idx="1962">
                <c:v>41702</c:v>
              </c:pt>
              <c:pt idx="1963">
                <c:v>41703</c:v>
              </c:pt>
              <c:pt idx="1964">
                <c:v>41704</c:v>
              </c:pt>
              <c:pt idx="1965">
                <c:v>41705</c:v>
              </c:pt>
              <c:pt idx="1966">
                <c:v>41708</c:v>
              </c:pt>
              <c:pt idx="1967">
                <c:v>41709</c:v>
              </c:pt>
              <c:pt idx="1968">
                <c:v>41710</c:v>
              </c:pt>
              <c:pt idx="1969">
                <c:v>41711</c:v>
              </c:pt>
              <c:pt idx="1970">
                <c:v>41712</c:v>
              </c:pt>
              <c:pt idx="1971">
                <c:v>41715</c:v>
              </c:pt>
              <c:pt idx="1972">
                <c:v>41716</c:v>
              </c:pt>
              <c:pt idx="1973">
                <c:v>41717</c:v>
              </c:pt>
              <c:pt idx="1974">
                <c:v>41718</c:v>
              </c:pt>
              <c:pt idx="1975">
                <c:v>41719</c:v>
              </c:pt>
              <c:pt idx="1976">
                <c:v>41722</c:v>
              </c:pt>
              <c:pt idx="1977">
                <c:v>41723</c:v>
              </c:pt>
              <c:pt idx="1978">
                <c:v>41724</c:v>
              </c:pt>
              <c:pt idx="1979">
                <c:v>41725</c:v>
              </c:pt>
              <c:pt idx="1980">
                <c:v>41726</c:v>
              </c:pt>
              <c:pt idx="1981">
                <c:v>41729</c:v>
              </c:pt>
              <c:pt idx="1982">
                <c:v>41730</c:v>
              </c:pt>
              <c:pt idx="1983">
                <c:v>41731</c:v>
              </c:pt>
              <c:pt idx="1984">
                <c:v>41732</c:v>
              </c:pt>
              <c:pt idx="1985">
                <c:v>41733</c:v>
              </c:pt>
              <c:pt idx="1986">
                <c:v>41736</c:v>
              </c:pt>
              <c:pt idx="1987">
                <c:v>41737</c:v>
              </c:pt>
              <c:pt idx="1988">
                <c:v>41738</c:v>
              </c:pt>
              <c:pt idx="1989">
                <c:v>41739</c:v>
              </c:pt>
              <c:pt idx="1990">
                <c:v>41740</c:v>
              </c:pt>
              <c:pt idx="1991">
                <c:v>41743</c:v>
              </c:pt>
              <c:pt idx="1992">
                <c:v>41744</c:v>
              </c:pt>
              <c:pt idx="1993">
                <c:v>41745</c:v>
              </c:pt>
              <c:pt idx="1994">
                <c:v>41746</c:v>
              </c:pt>
              <c:pt idx="1995">
                <c:v>41751</c:v>
              </c:pt>
              <c:pt idx="1996">
                <c:v>41752</c:v>
              </c:pt>
              <c:pt idx="1997">
                <c:v>41753</c:v>
              </c:pt>
              <c:pt idx="1998">
                <c:v>41757</c:v>
              </c:pt>
              <c:pt idx="1999">
                <c:v>41758</c:v>
              </c:pt>
              <c:pt idx="2000">
                <c:v>41759</c:v>
              </c:pt>
              <c:pt idx="2001">
                <c:v>41760</c:v>
              </c:pt>
              <c:pt idx="2002">
                <c:v>41761</c:v>
              </c:pt>
              <c:pt idx="2003">
                <c:v>41764</c:v>
              </c:pt>
              <c:pt idx="2004">
                <c:v>41765</c:v>
              </c:pt>
              <c:pt idx="2005">
                <c:v>41766</c:v>
              </c:pt>
              <c:pt idx="2006">
                <c:v>41767</c:v>
              </c:pt>
              <c:pt idx="2007">
                <c:v>41768</c:v>
              </c:pt>
              <c:pt idx="2008">
                <c:v>41771</c:v>
              </c:pt>
              <c:pt idx="2009">
                <c:v>41772</c:v>
              </c:pt>
              <c:pt idx="2010">
                <c:v>41773</c:v>
              </c:pt>
              <c:pt idx="2011">
                <c:v>41774</c:v>
              </c:pt>
              <c:pt idx="2012">
                <c:v>41775</c:v>
              </c:pt>
              <c:pt idx="2013">
                <c:v>41778</c:v>
              </c:pt>
              <c:pt idx="2014">
                <c:v>41779</c:v>
              </c:pt>
              <c:pt idx="2015">
                <c:v>41780</c:v>
              </c:pt>
              <c:pt idx="2016">
                <c:v>41781</c:v>
              </c:pt>
              <c:pt idx="2017">
                <c:v>41782</c:v>
              </c:pt>
              <c:pt idx="2018">
                <c:v>41785</c:v>
              </c:pt>
              <c:pt idx="2019">
                <c:v>41786</c:v>
              </c:pt>
              <c:pt idx="2020">
                <c:v>41787</c:v>
              </c:pt>
              <c:pt idx="2021">
                <c:v>41788</c:v>
              </c:pt>
              <c:pt idx="2022">
                <c:v>41789</c:v>
              </c:pt>
              <c:pt idx="2023">
                <c:v>41792</c:v>
              </c:pt>
              <c:pt idx="2024">
                <c:v>41793</c:v>
              </c:pt>
              <c:pt idx="2025">
                <c:v>41794</c:v>
              </c:pt>
              <c:pt idx="2026">
                <c:v>41795</c:v>
              </c:pt>
              <c:pt idx="2027">
                <c:v>41796</c:v>
              </c:pt>
              <c:pt idx="2028">
                <c:v>41800</c:v>
              </c:pt>
              <c:pt idx="2029">
                <c:v>41801</c:v>
              </c:pt>
              <c:pt idx="2030">
                <c:v>41802</c:v>
              </c:pt>
              <c:pt idx="2031">
                <c:v>41803</c:v>
              </c:pt>
              <c:pt idx="2032">
                <c:v>41806</c:v>
              </c:pt>
              <c:pt idx="2033">
                <c:v>41807</c:v>
              </c:pt>
              <c:pt idx="2034">
                <c:v>41808</c:v>
              </c:pt>
              <c:pt idx="2035">
                <c:v>41809</c:v>
              </c:pt>
              <c:pt idx="2036">
                <c:v>41810</c:v>
              </c:pt>
              <c:pt idx="2037">
                <c:v>41813</c:v>
              </c:pt>
              <c:pt idx="2038">
                <c:v>41814</c:v>
              </c:pt>
              <c:pt idx="2039">
                <c:v>41815</c:v>
              </c:pt>
              <c:pt idx="2040">
                <c:v>41816</c:v>
              </c:pt>
              <c:pt idx="2041">
                <c:v>41817</c:v>
              </c:pt>
              <c:pt idx="2042">
                <c:v>41820</c:v>
              </c:pt>
              <c:pt idx="2043">
                <c:v>41821</c:v>
              </c:pt>
              <c:pt idx="2044">
                <c:v>41822</c:v>
              </c:pt>
              <c:pt idx="2045">
                <c:v>41823</c:v>
              </c:pt>
              <c:pt idx="2046">
                <c:v>41824</c:v>
              </c:pt>
              <c:pt idx="2047">
                <c:v>41827</c:v>
              </c:pt>
              <c:pt idx="2048">
                <c:v>41828</c:v>
              </c:pt>
              <c:pt idx="2049">
                <c:v>41829</c:v>
              </c:pt>
              <c:pt idx="2050">
                <c:v>41830</c:v>
              </c:pt>
              <c:pt idx="2051">
                <c:v>41831</c:v>
              </c:pt>
              <c:pt idx="2052">
                <c:v>41834</c:v>
              </c:pt>
              <c:pt idx="2053">
                <c:v>41835</c:v>
              </c:pt>
              <c:pt idx="2054">
                <c:v>41836</c:v>
              </c:pt>
              <c:pt idx="2055">
                <c:v>41837</c:v>
              </c:pt>
              <c:pt idx="2056">
                <c:v>41838</c:v>
              </c:pt>
              <c:pt idx="2057">
                <c:v>41841</c:v>
              </c:pt>
              <c:pt idx="2058">
                <c:v>41842</c:v>
              </c:pt>
              <c:pt idx="2059">
                <c:v>41843</c:v>
              </c:pt>
              <c:pt idx="2060">
                <c:v>41844</c:v>
              </c:pt>
              <c:pt idx="2061">
                <c:v>41845</c:v>
              </c:pt>
              <c:pt idx="2062">
                <c:v>41848</c:v>
              </c:pt>
              <c:pt idx="2063">
                <c:v>41849</c:v>
              </c:pt>
              <c:pt idx="2064">
                <c:v>41850</c:v>
              </c:pt>
              <c:pt idx="2065">
                <c:v>41851</c:v>
              </c:pt>
              <c:pt idx="2066">
                <c:v>41852</c:v>
              </c:pt>
              <c:pt idx="2067">
                <c:v>41856</c:v>
              </c:pt>
              <c:pt idx="2068">
                <c:v>41857</c:v>
              </c:pt>
              <c:pt idx="2069">
                <c:v>41858</c:v>
              </c:pt>
              <c:pt idx="2070">
                <c:v>41859</c:v>
              </c:pt>
              <c:pt idx="2071">
                <c:v>41862</c:v>
              </c:pt>
              <c:pt idx="2072">
                <c:v>41863</c:v>
              </c:pt>
              <c:pt idx="2073">
                <c:v>41864</c:v>
              </c:pt>
              <c:pt idx="2074">
                <c:v>41865</c:v>
              </c:pt>
              <c:pt idx="2075">
                <c:v>41866</c:v>
              </c:pt>
              <c:pt idx="2076">
                <c:v>41869</c:v>
              </c:pt>
              <c:pt idx="2077">
                <c:v>41870</c:v>
              </c:pt>
              <c:pt idx="2078">
                <c:v>41871</c:v>
              </c:pt>
              <c:pt idx="2079">
                <c:v>41872</c:v>
              </c:pt>
              <c:pt idx="2080">
                <c:v>41873</c:v>
              </c:pt>
              <c:pt idx="2081">
                <c:v>41876</c:v>
              </c:pt>
              <c:pt idx="2082">
                <c:v>41877</c:v>
              </c:pt>
              <c:pt idx="2083">
                <c:v>41878</c:v>
              </c:pt>
              <c:pt idx="2084">
                <c:v>41879</c:v>
              </c:pt>
              <c:pt idx="2085">
                <c:v>41880</c:v>
              </c:pt>
              <c:pt idx="2086">
                <c:v>41883</c:v>
              </c:pt>
              <c:pt idx="2087">
                <c:v>41884</c:v>
              </c:pt>
              <c:pt idx="2088">
                <c:v>41885</c:v>
              </c:pt>
              <c:pt idx="2089">
                <c:v>41886</c:v>
              </c:pt>
              <c:pt idx="2090">
                <c:v>41887</c:v>
              </c:pt>
              <c:pt idx="2091">
                <c:v>41890</c:v>
              </c:pt>
              <c:pt idx="2092">
                <c:v>41891</c:v>
              </c:pt>
              <c:pt idx="2093">
                <c:v>41892</c:v>
              </c:pt>
              <c:pt idx="2094">
                <c:v>41893</c:v>
              </c:pt>
              <c:pt idx="2095">
                <c:v>41894</c:v>
              </c:pt>
              <c:pt idx="2096">
                <c:v>41897</c:v>
              </c:pt>
              <c:pt idx="2097">
                <c:v>41898</c:v>
              </c:pt>
              <c:pt idx="2098">
                <c:v>41899</c:v>
              </c:pt>
              <c:pt idx="2099">
                <c:v>41900</c:v>
              </c:pt>
              <c:pt idx="2100">
                <c:v>41901</c:v>
              </c:pt>
              <c:pt idx="2101">
                <c:v>41904</c:v>
              </c:pt>
              <c:pt idx="2102">
                <c:v>41905</c:v>
              </c:pt>
              <c:pt idx="2103">
                <c:v>41906</c:v>
              </c:pt>
              <c:pt idx="2104">
                <c:v>41907</c:v>
              </c:pt>
              <c:pt idx="2105">
                <c:v>41908</c:v>
              </c:pt>
              <c:pt idx="2106">
                <c:v>41911</c:v>
              </c:pt>
              <c:pt idx="2107">
                <c:v>41912</c:v>
              </c:pt>
              <c:pt idx="2108">
                <c:v>41913</c:v>
              </c:pt>
              <c:pt idx="2109">
                <c:v>41914</c:v>
              </c:pt>
              <c:pt idx="2110">
                <c:v>41915</c:v>
              </c:pt>
              <c:pt idx="2111">
                <c:v>41919</c:v>
              </c:pt>
              <c:pt idx="2112">
                <c:v>41920</c:v>
              </c:pt>
              <c:pt idx="2113">
                <c:v>41921</c:v>
              </c:pt>
              <c:pt idx="2114">
                <c:v>41922</c:v>
              </c:pt>
              <c:pt idx="2115">
                <c:v>41925</c:v>
              </c:pt>
              <c:pt idx="2116">
                <c:v>41926</c:v>
              </c:pt>
              <c:pt idx="2117">
                <c:v>41927</c:v>
              </c:pt>
              <c:pt idx="2118">
                <c:v>41928</c:v>
              </c:pt>
              <c:pt idx="2119">
                <c:v>41929</c:v>
              </c:pt>
              <c:pt idx="2120">
                <c:v>41932</c:v>
              </c:pt>
              <c:pt idx="2121">
                <c:v>41933</c:v>
              </c:pt>
              <c:pt idx="2122">
                <c:v>41934</c:v>
              </c:pt>
              <c:pt idx="2123">
                <c:v>41935</c:v>
              </c:pt>
              <c:pt idx="2124">
                <c:v>41936</c:v>
              </c:pt>
              <c:pt idx="2125">
                <c:v>41939</c:v>
              </c:pt>
              <c:pt idx="2126">
                <c:v>41940</c:v>
              </c:pt>
              <c:pt idx="2127">
                <c:v>41941</c:v>
              </c:pt>
              <c:pt idx="2128">
                <c:v>41942</c:v>
              </c:pt>
              <c:pt idx="2129">
                <c:v>41943</c:v>
              </c:pt>
              <c:pt idx="2130">
                <c:v>41946</c:v>
              </c:pt>
              <c:pt idx="2131">
                <c:v>41947</c:v>
              </c:pt>
              <c:pt idx="2132">
                <c:v>41948</c:v>
              </c:pt>
              <c:pt idx="2133">
                <c:v>41949</c:v>
              </c:pt>
              <c:pt idx="2134">
                <c:v>41950</c:v>
              </c:pt>
              <c:pt idx="2135">
                <c:v>41953</c:v>
              </c:pt>
              <c:pt idx="2136">
                <c:v>41954</c:v>
              </c:pt>
              <c:pt idx="2137">
                <c:v>41955</c:v>
              </c:pt>
              <c:pt idx="2138">
                <c:v>41956</c:v>
              </c:pt>
              <c:pt idx="2139">
                <c:v>41957</c:v>
              </c:pt>
              <c:pt idx="2140">
                <c:v>41960</c:v>
              </c:pt>
              <c:pt idx="2141">
                <c:v>41961</c:v>
              </c:pt>
              <c:pt idx="2142">
                <c:v>41962</c:v>
              </c:pt>
              <c:pt idx="2143">
                <c:v>41963</c:v>
              </c:pt>
              <c:pt idx="2144">
                <c:v>41964</c:v>
              </c:pt>
              <c:pt idx="2145">
                <c:v>41967</c:v>
              </c:pt>
              <c:pt idx="2146">
                <c:v>41968</c:v>
              </c:pt>
              <c:pt idx="2147">
                <c:v>41969</c:v>
              </c:pt>
              <c:pt idx="2148">
                <c:v>41970</c:v>
              </c:pt>
              <c:pt idx="2149">
                <c:v>41971</c:v>
              </c:pt>
              <c:pt idx="2150">
                <c:v>41974</c:v>
              </c:pt>
              <c:pt idx="2151">
                <c:v>41975</c:v>
              </c:pt>
              <c:pt idx="2152">
                <c:v>41976</c:v>
              </c:pt>
              <c:pt idx="2153">
                <c:v>41977</c:v>
              </c:pt>
              <c:pt idx="2154">
                <c:v>41978</c:v>
              </c:pt>
              <c:pt idx="2155">
                <c:v>41981</c:v>
              </c:pt>
              <c:pt idx="2156">
                <c:v>41982</c:v>
              </c:pt>
              <c:pt idx="2157">
                <c:v>41983</c:v>
              </c:pt>
              <c:pt idx="2158">
                <c:v>41984</c:v>
              </c:pt>
              <c:pt idx="2159">
                <c:v>41985</c:v>
              </c:pt>
              <c:pt idx="2160">
                <c:v>41988</c:v>
              </c:pt>
              <c:pt idx="2161">
                <c:v>41989</c:v>
              </c:pt>
              <c:pt idx="2162">
                <c:v>41990</c:v>
              </c:pt>
              <c:pt idx="2163">
                <c:v>41991</c:v>
              </c:pt>
              <c:pt idx="2164">
                <c:v>41992</c:v>
              </c:pt>
              <c:pt idx="2165">
                <c:v>41995</c:v>
              </c:pt>
              <c:pt idx="2166">
                <c:v>41996</c:v>
              </c:pt>
              <c:pt idx="2167">
                <c:v>41997</c:v>
              </c:pt>
              <c:pt idx="2168">
                <c:v>42002</c:v>
              </c:pt>
              <c:pt idx="2169">
                <c:v>42003</c:v>
              </c:pt>
              <c:pt idx="2170">
                <c:v>42004</c:v>
              </c:pt>
              <c:pt idx="2171">
                <c:v>42006</c:v>
              </c:pt>
              <c:pt idx="2172">
                <c:v>42009</c:v>
              </c:pt>
              <c:pt idx="2173">
                <c:v>42010</c:v>
              </c:pt>
              <c:pt idx="2174">
                <c:v>42011</c:v>
              </c:pt>
              <c:pt idx="2175">
                <c:v>42012</c:v>
              </c:pt>
              <c:pt idx="2176">
                <c:v>42013</c:v>
              </c:pt>
              <c:pt idx="2177">
                <c:v>42016</c:v>
              </c:pt>
              <c:pt idx="2178">
                <c:v>42017</c:v>
              </c:pt>
              <c:pt idx="2179">
                <c:v>42018</c:v>
              </c:pt>
              <c:pt idx="2180">
                <c:v>42019</c:v>
              </c:pt>
              <c:pt idx="2181">
                <c:v>42020</c:v>
              </c:pt>
              <c:pt idx="2182">
                <c:v>42023</c:v>
              </c:pt>
              <c:pt idx="2183">
                <c:v>42024</c:v>
              </c:pt>
              <c:pt idx="2184">
                <c:v>42025</c:v>
              </c:pt>
              <c:pt idx="2185">
                <c:v>42026</c:v>
              </c:pt>
              <c:pt idx="2186">
                <c:v>42027</c:v>
              </c:pt>
              <c:pt idx="2187">
                <c:v>42031</c:v>
              </c:pt>
              <c:pt idx="2188">
                <c:v>42032</c:v>
              </c:pt>
              <c:pt idx="2189">
                <c:v>42033</c:v>
              </c:pt>
              <c:pt idx="2190">
                <c:v>42034</c:v>
              </c:pt>
              <c:pt idx="2191">
                <c:v>42037</c:v>
              </c:pt>
              <c:pt idx="2192">
                <c:v>42038</c:v>
              </c:pt>
              <c:pt idx="2193">
                <c:v>42039</c:v>
              </c:pt>
              <c:pt idx="2194">
                <c:v>42040</c:v>
              </c:pt>
              <c:pt idx="2195">
                <c:v>42041</c:v>
              </c:pt>
              <c:pt idx="2196">
                <c:v>42044</c:v>
              </c:pt>
              <c:pt idx="2197">
                <c:v>42045</c:v>
              </c:pt>
              <c:pt idx="2198">
                <c:v>42046</c:v>
              </c:pt>
              <c:pt idx="2199">
                <c:v>42047</c:v>
              </c:pt>
              <c:pt idx="2200">
                <c:v>42048</c:v>
              </c:pt>
              <c:pt idx="2201">
                <c:v>42051</c:v>
              </c:pt>
              <c:pt idx="2202">
                <c:v>42052</c:v>
              </c:pt>
              <c:pt idx="2203">
                <c:v>42053</c:v>
              </c:pt>
              <c:pt idx="2204">
                <c:v>42054</c:v>
              </c:pt>
              <c:pt idx="2205">
                <c:v>42055</c:v>
              </c:pt>
              <c:pt idx="2206">
                <c:v>42058</c:v>
              </c:pt>
              <c:pt idx="2207">
                <c:v>42059</c:v>
              </c:pt>
              <c:pt idx="2208">
                <c:v>42060</c:v>
              </c:pt>
              <c:pt idx="2209">
                <c:v>42061</c:v>
              </c:pt>
              <c:pt idx="2210">
                <c:v>42062</c:v>
              </c:pt>
              <c:pt idx="2211">
                <c:v>42065</c:v>
              </c:pt>
              <c:pt idx="2212">
                <c:v>42066</c:v>
              </c:pt>
              <c:pt idx="2213">
                <c:v>42067</c:v>
              </c:pt>
              <c:pt idx="2214">
                <c:v>42068</c:v>
              </c:pt>
              <c:pt idx="2215">
                <c:v>42069</c:v>
              </c:pt>
              <c:pt idx="2216">
                <c:v>42072</c:v>
              </c:pt>
              <c:pt idx="2217">
                <c:v>42073</c:v>
              </c:pt>
              <c:pt idx="2218">
                <c:v>42074</c:v>
              </c:pt>
              <c:pt idx="2219">
                <c:v>42075</c:v>
              </c:pt>
              <c:pt idx="2220">
                <c:v>42076</c:v>
              </c:pt>
              <c:pt idx="2221">
                <c:v>42079</c:v>
              </c:pt>
              <c:pt idx="2222">
                <c:v>42080</c:v>
              </c:pt>
              <c:pt idx="2223">
                <c:v>42081</c:v>
              </c:pt>
              <c:pt idx="2224">
                <c:v>42082</c:v>
              </c:pt>
              <c:pt idx="2225">
                <c:v>42083</c:v>
              </c:pt>
              <c:pt idx="2226">
                <c:v>42086</c:v>
              </c:pt>
              <c:pt idx="2227">
                <c:v>42087</c:v>
              </c:pt>
              <c:pt idx="2228">
                <c:v>42088</c:v>
              </c:pt>
              <c:pt idx="2229">
                <c:v>42089</c:v>
              </c:pt>
              <c:pt idx="2230">
                <c:v>42090</c:v>
              </c:pt>
              <c:pt idx="2231">
                <c:v>42093</c:v>
              </c:pt>
              <c:pt idx="2232">
                <c:v>42094</c:v>
              </c:pt>
              <c:pt idx="2233">
                <c:v>42095</c:v>
              </c:pt>
              <c:pt idx="2234">
                <c:v>42096</c:v>
              </c:pt>
              <c:pt idx="2235">
                <c:v>42101</c:v>
              </c:pt>
              <c:pt idx="2236">
                <c:v>42102</c:v>
              </c:pt>
              <c:pt idx="2237">
                <c:v>42103</c:v>
              </c:pt>
              <c:pt idx="2238">
                <c:v>42104</c:v>
              </c:pt>
              <c:pt idx="2239">
                <c:v>42107</c:v>
              </c:pt>
              <c:pt idx="2240">
                <c:v>42108</c:v>
              </c:pt>
              <c:pt idx="2241">
                <c:v>42109</c:v>
              </c:pt>
              <c:pt idx="2242">
                <c:v>42110</c:v>
              </c:pt>
              <c:pt idx="2243">
                <c:v>42111</c:v>
              </c:pt>
              <c:pt idx="2244">
                <c:v>42114</c:v>
              </c:pt>
              <c:pt idx="2245">
                <c:v>42115</c:v>
              </c:pt>
              <c:pt idx="2246">
                <c:v>42116</c:v>
              </c:pt>
              <c:pt idx="2247">
                <c:v>42117</c:v>
              </c:pt>
              <c:pt idx="2248">
                <c:v>42118</c:v>
              </c:pt>
              <c:pt idx="2249">
                <c:v>42121</c:v>
              </c:pt>
              <c:pt idx="2250">
                <c:v>42122</c:v>
              </c:pt>
              <c:pt idx="2251">
                <c:v>42123</c:v>
              </c:pt>
              <c:pt idx="2252">
                <c:v>42124</c:v>
              </c:pt>
              <c:pt idx="2253">
                <c:v>42125</c:v>
              </c:pt>
              <c:pt idx="2254">
                <c:v>42128</c:v>
              </c:pt>
              <c:pt idx="2255">
                <c:v>42129</c:v>
              </c:pt>
              <c:pt idx="2256">
                <c:v>42130</c:v>
              </c:pt>
              <c:pt idx="2257">
                <c:v>42131</c:v>
              </c:pt>
              <c:pt idx="2258">
                <c:v>42132</c:v>
              </c:pt>
              <c:pt idx="2259">
                <c:v>42135</c:v>
              </c:pt>
              <c:pt idx="2260">
                <c:v>42136</c:v>
              </c:pt>
              <c:pt idx="2261">
                <c:v>42137</c:v>
              </c:pt>
              <c:pt idx="2262">
                <c:v>42138</c:v>
              </c:pt>
              <c:pt idx="2263">
                <c:v>42139</c:v>
              </c:pt>
              <c:pt idx="2264">
                <c:v>42142</c:v>
              </c:pt>
              <c:pt idx="2265">
                <c:v>42143</c:v>
              </c:pt>
              <c:pt idx="2266">
                <c:v>42144</c:v>
              </c:pt>
              <c:pt idx="2267">
                <c:v>42145</c:v>
              </c:pt>
              <c:pt idx="2268">
                <c:v>42146</c:v>
              </c:pt>
              <c:pt idx="2269">
                <c:v>42149</c:v>
              </c:pt>
              <c:pt idx="2270">
                <c:v>42150</c:v>
              </c:pt>
              <c:pt idx="2271">
                <c:v>42151</c:v>
              </c:pt>
              <c:pt idx="2272">
                <c:v>42152</c:v>
              </c:pt>
              <c:pt idx="2273">
                <c:v>42153</c:v>
              </c:pt>
              <c:pt idx="2274">
                <c:v>42156</c:v>
              </c:pt>
              <c:pt idx="2275">
                <c:v>42157</c:v>
              </c:pt>
              <c:pt idx="2276">
                <c:v>42158</c:v>
              </c:pt>
              <c:pt idx="2277">
                <c:v>42159</c:v>
              </c:pt>
              <c:pt idx="2278">
                <c:v>42160</c:v>
              </c:pt>
              <c:pt idx="2279">
                <c:v>42164</c:v>
              </c:pt>
              <c:pt idx="2280">
                <c:v>42165</c:v>
              </c:pt>
              <c:pt idx="2281">
                <c:v>42166</c:v>
              </c:pt>
              <c:pt idx="2282">
                <c:v>42167</c:v>
              </c:pt>
              <c:pt idx="2283">
                <c:v>42170</c:v>
              </c:pt>
              <c:pt idx="2284">
                <c:v>42171</c:v>
              </c:pt>
              <c:pt idx="2285">
                <c:v>42172</c:v>
              </c:pt>
              <c:pt idx="2286">
                <c:v>42173</c:v>
              </c:pt>
              <c:pt idx="2287">
                <c:v>42174</c:v>
              </c:pt>
              <c:pt idx="2288">
                <c:v>42177</c:v>
              </c:pt>
              <c:pt idx="2289">
                <c:v>42178</c:v>
              </c:pt>
              <c:pt idx="2290">
                <c:v>42179</c:v>
              </c:pt>
              <c:pt idx="2291">
                <c:v>42180</c:v>
              </c:pt>
              <c:pt idx="2292">
                <c:v>42181</c:v>
              </c:pt>
              <c:pt idx="2293">
                <c:v>42184</c:v>
              </c:pt>
              <c:pt idx="2294">
                <c:v>42185</c:v>
              </c:pt>
              <c:pt idx="2295">
                <c:v>42186</c:v>
              </c:pt>
              <c:pt idx="2296">
                <c:v>42187</c:v>
              </c:pt>
              <c:pt idx="2297">
                <c:v>42188</c:v>
              </c:pt>
              <c:pt idx="2298">
                <c:v>42191</c:v>
              </c:pt>
              <c:pt idx="2299">
                <c:v>42192</c:v>
              </c:pt>
              <c:pt idx="2300">
                <c:v>42193</c:v>
              </c:pt>
              <c:pt idx="2301">
                <c:v>42194</c:v>
              </c:pt>
              <c:pt idx="2302">
                <c:v>42195</c:v>
              </c:pt>
              <c:pt idx="2303">
                <c:v>42198</c:v>
              </c:pt>
              <c:pt idx="2304">
                <c:v>42199</c:v>
              </c:pt>
              <c:pt idx="2305">
                <c:v>42200</c:v>
              </c:pt>
              <c:pt idx="2306">
                <c:v>42201</c:v>
              </c:pt>
              <c:pt idx="2307">
                <c:v>42202</c:v>
              </c:pt>
              <c:pt idx="2308">
                <c:v>42205</c:v>
              </c:pt>
              <c:pt idx="2309">
                <c:v>42206</c:v>
              </c:pt>
              <c:pt idx="2310">
                <c:v>42207</c:v>
              </c:pt>
              <c:pt idx="2311">
                <c:v>42208</c:v>
              </c:pt>
              <c:pt idx="2312">
                <c:v>42209</c:v>
              </c:pt>
              <c:pt idx="2313">
                <c:v>42212</c:v>
              </c:pt>
              <c:pt idx="2314">
                <c:v>42213</c:v>
              </c:pt>
              <c:pt idx="2315">
                <c:v>42214</c:v>
              </c:pt>
              <c:pt idx="2316">
                <c:v>42215</c:v>
              </c:pt>
              <c:pt idx="2317">
                <c:v>42216</c:v>
              </c:pt>
              <c:pt idx="2318">
                <c:v>42220</c:v>
              </c:pt>
              <c:pt idx="2319">
                <c:v>42221</c:v>
              </c:pt>
              <c:pt idx="2320">
                <c:v>42222</c:v>
              </c:pt>
              <c:pt idx="2321">
                <c:v>42223</c:v>
              </c:pt>
              <c:pt idx="2322">
                <c:v>42226</c:v>
              </c:pt>
              <c:pt idx="2323">
                <c:v>42227</c:v>
              </c:pt>
              <c:pt idx="2324">
                <c:v>42228</c:v>
              </c:pt>
              <c:pt idx="2325">
                <c:v>42229</c:v>
              </c:pt>
              <c:pt idx="2326">
                <c:v>42230</c:v>
              </c:pt>
              <c:pt idx="2327">
                <c:v>42233</c:v>
              </c:pt>
              <c:pt idx="2328">
                <c:v>42234</c:v>
              </c:pt>
              <c:pt idx="2329">
                <c:v>42235</c:v>
              </c:pt>
              <c:pt idx="2330">
                <c:v>42236</c:v>
              </c:pt>
              <c:pt idx="2331">
                <c:v>42237</c:v>
              </c:pt>
              <c:pt idx="2332">
                <c:v>42240</c:v>
              </c:pt>
              <c:pt idx="2333">
                <c:v>42241</c:v>
              </c:pt>
              <c:pt idx="2334">
                <c:v>42242</c:v>
              </c:pt>
              <c:pt idx="2335">
                <c:v>42243</c:v>
              </c:pt>
              <c:pt idx="2336">
                <c:v>42244</c:v>
              </c:pt>
              <c:pt idx="2337">
                <c:v>42247</c:v>
              </c:pt>
              <c:pt idx="2338">
                <c:v>42248</c:v>
              </c:pt>
              <c:pt idx="2339">
                <c:v>42249</c:v>
              </c:pt>
              <c:pt idx="2340">
                <c:v>42250</c:v>
              </c:pt>
              <c:pt idx="2341">
                <c:v>42251</c:v>
              </c:pt>
              <c:pt idx="2342">
                <c:v>42254</c:v>
              </c:pt>
              <c:pt idx="2343">
                <c:v>42255</c:v>
              </c:pt>
              <c:pt idx="2344">
                <c:v>42256</c:v>
              </c:pt>
              <c:pt idx="2345">
                <c:v>42257</c:v>
              </c:pt>
              <c:pt idx="2346">
                <c:v>42258</c:v>
              </c:pt>
              <c:pt idx="2347">
                <c:v>42261</c:v>
              </c:pt>
              <c:pt idx="2348">
                <c:v>42262</c:v>
              </c:pt>
              <c:pt idx="2349">
                <c:v>42263</c:v>
              </c:pt>
              <c:pt idx="2350">
                <c:v>42264</c:v>
              </c:pt>
              <c:pt idx="2351">
                <c:v>42265</c:v>
              </c:pt>
              <c:pt idx="2352">
                <c:v>42268</c:v>
              </c:pt>
              <c:pt idx="2353">
                <c:v>42269</c:v>
              </c:pt>
              <c:pt idx="2354">
                <c:v>42270</c:v>
              </c:pt>
              <c:pt idx="2355">
                <c:v>42271</c:v>
              </c:pt>
              <c:pt idx="2356">
                <c:v>42272</c:v>
              </c:pt>
              <c:pt idx="2357">
                <c:v>42275</c:v>
              </c:pt>
              <c:pt idx="2358">
                <c:v>42276</c:v>
              </c:pt>
              <c:pt idx="2359">
                <c:v>42277</c:v>
              </c:pt>
              <c:pt idx="2360">
                <c:v>42278</c:v>
              </c:pt>
              <c:pt idx="2361">
                <c:v>42279</c:v>
              </c:pt>
              <c:pt idx="2362">
                <c:v>42283</c:v>
              </c:pt>
              <c:pt idx="2363">
                <c:v>42284</c:v>
              </c:pt>
              <c:pt idx="2364">
                <c:v>42285</c:v>
              </c:pt>
              <c:pt idx="2365">
                <c:v>42286</c:v>
              </c:pt>
              <c:pt idx="2366">
                <c:v>42289</c:v>
              </c:pt>
              <c:pt idx="2367">
                <c:v>42290</c:v>
              </c:pt>
              <c:pt idx="2368">
                <c:v>42291</c:v>
              </c:pt>
              <c:pt idx="2369">
                <c:v>42292</c:v>
              </c:pt>
              <c:pt idx="2370">
                <c:v>42293</c:v>
              </c:pt>
              <c:pt idx="2371">
                <c:v>42296</c:v>
              </c:pt>
              <c:pt idx="2372">
                <c:v>42297</c:v>
              </c:pt>
              <c:pt idx="2373">
                <c:v>42298</c:v>
              </c:pt>
              <c:pt idx="2374">
                <c:v>42299</c:v>
              </c:pt>
              <c:pt idx="2375">
                <c:v>42300</c:v>
              </c:pt>
              <c:pt idx="2376">
                <c:v>42303</c:v>
              </c:pt>
              <c:pt idx="2377">
                <c:v>42304</c:v>
              </c:pt>
              <c:pt idx="2378">
                <c:v>42305</c:v>
              </c:pt>
              <c:pt idx="2379">
                <c:v>42306</c:v>
              </c:pt>
              <c:pt idx="2380">
                <c:v>42307</c:v>
              </c:pt>
              <c:pt idx="2381">
                <c:v>42310</c:v>
              </c:pt>
              <c:pt idx="2382">
                <c:v>42311</c:v>
              </c:pt>
              <c:pt idx="2383">
                <c:v>42312</c:v>
              </c:pt>
              <c:pt idx="2384">
                <c:v>42313</c:v>
              </c:pt>
              <c:pt idx="2385">
                <c:v>42314</c:v>
              </c:pt>
              <c:pt idx="2386">
                <c:v>42317</c:v>
              </c:pt>
              <c:pt idx="2387">
                <c:v>42318</c:v>
              </c:pt>
              <c:pt idx="2388">
                <c:v>42319</c:v>
              </c:pt>
              <c:pt idx="2389">
                <c:v>42320</c:v>
              </c:pt>
              <c:pt idx="2390">
                <c:v>42321</c:v>
              </c:pt>
              <c:pt idx="2391">
                <c:v>42324</c:v>
              </c:pt>
              <c:pt idx="2392">
                <c:v>42325</c:v>
              </c:pt>
              <c:pt idx="2393">
                <c:v>42326</c:v>
              </c:pt>
              <c:pt idx="2394">
                <c:v>42327</c:v>
              </c:pt>
              <c:pt idx="2395">
                <c:v>42328</c:v>
              </c:pt>
              <c:pt idx="2396">
                <c:v>42331</c:v>
              </c:pt>
              <c:pt idx="2397">
                <c:v>42332</c:v>
              </c:pt>
              <c:pt idx="2398">
                <c:v>42333</c:v>
              </c:pt>
              <c:pt idx="2399">
                <c:v>42334</c:v>
              </c:pt>
              <c:pt idx="2400">
                <c:v>42335</c:v>
              </c:pt>
              <c:pt idx="2401">
                <c:v>42338</c:v>
              </c:pt>
              <c:pt idx="2402">
                <c:v>42339</c:v>
              </c:pt>
              <c:pt idx="2403">
                <c:v>42340</c:v>
              </c:pt>
              <c:pt idx="2404">
                <c:v>42341</c:v>
              </c:pt>
              <c:pt idx="2405">
                <c:v>42342</c:v>
              </c:pt>
              <c:pt idx="2406">
                <c:v>42345</c:v>
              </c:pt>
              <c:pt idx="2407">
                <c:v>42346</c:v>
              </c:pt>
              <c:pt idx="2408">
                <c:v>42347</c:v>
              </c:pt>
              <c:pt idx="2409">
                <c:v>42348</c:v>
              </c:pt>
              <c:pt idx="2410">
                <c:v>42349</c:v>
              </c:pt>
              <c:pt idx="2411">
                <c:v>42352</c:v>
              </c:pt>
              <c:pt idx="2412">
                <c:v>42353</c:v>
              </c:pt>
              <c:pt idx="2413">
                <c:v>42354</c:v>
              </c:pt>
              <c:pt idx="2414">
                <c:v>42355</c:v>
              </c:pt>
              <c:pt idx="2415">
                <c:v>42356</c:v>
              </c:pt>
              <c:pt idx="2416">
                <c:v>42359</c:v>
              </c:pt>
              <c:pt idx="2417">
                <c:v>42360</c:v>
              </c:pt>
              <c:pt idx="2418">
                <c:v>42361</c:v>
              </c:pt>
              <c:pt idx="2419">
                <c:v>42362</c:v>
              </c:pt>
              <c:pt idx="2420">
                <c:v>42367</c:v>
              </c:pt>
              <c:pt idx="2421">
                <c:v>42368</c:v>
              </c:pt>
              <c:pt idx="2422">
                <c:v>42369</c:v>
              </c:pt>
              <c:pt idx="2423">
                <c:v>42373</c:v>
              </c:pt>
              <c:pt idx="2424">
                <c:v>42374</c:v>
              </c:pt>
              <c:pt idx="2425">
                <c:v>42375</c:v>
              </c:pt>
              <c:pt idx="2426">
                <c:v>42376</c:v>
              </c:pt>
              <c:pt idx="2427">
                <c:v>42377</c:v>
              </c:pt>
              <c:pt idx="2428">
                <c:v>42380</c:v>
              </c:pt>
              <c:pt idx="2429">
                <c:v>42381</c:v>
              </c:pt>
              <c:pt idx="2430">
                <c:v>42382</c:v>
              </c:pt>
              <c:pt idx="2431">
                <c:v>42383</c:v>
              </c:pt>
              <c:pt idx="2432">
                <c:v>42384</c:v>
              </c:pt>
              <c:pt idx="2433">
                <c:v>42387</c:v>
              </c:pt>
              <c:pt idx="2434">
                <c:v>42388</c:v>
              </c:pt>
              <c:pt idx="2435">
                <c:v>42389</c:v>
              </c:pt>
              <c:pt idx="2436">
                <c:v>42390</c:v>
              </c:pt>
              <c:pt idx="2437">
                <c:v>42391</c:v>
              </c:pt>
              <c:pt idx="2438">
                <c:v>42394</c:v>
              </c:pt>
              <c:pt idx="2439">
                <c:v>42396</c:v>
              </c:pt>
              <c:pt idx="2440">
                <c:v>42397</c:v>
              </c:pt>
              <c:pt idx="2441">
                <c:v>42398</c:v>
              </c:pt>
              <c:pt idx="2442">
                <c:v>42401</c:v>
              </c:pt>
              <c:pt idx="2443">
                <c:v>42402</c:v>
              </c:pt>
              <c:pt idx="2444">
                <c:v>42403</c:v>
              </c:pt>
              <c:pt idx="2445">
                <c:v>42404</c:v>
              </c:pt>
              <c:pt idx="2446">
                <c:v>42405</c:v>
              </c:pt>
              <c:pt idx="2447">
                <c:v>42408</c:v>
              </c:pt>
              <c:pt idx="2448">
                <c:v>42409</c:v>
              </c:pt>
              <c:pt idx="2449">
                <c:v>42410</c:v>
              </c:pt>
              <c:pt idx="2450">
                <c:v>42411</c:v>
              </c:pt>
              <c:pt idx="2451">
                <c:v>42412</c:v>
              </c:pt>
              <c:pt idx="2452">
                <c:v>42415</c:v>
              </c:pt>
              <c:pt idx="2453">
                <c:v>42416</c:v>
              </c:pt>
              <c:pt idx="2454">
                <c:v>42417</c:v>
              </c:pt>
              <c:pt idx="2455">
                <c:v>42418</c:v>
              </c:pt>
              <c:pt idx="2456">
                <c:v>42419</c:v>
              </c:pt>
              <c:pt idx="2457">
                <c:v>42422</c:v>
              </c:pt>
              <c:pt idx="2458">
                <c:v>42423</c:v>
              </c:pt>
              <c:pt idx="2459">
                <c:v>42424</c:v>
              </c:pt>
              <c:pt idx="2460">
                <c:v>42425</c:v>
              </c:pt>
              <c:pt idx="2461">
                <c:v>42426</c:v>
              </c:pt>
              <c:pt idx="2462">
                <c:v>42429</c:v>
              </c:pt>
              <c:pt idx="2463">
                <c:v>42430</c:v>
              </c:pt>
              <c:pt idx="2464">
                <c:v>42431</c:v>
              </c:pt>
              <c:pt idx="2465">
                <c:v>42432</c:v>
              </c:pt>
              <c:pt idx="2466">
                <c:v>42433</c:v>
              </c:pt>
              <c:pt idx="2467">
                <c:v>42436</c:v>
              </c:pt>
              <c:pt idx="2468">
                <c:v>42437</c:v>
              </c:pt>
              <c:pt idx="2469">
                <c:v>42438</c:v>
              </c:pt>
              <c:pt idx="2470">
                <c:v>42439</c:v>
              </c:pt>
              <c:pt idx="2471">
                <c:v>42440</c:v>
              </c:pt>
              <c:pt idx="2472">
                <c:v>42443</c:v>
              </c:pt>
              <c:pt idx="2473">
                <c:v>42444</c:v>
              </c:pt>
              <c:pt idx="2474">
                <c:v>42445</c:v>
              </c:pt>
              <c:pt idx="2475">
                <c:v>42446</c:v>
              </c:pt>
              <c:pt idx="2476">
                <c:v>42447</c:v>
              </c:pt>
              <c:pt idx="2477">
                <c:v>42450</c:v>
              </c:pt>
              <c:pt idx="2478">
                <c:v>42451</c:v>
              </c:pt>
              <c:pt idx="2479">
                <c:v>42452</c:v>
              </c:pt>
              <c:pt idx="2480">
                <c:v>42453</c:v>
              </c:pt>
              <c:pt idx="2481">
                <c:v>42458</c:v>
              </c:pt>
              <c:pt idx="2482">
                <c:v>42459</c:v>
              </c:pt>
              <c:pt idx="2483">
                <c:v>42460</c:v>
              </c:pt>
              <c:pt idx="2484">
                <c:v>42461</c:v>
              </c:pt>
              <c:pt idx="2485">
                <c:v>42464</c:v>
              </c:pt>
              <c:pt idx="2486">
                <c:v>42465</c:v>
              </c:pt>
              <c:pt idx="2487">
                <c:v>42466</c:v>
              </c:pt>
              <c:pt idx="2488">
                <c:v>42467</c:v>
              </c:pt>
              <c:pt idx="2489">
                <c:v>42468</c:v>
              </c:pt>
              <c:pt idx="2490">
                <c:v>42471</c:v>
              </c:pt>
              <c:pt idx="2491">
                <c:v>42472</c:v>
              </c:pt>
              <c:pt idx="2492">
                <c:v>42473</c:v>
              </c:pt>
              <c:pt idx="2493">
                <c:v>42474</c:v>
              </c:pt>
              <c:pt idx="2494">
                <c:v>42475</c:v>
              </c:pt>
              <c:pt idx="2495">
                <c:v>42478</c:v>
              </c:pt>
              <c:pt idx="2496">
                <c:v>42479</c:v>
              </c:pt>
              <c:pt idx="2497">
                <c:v>42480</c:v>
              </c:pt>
              <c:pt idx="2498">
                <c:v>42481</c:v>
              </c:pt>
              <c:pt idx="2499">
                <c:v>42482</c:v>
              </c:pt>
              <c:pt idx="2500">
                <c:v>42486</c:v>
              </c:pt>
              <c:pt idx="2501">
                <c:v>42487</c:v>
              </c:pt>
              <c:pt idx="2502">
                <c:v>42488</c:v>
              </c:pt>
              <c:pt idx="2503">
                <c:v>42489</c:v>
              </c:pt>
              <c:pt idx="2504">
                <c:v>42492</c:v>
              </c:pt>
              <c:pt idx="2505">
                <c:v>42493</c:v>
              </c:pt>
              <c:pt idx="2506">
                <c:v>42494</c:v>
              </c:pt>
              <c:pt idx="2507">
                <c:v>42495</c:v>
              </c:pt>
              <c:pt idx="2508">
                <c:v>42496</c:v>
              </c:pt>
              <c:pt idx="2509">
                <c:v>42499</c:v>
              </c:pt>
              <c:pt idx="2510">
                <c:v>42500</c:v>
              </c:pt>
              <c:pt idx="2511">
                <c:v>42501</c:v>
              </c:pt>
              <c:pt idx="2512">
                <c:v>42502</c:v>
              </c:pt>
              <c:pt idx="2513">
                <c:v>42503</c:v>
              </c:pt>
              <c:pt idx="2514">
                <c:v>42506</c:v>
              </c:pt>
              <c:pt idx="2515">
                <c:v>42507</c:v>
              </c:pt>
              <c:pt idx="2516">
                <c:v>42508</c:v>
              </c:pt>
              <c:pt idx="2517">
                <c:v>42509</c:v>
              </c:pt>
              <c:pt idx="2518">
                <c:v>42510</c:v>
              </c:pt>
              <c:pt idx="2519">
                <c:v>42513</c:v>
              </c:pt>
              <c:pt idx="2520">
                <c:v>42514</c:v>
              </c:pt>
              <c:pt idx="2521">
                <c:v>42515</c:v>
              </c:pt>
              <c:pt idx="2522">
                <c:v>42516</c:v>
              </c:pt>
              <c:pt idx="2523">
                <c:v>42517</c:v>
              </c:pt>
              <c:pt idx="2524">
                <c:v>42520</c:v>
              </c:pt>
              <c:pt idx="2525">
                <c:v>42521</c:v>
              </c:pt>
              <c:pt idx="2526">
                <c:v>42522</c:v>
              </c:pt>
              <c:pt idx="2527">
                <c:v>42523</c:v>
              </c:pt>
              <c:pt idx="2528">
                <c:v>42524</c:v>
              </c:pt>
              <c:pt idx="2529">
                <c:v>42527</c:v>
              </c:pt>
              <c:pt idx="2530">
                <c:v>42528</c:v>
              </c:pt>
              <c:pt idx="2531">
                <c:v>42529</c:v>
              </c:pt>
              <c:pt idx="2532">
                <c:v>42530</c:v>
              </c:pt>
              <c:pt idx="2533">
                <c:v>42531</c:v>
              </c:pt>
              <c:pt idx="2534">
                <c:v>42535</c:v>
              </c:pt>
              <c:pt idx="2535">
                <c:v>42536</c:v>
              </c:pt>
              <c:pt idx="2536">
                <c:v>42537</c:v>
              </c:pt>
              <c:pt idx="2537">
                <c:v>42538</c:v>
              </c:pt>
              <c:pt idx="2538">
                <c:v>42541</c:v>
              </c:pt>
              <c:pt idx="2539">
                <c:v>42542</c:v>
              </c:pt>
              <c:pt idx="2540">
                <c:v>42543</c:v>
              </c:pt>
              <c:pt idx="2541">
                <c:v>42544</c:v>
              </c:pt>
              <c:pt idx="2542">
                <c:v>42545</c:v>
              </c:pt>
              <c:pt idx="2543">
                <c:v>42548</c:v>
              </c:pt>
              <c:pt idx="2544">
                <c:v>42549</c:v>
              </c:pt>
              <c:pt idx="2545">
                <c:v>42550</c:v>
              </c:pt>
              <c:pt idx="2546">
                <c:v>42551</c:v>
              </c:pt>
              <c:pt idx="2547">
                <c:v>42552</c:v>
              </c:pt>
              <c:pt idx="2548">
                <c:v>42555</c:v>
              </c:pt>
              <c:pt idx="2549">
                <c:v>42556</c:v>
              </c:pt>
              <c:pt idx="2550">
                <c:v>42557</c:v>
              </c:pt>
              <c:pt idx="2551">
                <c:v>42558</c:v>
              </c:pt>
              <c:pt idx="2552">
                <c:v>42559</c:v>
              </c:pt>
              <c:pt idx="2553">
                <c:v>42562</c:v>
              </c:pt>
              <c:pt idx="2554">
                <c:v>42563</c:v>
              </c:pt>
              <c:pt idx="2555">
                <c:v>42564</c:v>
              </c:pt>
              <c:pt idx="2556">
                <c:v>42565</c:v>
              </c:pt>
              <c:pt idx="2557">
                <c:v>42566</c:v>
              </c:pt>
              <c:pt idx="2558">
                <c:v>42569</c:v>
              </c:pt>
              <c:pt idx="2559">
                <c:v>42570</c:v>
              </c:pt>
              <c:pt idx="2560">
                <c:v>42571</c:v>
              </c:pt>
              <c:pt idx="2561">
                <c:v>42572</c:v>
              </c:pt>
              <c:pt idx="2562">
                <c:v>42573</c:v>
              </c:pt>
              <c:pt idx="2563">
                <c:v>42576</c:v>
              </c:pt>
              <c:pt idx="2564">
                <c:v>42577</c:v>
              </c:pt>
              <c:pt idx="2565">
                <c:v>42578</c:v>
              </c:pt>
              <c:pt idx="2566">
                <c:v>42579</c:v>
              </c:pt>
              <c:pt idx="2567">
                <c:v>42580</c:v>
              </c:pt>
              <c:pt idx="2568">
                <c:v>42583</c:v>
              </c:pt>
              <c:pt idx="2569">
                <c:v>42584</c:v>
              </c:pt>
              <c:pt idx="2570">
                <c:v>42585</c:v>
              </c:pt>
              <c:pt idx="2571">
                <c:v>42586</c:v>
              </c:pt>
              <c:pt idx="2572">
                <c:v>42587</c:v>
              </c:pt>
              <c:pt idx="2573">
                <c:v>42590</c:v>
              </c:pt>
              <c:pt idx="2574">
                <c:v>42591</c:v>
              </c:pt>
              <c:pt idx="2575">
                <c:v>42592</c:v>
              </c:pt>
              <c:pt idx="2576">
                <c:v>42593</c:v>
              </c:pt>
              <c:pt idx="2577">
                <c:v>42594</c:v>
              </c:pt>
              <c:pt idx="2578">
                <c:v>42597</c:v>
              </c:pt>
              <c:pt idx="2579">
                <c:v>42598</c:v>
              </c:pt>
              <c:pt idx="2580">
                <c:v>42599</c:v>
              </c:pt>
              <c:pt idx="2581">
                <c:v>42600</c:v>
              </c:pt>
              <c:pt idx="2582">
                <c:v>42601</c:v>
              </c:pt>
              <c:pt idx="2583">
                <c:v>42604</c:v>
              </c:pt>
              <c:pt idx="2584">
                <c:v>42605</c:v>
              </c:pt>
              <c:pt idx="2585">
                <c:v>42606</c:v>
              </c:pt>
              <c:pt idx="2586">
                <c:v>42607</c:v>
              </c:pt>
              <c:pt idx="2587">
                <c:v>42608</c:v>
              </c:pt>
              <c:pt idx="2588">
                <c:v>42611</c:v>
              </c:pt>
              <c:pt idx="2589">
                <c:v>42612</c:v>
              </c:pt>
              <c:pt idx="2590">
                <c:v>42613</c:v>
              </c:pt>
              <c:pt idx="2591">
                <c:v>42614</c:v>
              </c:pt>
              <c:pt idx="2592">
                <c:v>42615</c:v>
              </c:pt>
              <c:pt idx="2593">
                <c:v>42618</c:v>
              </c:pt>
              <c:pt idx="2594">
                <c:v>42619</c:v>
              </c:pt>
              <c:pt idx="2595">
                <c:v>42620</c:v>
              </c:pt>
              <c:pt idx="2596">
                <c:v>42621</c:v>
              </c:pt>
              <c:pt idx="2597">
                <c:v>42622</c:v>
              </c:pt>
              <c:pt idx="2598">
                <c:v>42625</c:v>
              </c:pt>
              <c:pt idx="2599">
                <c:v>42626</c:v>
              </c:pt>
              <c:pt idx="2600">
                <c:v>42627</c:v>
              </c:pt>
              <c:pt idx="2601">
                <c:v>42628</c:v>
              </c:pt>
              <c:pt idx="2602">
                <c:v>42629</c:v>
              </c:pt>
              <c:pt idx="2603">
                <c:v>42632</c:v>
              </c:pt>
              <c:pt idx="2604">
                <c:v>42633</c:v>
              </c:pt>
              <c:pt idx="2605">
                <c:v>42634</c:v>
              </c:pt>
              <c:pt idx="2606">
                <c:v>42635</c:v>
              </c:pt>
              <c:pt idx="2607">
                <c:v>42636</c:v>
              </c:pt>
              <c:pt idx="2608">
                <c:v>42639</c:v>
              </c:pt>
              <c:pt idx="2609">
                <c:v>42640</c:v>
              </c:pt>
              <c:pt idx="2610">
                <c:v>42641</c:v>
              </c:pt>
              <c:pt idx="2611">
                <c:v>42642</c:v>
              </c:pt>
              <c:pt idx="2612">
                <c:v>42643</c:v>
              </c:pt>
              <c:pt idx="2613">
                <c:v>42646</c:v>
              </c:pt>
              <c:pt idx="2614">
                <c:v>42647</c:v>
              </c:pt>
              <c:pt idx="2615">
                <c:v>42648</c:v>
              </c:pt>
              <c:pt idx="2616">
                <c:v>42649</c:v>
              </c:pt>
              <c:pt idx="2617">
                <c:v>42650</c:v>
              </c:pt>
              <c:pt idx="2618">
                <c:v>42653</c:v>
              </c:pt>
              <c:pt idx="2619">
                <c:v>42654</c:v>
              </c:pt>
              <c:pt idx="2620">
                <c:v>42655</c:v>
              </c:pt>
              <c:pt idx="2621">
                <c:v>42656</c:v>
              </c:pt>
              <c:pt idx="2622">
                <c:v>42657</c:v>
              </c:pt>
              <c:pt idx="2623">
                <c:v>42660</c:v>
              </c:pt>
              <c:pt idx="2624">
                <c:v>42661</c:v>
              </c:pt>
              <c:pt idx="2625">
                <c:v>42662</c:v>
              </c:pt>
              <c:pt idx="2626">
                <c:v>42663</c:v>
              </c:pt>
              <c:pt idx="2627">
                <c:v>42664</c:v>
              </c:pt>
              <c:pt idx="2628">
                <c:v>42667</c:v>
              </c:pt>
              <c:pt idx="2629">
                <c:v>42668</c:v>
              </c:pt>
              <c:pt idx="2630">
                <c:v>42669</c:v>
              </c:pt>
              <c:pt idx="2631">
                <c:v>42670</c:v>
              </c:pt>
              <c:pt idx="2632">
                <c:v>42671</c:v>
              </c:pt>
              <c:pt idx="2633">
                <c:v>42674</c:v>
              </c:pt>
              <c:pt idx="2634">
                <c:v>42675</c:v>
              </c:pt>
              <c:pt idx="2635">
                <c:v>42676</c:v>
              </c:pt>
              <c:pt idx="2636">
                <c:v>42677</c:v>
              </c:pt>
              <c:pt idx="2637">
                <c:v>42678</c:v>
              </c:pt>
              <c:pt idx="2638">
                <c:v>42681</c:v>
              </c:pt>
              <c:pt idx="2639">
                <c:v>42682</c:v>
              </c:pt>
              <c:pt idx="2640">
                <c:v>42683</c:v>
              </c:pt>
              <c:pt idx="2641">
                <c:v>42684</c:v>
              </c:pt>
              <c:pt idx="2642">
                <c:v>42685</c:v>
              </c:pt>
              <c:pt idx="2643">
                <c:v>42688</c:v>
              </c:pt>
              <c:pt idx="2644">
                <c:v>42689</c:v>
              </c:pt>
              <c:pt idx="2645">
                <c:v>42690</c:v>
              </c:pt>
              <c:pt idx="2646">
                <c:v>42691</c:v>
              </c:pt>
              <c:pt idx="2647">
                <c:v>42692</c:v>
              </c:pt>
              <c:pt idx="2648">
                <c:v>42695</c:v>
              </c:pt>
              <c:pt idx="2649">
                <c:v>42696</c:v>
              </c:pt>
              <c:pt idx="2650">
                <c:v>42697</c:v>
              </c:pt>
              <c:pt idx="2651">
                <c:v>42698</c:v>
              </c:pt>
              <c:pt idx="2652">
                <c:v>42699</c:v>
              </c:pt>
              <c:pt idx="2653">
                <c:v>42702</c:v>
              </c:pt>
              <c:pt idx="2654">
                <c:v>42703</c:v>
              </c:pt>
              <c:pt idx="2655">
                <c:v>42704</c:v>
              </c:pt>
              <c:pt idx="2656">
                <c:v>42705</c:v>
              </c:pt>
              <c:pt idx="2657">
                <c:v>42706</c:v>
              </c:pt>
              <c:pt idx="2658">
                <c:v>42709</c:v>
              </c:pt>
              <c:pt idx="2659">
                <c:v>42710</c:v>
              </c:pt>
              <c:pt idx="2660">
                <c:v>42711</c:v>
              </c:pt>
              <c:pt idx="2661">
                <c:v>42712</c:v>
              </c:pt>
              <c:pt idx="2662">
                <c:v>42713</c:v>
              </c:pt>
              <c:pt idx="2663">
                <c:v>42716</c:v>
              </c:pt>
              <c:pt idx="2664">
                <c:v>42717</c:v>
              </c:pt>
              <c:pt idx="2665">
                <c:v>42718</c:v>
              </c:pt>
              <c:pt idx="2666">
                <c:v>42719</c:v>
              </c:pt>
              <c:pt idx="2667">
                <c:v>42720</c:v>
              </c:pt>
              <c:pt idx="2668">
                <c:v>42723</c:v>
              </c:pt>
              <c:pt idx="2669">
                <c:v>42724</c:v>
              </c:pt>
              <c:pt idx="2670">
                <c:v>42725</c:v>
              </c:pt>
              <c:pt idx="2671">
                <c:v>42726</c:v>
              </c:pt>
              <c:pt idx="2672">
                <c:v>42727</c:v>
              </c:pt>
              <c:pt idx="2673">
                <c:v>42732</c:v>
              </c:pt>
              <c:pt idx="2674">
                <c:v>42733</c:v>
              </c:pt>
              <c:pt idx="2675">
                <c:v>42734</c:v>
              </c:pt>
              <c:pt idx="2676">
                <c:v>42738</c:v>
              </c:pt>
              <c:pt idx="2677">
                <c:v>42739</c:v>
              </c:pt>
              <c:pt idx="2678">
                <c:v>42740</c:v>
              </c:pt>
              <c:pt idx="2679">
                <c:v>42741</c:v>
              </c:pt>
              <c:pt idx="2680">
                <c:v>42744</c:v>
              </c:pt>
              <c:pt idx="2681">
                <c:v>42745</c:v>
              </c:pt>
              <c:pt idx="2682">
                <c:v>42746</c:v>
              </c:pt>
              <c:pt idx="2683">
                <c:v>42747</c:v>
              </c:pt>
              <c:pt idx="2684">
                <c:v>42748</c:v>
              </c:pt>
              <c:pt idx="2685">
                <c:v>42751</c:v>
              </c:pt>
              <c:pt idx="2686">
                <c:v>42752</c:v>
              </c:pt>
              <c:pt idx="2687">
                <c:v>42753</c:v>
              </c:pt>
              <c:pt idx="2688">
                <c:v>42754</c:v>
              </c:pt>
              <c:pt idx="2689">
                <c:v>42755</c:v>
              </c:pt>
              <c:pt idx="2690">
                <c:v>42758</c:v>
              </c:pt>
              <c:pt idx="2691">
                <c:v>42759</c:v>
              </c:pt>
              <c:pt idx="2692">
                <c:v>42760</c:v>
              </c:pt>
              <c:pt idx="2693">
                <c:v>42762</c:v>
              </c:pt>
              <c:pt idx="2694">
                <c:v>42765</c:v>
              </c:pt>
              <c:pt idx="2695">
                <c:v>42766</c:v>
              </c:pt>
              <c:pt idx="2696">
                <c:v>42767</c:v>
              </c:pt>
              <c:pt idx="2697">
                <c:v>42768</c:v>
              </c:pt>
              <c:pt idx="2698">
                <c:v>42769</c:v>
              </c:pt>
              <c:pt idx="2699">
                <c:v>42772</c:v>
              </c:pt>
              <c:pt idx="2700">
                <c:v>42773</c:v>
              </c:pt>
              <c:pt idx="2701">
                <c:v>42774</c:v>
              </c:pt>
              <c:pt idx="2702">
                <c:v>42775</c:v>
              </c:pt>
              <c:pt idx="2703">
                <c:v>42776</c:v>
              </c:pt>
              <c:pt idx="2704">
                <c:v>42779</c:v>
              </c:pt>
              <c:pt idx="2705">
                <c:v>42780</c:v>
              </c:pt>
              <c:pt idx="2706">
                <c:v>42781</c:v>
              </c:pt>
              <c:pt idx="2707">
                <c:v>42782</c:v>
              </c:pt>
              <c:pt idx="2708">
                <c:v>42783</c:v>
              </c:pt>
              <c:pt idx="2709">
                <c:v>42786</c:v>
              </c:pt>
              <c:pt idx="2710">
                <c:v>42787</c:v>
              </c:pt>
              <c:pt idx="2711">
                <c:v>42788</c:v>
              </c:pt>
              <c:pt idx="2712">
                <c:v>42789</c:v>
              </c:pt>
              <c:pt idx="2713">
                <c:v>42790</c:v>
              </c:pt>
              <c:pt idx="2714">
                <c:v>42793</c:v>
              </c:pt>
              <c:pt idx="2715">
                <c:v>42794</c:v>
              </c:pt>
              <c:pt idx="2716">
                <c:v>42795</c:v>
              </c:pt>
              <c:pt idx="2717">
                <c:v>42796</c:v>
              </c:pt>
              <c:pt idx="2718">
                <c:v>42797</c:v>
              </c:pt>
              <c:pt idx="2719">
                <c:v>42800</c:v>
              </c:pt>
              <c:pt idx="2720">
                <c:v>42801</c:v>
              </c:pt>
              <c:pt idx="2721">
                <c:v>42802</c:v>
              </c:pt>
              <c:pt idx="2722">
                <c:v>42803</c:v>
              </c:pt>
              <c:pt idx="2723">
                <c:v>42804</c:v>
              </c:pt>
              <c:pt idx="2724">
                <c:v>42807</c:v>
              </c:pt>
              <c:pt idx="2725">
                <c:v>42808</c:v>
              </c:pt>
              <c:pt idx="2726">
                <c:v>42809</c:v>
              </c:pt>
              <c:pt idx="2727">
                <c:v>42810</c:v>
              </c:pt>
              <c:pt idx="2728">
                <c:v>42811</c:v>
              </c:pt>
              <c:pt idx="2729">
                <c:v>42814</c:v>
              </c:pt>
              <c:pt idx="2730">
                <c:v>42815</c:v>
              </c:pt>
              <c:pt idx="2731">
                <c:v>42816</c:v>
              </c:pt>
              <c:pt idx="2732">
                <c:v>42817</c:v>
              </c:pt>
              <c:pt idx="2733">
                <c:v>42818</c:v>
              </c:pt>
              <c:pt idx="2734">
                <c:v>42821</c:v>
              </c:pt>
              <c:pt idx="2735">
                <c:v>42822</c:v>
              </c:pt>
              <c:pt idx="2736">
                <c:v>42823</c:v>
              </c:pt>
              <c:pt idx="2737">
                <c:v>42824</c:v>
              </c:pt>
              <c:pt idx="2738">
                <c:v>42825</c:v>
              </c:pt>
              <c:pt idx="2739">
                <c:v>42828</c:v>
              </c:pt>
              <c:pt idx="2740">
                <c:v>42829</c:v>
              </c:pt>
              <c:pt idx="2741">
                <c:v>42830</c:v>
              </c:pt>
              <c:pt idx="2742">
                <c:v>42831</c:v>
              </c:pt>
              <c:pt idx="2743">
                <c:v>42832</c:v>
              </c:pt>
              <c:pt idx="2744">
                <c:v>42835</c:v>
              </c:pt>
              <c:pt idx="2745">
                <c:v>42836</c:v>
              </c:pt>
              <c:pt idx="2746">
                <c:v>42837</c:v>
              </c:pt>
              <c:pt idx="2747">
                <c:v>42838</c:v>
              </c:pt>
              <c:pt idx="2748">
                <c:v>42843</c:v>
              </c:pt>
              <c:pt idx="2749">
                <c:v>42844</c:v>
              </c:pt>
              <c:pt idx="2750">
                <c:v>42845</c:v>
              </c:pt>
              <c:pt idx="2751">
                <c:v>42846</c:v>
              </c:pt>
              <c:pt idx="2752">
                <c:v>42849</c:v>
              </c:pt>
              <c:pt idx="2753">
                <c:v>42851</c:v>
              </c:pt>
              <c:pt idx="2754">
                <c:v>42852</c:v>
              </c:pt>
              <c:pt idx="2755">
                <c:v>42853</c:v>
              </c:pt>
              <c:pt idx="2756">
                <c:v>42856</c:v>
              </c:pt>
              <c:pt idx="2757">
                <c:v>42857</c:v>
              </c:pt>
              <c:pt idx="2758">
                <c:v>42858</c:v>
              </c:pt>
              <c:pt idx="2759">
                <c:v>42859</c:v>
              </c:pt>
              <c:pt idx="2760">
                <c:v>42860</c:v>
              </c:pt>
              <c:pt idx="2761">
                <c:v>42863</c:v>
              </c:pt>
              <c:pt idx="2762">
                <c:v>42864</c:v>
              </c:pt>
              <c:pt idx="2763">
                <c:v>42865</c:v>
              </c:pt>
              <c:pt idx="2764">
                <c:v>42866</c:v>
              </c:pt>
              <c:pt idx="2765">
                <c:v>42867</c:v>
              </c:pt>
              <c:pt idx="2766">
                <c:v>42870</c:v>
              </c:pt>
              <c:pt idx="2767">
                <c:v>42871</c:v>
              </c:pt>
              <c:pt idx="2768">
                <c:v>42872</c:v>
              </c:pt>
              <c:pt idx="2769">
                <c:v>42873</c:v>
              </c:pt>
              <c:pt idx="2770">
                <c:v>42874</c:v>
              </c:pt>
              <c:pt idx="2771">
                <c:v>42877</c:v>
              </c:pt>
              <c:pt idx="2772">
                <c:v>42878</c:v>
              </c:pt>
              <c:pt idx="2773">
                <c:v>42879</c:v>
              </c:pt>
              <c:pt idx="2774">
                <c:v>42880</c:v>
              </c:pt>
              <c:pt idx="2775">
                <c:v>42881</c:v>
              </c:pt>
              <c:pt idx="2776">
                <c:v>42884</c:v>
              </c:pt>
              <c:pt idx="2777">
                <c:v>42885</c:v>
              </c:pt>
              <c:pt idx="2778">
                <c:v>42886</c:v>
              </c:pt>
              <c:pt idx="2779">
                <c:v>42887</c:v>
              </c:pt>
              <c:pt idx="2780">
                <c:v>42888</c:v>
              </c:pt>
              <c:pt idx="2781">
                <c:v>42891</c:v>
              </c:pt>
              <c:pt idx="2782">
                <c:v>42892</c:v>
              </c:pt>
              <c:pt idx="2783">
                <c:v>42893</c:v>
              </c:pt>
              <c:pt idx="2784">
                <c:v>42894</c:v>
              </c:pt>
              <c:pt idx="2785">
                <c:v>42895</c:v>
              </c:pt>
              <c:pt idx="2786">
                <c:v>42899</c:v>
              </c:pt>
              <c:pt idx="2787">
                <c:v>42900</c:v>
              </c:pt>
              <c:pt idx="2788">
                <c:v>42901</c:v>
              </c:pt>
              <c:pt idx="2789">
                <c:v>42902</c:v>
              </c:pt>
              <c:pt idx="2790">
                <c:v>42905</c:v>
              </c:pt>
              <c:pt idx="2791">
                <c:v>42906</c:v>
              </c:pt>
              <c:pt idx="2792">
                <c:v>42907</c:v>
              </c:pt>
              <c:pt idx="2793">
                <c:v>42908</c:v>
              </c:pt>
              <c:pt idx="2794">
                <c:v>42909</c:v>
              </c:pt>
              <c:pt idx="2795">
                <c:v>42912</c:v>
              </c:pt>
              <c:pt idx="2796">
                <c:v>42913</c:v>
              </c:pt>
              <c:pt idx="2797">
                <c:v>42914</c:v>
              </c:pt>
              <c:pt idx="2798">
                <c:v>42915</c:v>
              </c:pt>
              <c:pt idx="2799">
                <c:v>42916</c:v>
              </c:pt>
              <c:pt idx="2800">
                <c:v>42919</c:v>
              </c:pt>
              <c:pt idx="2801">
                <c:v>42920</c:v>
              </c:pt>
              <c:pt idx="2802">
                <c:v>42921</c:v>
              </c:pt>
              <c:pt idx="2803">
                <c:v>42922</c:v>
              </c:pt>
              <c:pt idx="2804">
                <c:v>42923</c:v>
              </c:pt>
              <c:pt idx="2805">
                <c:v>42926</c:v>
              </c:pt>
              <c:pt idx="2806">
                <c:v>42927</c:v>
              </c:pt>
              <c:pt idx="2807">
                <c:v>42928</c:v>
              </c:pt>
              <c:pt idx="2808">
                <c:v>42929</c:v>
              </c:pt>
              <c:pt idx="2809">
                <c:v>42930</c:v>
              </c:pt>
              <c:pt idx="2810">
                <c:v>42933</c:v>
              </c:pt>
              <c:pt idx="2811">
                <c:v>42934</c:v>
              </c:pt>
              <c:pt idx="2812">
                <c:v>42935</c:v>
              </c:pt>
              <c:pt idx="2813">
                <c:v>42936</c:v>
              </c:pt>
              <c:pt idx="2814">
                <c:v>42937</c:v>
              </c:pt>
              <c:pt idx="2815">
                <c:v>42940</c:v>
              </c:pt>
              <c:pt idx="2816">
                <c:v>42941</c:v>
              </c:pt>
              <c:pt idx="2817">
                <c:v>42942</c:v>
              </c:pt>
              <c:pt idx="2818">
                <c:v>42943</c:v>
              </c:pt>
              <c:pt idx="2819">
                <c:v>42944</c:v>
              </c:pt>
              <c:pt idx="2820">
                <c:v>42947</c:v>
              </c:pt>
              <c:pt idx="2821">
                <c:v>42948</c:v>
              </c:pt>
              <c:pt idx="2822">
                <c:v>42949</c:v>
              </c:pt>
              <c:pt idx="2823">
                <c:v>42950</c:v>
              </c:pt>
              <c:pt idx="2824">
                <c:v>42951</c:v>
              </c:pt>
              <c:pt idx="2825">
                <c:v>42954</c:v>
              </c:pt>
              <c:pt idx="2826">
                <c:v>42955</c:v>
              </c:pt>
              <c:pt idx="2827">
                <c:v>42956</c:v>
              </c:pt>
              <c:pt idx="2828">
                <c:v>42957</c:v>
              </c:pt>
              <c:pt idx="2829">
                <c:v>42958</c:v>
              </c:pt>
              <c:pt idx="2830">
                <c:v>42961</c:v>
              </c:pt>
              <c:pt idx="2831">
                <c:v>42962</c:v>
              </c:pt>
              <c:pt idx="2832">
                <c:v>42963</c:v>
              </c:pt>
              <c:pt idx="2833">
                <c:v>42964</c:v>
              </c:pt>
              <c:pt idx="2834">
                <c:v>42965</c:v>
              </c:pt>
              <c:pt idx="2835">
                <c:v>42968</c:v>
              </c:pt>
              <c:pt idx="2836">
                <c:v>42969</c:v>
              </c:pt>
              <c:pt idx="2837">
                <c:v>42970</c:v>
              </c:pt>
              <c:pt idx="2838">
                <c:v>42971</c:v>
              </c:pt>
              <c:pt idx="2839">
                <c:v>42972</c:v>
              </c:pt>
              <c:pt idx="2840">
                <c:v>42975</c:v>
              </c:pt>
              <c:pt idx="2841">
                <c:v>42976</c:v>
              </c:pt>
              <c:pt idx="2842">
                <c:v>42977</c:v>
              </c:pt>
              <c:pt idx="2843">
                <c:v>42978</c:v>
              </c:pt>
              <c:pt idx="2844">
                <c:v>42979</c:v>
              </c:pt>
              <c:pt idx="2845">
                <c:v>42982</c:v>
              </c:pt>
              <c:pt idx="2846">
                <c:v>42983</c:v>
              </c:pt>
              <c:pt idx="2847">
                <c:v>42984</c:v>
              </c:pt>
              <c:pt idx="2848">
                <c:v>42985</c:v>
              </c:pt>
              <c:pt idx="2849">
                <c:v>42986</c:v>
              </c:pt>
              <c:pt idx="2850">
                <c:v>42989</c:v>
              </c:pt>
              <c:pt idx="2851">
                <c:v>42990</c:v>
              </c:pt>
              <c:pt idx="2852">
                <c:v>42991</c:v>
              </c:pt>
              <c:pt idx="2853">
                <c:v>42992</c:v>
              </c:pt>
              <c:pt idx="2854">
                <c:v>42993</c:v>
              </c:pt>
              <c:pt idx="2855">
                <c:v>42996</c:v>
              </c:pt>
              <c:pt idx="2856">
                <c:v>42997</c:v>
              </c:pt>
              <c:pt idx="2857">
                <c:v>42998</c:v>
              </c:pt>
              <c:pt idx="2858">
                <c:v>42999</c:v>
              </c:pt>
              <c:pt idx="2859">
                <c:v>43000</c:v>
              </c:pt>
              <c:pt idx="2860">
                <c:v>43003</c:v>
              </c:pt>
              <c:pt idx="2861">
                <c:v>43004</c:v>
              </c:pt>
              <c:pt idx="2862">
                <c:v>43005</c:v>
              </c:pt>
              <c:pt idx="2863">
                <c:v>43006</c:v>
              </c:pt>
              <c:pt idx="2864">
                <c:v>43007</c:v>
              </c:pt>
              <c:pt idx="2865">
                <c:v>43010</c:v>
              </c:pt>
              <c:pt idx="2866">
                <c:v>43011</c:v>
              </c:pt>
              <c:pt idx="2867">
                <c:v>43012</c:v>
              </c:pt>
              <c:pt idx="2868">
                <c:v>43013</c:v>
              </c:pt>
              <c:pt idx="2869">
                <c:v>43014</c:v>
              </c:pt>
              <c:pt idx="2870">
                <c:v>43017</c:v>
              </c:pt>
              <c:pt idx="2871">
                <c:v>43018</c:v>
              </c:pt>
              <c:pt idx="2872">
                <c:v>43019</c:v>
              </c:pt>
              <c:pt idx="2873">
                <c:v>43020</c:v>
              </c:pt>
              <c:pt idx="2874">
                <c:v>43021</c:v>
              </c:pt>
              <c:pt idx="2875">
                <c:v>43024</c:v>
              </c:pt>
              <c:pt idx="2876">
                <c:v>43025</c:v>
              </c:pt>
              <c:pt idx="2877">
                <c:v>43026</c:v>
              </c:pt>
              <c:pt idx="2878">
                <c:v>43027</c:v>
              </c:pt>
              <c:pt idx="2879">
                <c:v>43028</c:v>
              </c:pt>
              <c:pt idx="2880">
                <c:v>43031</c:v>
              </c:pt>
              <c:pt idx="2881">
                <c:v>43032</c:v>
              </c:pt>
              <c:pt idx="2882">
                <c:v>43033</c:v>
              </c:pt>
              <c:pt idx="2883">
                <c:v>43034</c:v>
              </c:pt>
              <c:pt idx="2884">
                <c:v>43035</c:v>
              </c:pt>
              <c:pt idx="2885">
                <c:v>43038</c:v>
              </c:pt>
              <c:pt idx="2886">
                <c:v>43039</c:v>
              </c:pt>
            </c:numLit>
          </c:cat>
          <c:val>
            <c:numLit>
              <c:formatCode>General</c:formatCode>
              <c:ptCount val="2887"/>
              <c:pt idx="0">
                <c:v>6.7585995417782003</c:v>
              </c:pt>
              <c:pt idx="1">
                <c:v>6.7115516114199396</c:v>
              </c:pt>
              <c:pt idx="2">
                <c:v>6.63801049268677</c:v>
              </c:pt>
              <c:pt idx="3">
                <c:v>6.6339359447222996</c:v>
              </c:pt>
              <c:pt idx="4">
                <c:v>6.6181853403916904</c:v>
              </c:pt>
              <c:pt idx="5">
                <c:v>6.5687757729204996</c:v>
              </c:pt>
              <c:pt idx="6">
                <c:v>6.5222521006761598</c:v>
              </c:pt>
              <c:pt idx="7">
                <c:v>6.4646429001293102</c:v>
              </c:pt>
              <c:pt idx="8">
                <c:v>6.4291991525252898</c:v>
              </c:pt>
              <c:pt idx="9">
                <c:v>6.4770260662153003</c:v>
              </c:pt>
              <c:pt idx="10">
                <c:v>6.4674852941506398</c:v>
              </c:pt>
              <c:pt idx="11">
                <c:v>6.4416673623868697</c:v>
              </c:pt>
              <c:pt idx="12">
                <c:v>6.4317441699640803</c:v>
              </c:pt>
              <c:pt idx="13">
                <c:v>6.4377158173164002</c:v>
              </c:pt>
              <c:pt idx="14">
                <c:v>6.3960091756039699</c:v>
              </c:pt>
              <c:pt idx="15">
                <c:v>6.4033354071182602</c:v>
              </c:pt>
              <c:pt idx="16">
                <c:v>6.37222557433725</c:v>
              </c:pt>
              <c:pt idx="17">
                <c:v>6.3672210051831399</c:v>
              </c:pt>
              <c:pt idx="18">
                <c:v>6.3414207493760903</c:v>
              </c:pt>
              <c:pt idx="19">
                <c:v>6.3633012730920102</c:v>
              </c:pt>
              <c:pt idx="20">
                <c:v>6.3600836485843404</c:v>
              </c:pt>
              <c:pt idx="21">
                <c:v>6.5850414613349599</c:v>
              </c:pt>
              <c:pt idx="22">
                <c:v>6.51794964410837</c:v>
              </c:pt>
              <c:pt idx="23">
                <c:v>6.6289596268672302</c:v>
              </c:pt>
              <c:pt idx="24">
                <c:v>6.5936003837828299</c:v>
              </c:pt>
              <c:pt idx="25">
                <c:v>6.56354422645797</c:v>
              </c:pt>
              <c:pt idx="26">
                <c:v>6.5963735928975504</c:v>
              </c:pt>
              <c:pt idx="27">
                <c:v>6.5352051985800603</c:v>
              </c:pt>
              <c:pt idx="28">
                <c:v>6.5562243905355402</c:v>
              </c:pt>
              <c:pt idx="29">
                <c:v>6.5897140336124096</c:v>
              </c:pt>
              <c:pt idx="30">
                <c:v>6.61932219077939</c:v>
              </c:pt>
              <c:pt idx="31">
                <c:v>6.5832622935740401</c:v>
              </c:pt>
              <c:pt idx="32">
                <c:v>6.5708069240522704</c:v>
              </c:pt>
              <c:pt idx="33">
                <c:v>6.5591212307686702</c:v>
              </c:pt>
              <c:pt idx="34">
                <c:v>6.5706994596193402</c:v>
              </c:pt>
              <c:pt idx="35">
                <c:v>6.5398878917305696</c:v>
              </c:pt>
              <c:pt idx="36">
                <c:v>6.5211859055420902</c:v>
              </c:pt>
              <c:pt idx="37">
                <c:v>6.6031467291577801</c:v>
              </c:pt>
              <c:pt idx="38">
                <c:v>6.4910163887346801</c:v>
              </c:pt>
              <c:pt idx="39">
                <c:v>6.4556818376913601</c:v>
              </c:pt>
              <c:pt idx="40">
                <c:v>6.4142537793341603</c:v>
              </c:pt>
              <c:pt idx="41">
                <c:v>6.41678554072893</c:v>
              </c:pt>
              <c:pt idx="42">
                <c:v>6.3489062388756299</c:v>
              </c:pt>
              <c:pt idx="43">
                <c:v>6.5106178009946198</c:v>
              </c:pt>
              <c:pt idx="44">
                <c:v>6.5602761183640501</c:v>
              </c:pt>
              <c:pt idx="45">
                <c:v>6.5781908381956198</c:v>
              </c:pt>
              <c:pt idx="46">
                <c:v>6.52448106291481</c:v>
              </c:pt>
              <c:pt idx="47">
                <c:v>6.4668574893932202</c:v>
              </c:pt>
              <c:pt idx="48">
                <c:v>6.5032122404801402</c:v>
              </c:pt>
              <c:pt idx="49">
                <c:v>6.4945516056377697</c:v>
              </c:pt>
              <c:pt idx="50">
                <c:v>6.4846016951146197</c:v>
              </c:pt>
              <c:pt idx="51">
                <c:v>6.5223339701165903</c:v>
              </c:pt>
              <c:pt idx="52">
                <c:v>6.5562061861439203</c:v>
              </c:pt>
              <c:pt idx="53">
                <c:v>6.5992737607644099</c:v>
              </c:pt>
              <c:pt idx="54">
                <c:v>6.6224474062545697</c:v>
              </c:pt>
              <c:pt idx="55">
                <c:v>6.6177969802255801</c:v>
              </c:pt>
              <c:pt idx="56">
                <c:v>6.5601253132267399</c:v>
              </c:pt>
              <c:pt idx="57">
                <c:v>6.5766822613810803</c:v>
              </c:pt>
              <c:pt idx="58">
                <c:v>6.5281407164345104</c:v>
              </c:pt>
              <c:pt idx="59">
                <c:v>6.4982852900685497</c:v>
              </c:pt>
              <c:pt idx="60">
                <c:v>6.58372765340971</c:v>
              </c:pt>
              <c:pt idx="61">
                <c:v>6.6548518157322203</c:v>
              </c:pt>
              <c:pt idx="62">
                <c:v>6.6448950067089498</c:v>
              </c:pt>
              <c:pt idx="63">
                <c:v>6.6031175244938698</c:v>
              </c:pt>
              <c:pt idx="64">
                <c:v>6.65281400289064</c:v>
              </c:pt>
              <c:pt idx="65">
                <c:v>6.6355470876145599</c:v>
              </c:pt>
              <c:pt idx="66">
                <c:v>6.6267436732798002</c:v>
              </c:pt>
              <c:pt idx="67">
                <c:v>6.68373390483021</c:v>
              </c:pt>
              <c:pt idx="68">
                <c:v>6.7455502423613201</c:v>
              </c:pt>
              <c:pt idx="69">
                <c:v>6.7499353659455696</c:v>
              </c:pt>
              <c:pt idx="70">
                <c:v>6.7146334382777004</c:v>
              </c:pt>
              <c:pt idx="71">
                <c:v>6.6936368473896204</c:v>
              </c:pt>
              <c:pt idx="72">
                <c:v>6.7134510865713999</c:v>
              </c:pt>
              <c:pt idx="73">
                <c:v>6.6287801170751504</c:v>
              </c:pt>
              <c:pt idx="74">
                <c:v>6.5764318204261301</c:v>
              </c:pt>
              <c:pt idx="75">
                <c:v>6.6578980958396299</c:v>
              </c:pt>
              <c:pt idx="76">
                <c:v>6.6156973048221399</c:v>
              </c:pt>
              <c:pt idx="77">
                <c:v>6.5294081583081098</c:v>
              </c:pt>
              <c:pt idx="78">
                <c:v>6.5243353478745503</c:v>
              </c:pt>
              <c:pt idx="79">
                <c:v>6.5727139419658798</c:v>
              </c:pt>
              <c:pt idx="80">
                <c:v>6.5499943852775004</c:v>
              </c:pt>
              <c:pt idx="81">
                <c:v>6.5184169005615402</c:v>
              </c:pt>
              <c:pt idx="82">
                <c:v>6.5839954942872296</c:v>
              </c:pt>
              <c:pt idx="83">
                <c:v>6.5736187463398998</c:v>
              </c:pt>
              <c:pt idx="84">
                <c:v>6.5424946024034396</c:v>
              </c:pt>
              <c:pt idx="85">
                <c:v>6.5215241206704002</c:v>
              </c:pt>
              <c:pt idx="86">
                <c:v>6.5535468265515604</c:v>
              </c:pt>
              <c:pt idx="87">
                <c:v>6.5636034433715</c:v>
              </c:pt>
              <c:pt idx="88">
                <c:v>6.5365588388702802</c:v>
              </c:pt>
              <c:pt idx="89">
                <c:v>6.61974931333864</c:v>
              </c:pt>
              <c:pt idx="90">
                <c:v>6.67755946259601</c:v>
              </c:pt>
              <c:pt idx="91">
                <c:v>6.6080538920572103</c:v>
              </c:pt>
              <c:pt idx="92">
                <c:v>6.6321569428657901</c:v>
              </c:pt>
              <c:pt idx="93">
                <c:v>6.5573715917569304</c:v>
              </c:pt>
              <c:pt idx="94">
                <c:v>6.6015282390643897</c:v>
              </c:pt>
              <c:pt idx="95">
                <c:v>6.6346993292396998</c:v>
              </c:pt>
              <c:pt idx="96">
                <c:v>6.5811162042494198</c:v>
              </c:pt>
              <c:pt idx="97">
                <c:v>6.4885483655697103</c:v>
              </c:pt>
              <c:pt idx="98">
                <c:v>6.4489837431742201</c:v>
              </c:pt>
              <c:pt idx="99">
                <c:v>6.4863087192737998</c:v>
              </c:pt>
              <c:pt idx="100">
                <c:v>6.4592662602258599</c:v>
              </c:pt>
              <c:pt idx="101">
                <c:v>6.4534107046597704</c:v>
              </c:pt>
              <c:pt idx="102">
                <c:v>6.4634425429565399</c:v>
              </c:pt>
              <c:pt idx="103">
                <c:v>6.38347082080071</c:v>
              </c:pt>
              <c:pt idx="104">
                <c:v>6.3489246386382101</c:v>
              </c:pt>
              <c:pt idx="105">
                <c:v>6.3569152843912402</c:v>
              </c:pt>
              <c:pt idx="106">
                <c:v>6.3457664753840701</c:v>
              </c:pt>
              <c:pt idx="107">
                <c:v>6.3793050644589204</c:v>
              </c:pt>
              <c:pt idx="108">
                <c:v>6.3468963315428004</c:v>
              </c:pt>
              <c:pt idx="109">
                <c:v>6.3462500762407004</c:v>
              </c:pt>
              <c:pt idx="110">
                <c:v>6.33823583577571</c:v>
              </c:pt>
              <c:pt idx="111">
                <c:v>6.3480501555805304</c:v>
              </c:pt>
              <c:pt idx="112">
                <c:v>6.36649503573239</c:v>
              </c:pt>
              <c:pt idx="113">
                <c:v>6.39552656508409</c:v>
              </c:pt>
              <c:pt idx="114">
                <c:v>6.40339309634144</c:v>
              </c:pt>
              <c:pt idx="115">
                <c:v>6.3477645689464097</c:v>
              </c:pt>
              <c:pt idx="116">
                <c:v>6.3343276899267202</c:v>
              </c:pt>
              <c:pt idx="117">
                <c:v>6.3549495373357097</c:v>
              </c:pt>
              <c:pt idx="118">
                <c:v>6.3024577788909797</c:v>
              </c:pt>
              <c:pt idx="119">
                <c:v>6.3367589699293596</c:v>
              </c:pt>
              <c:pt idx="120">
                <c:v>6.3763609229715996</c:v>
              </c:pt>
              <c:pt idx="121">
                <c:v>6.3364751482173602</c:v>
              </c:pt>
              <c:pt idx="122">
                <c:v>6.37078495993297</c:v>
              </c:pt>
              <c:pt idx="123">
                <c:v>6.4633306515282198</c:v>
              </c:pt>
              <c:pt idx="124">
                <c:v>6.5850294769193001</c:v>
              </c:pt>
              <c:pt idx="125">
                <c:v>6.5980598144289804</c:v>
              </c:pt>
              <c:pt idx="126">
                <c:v>6.5900348200250303</c:v>
              </c:pt>
              <c:pt idx="127">
                <c:v>6.5937804142477399</c:v>
              </c:pt>
              <c:pt idx="128">
                <c:v>6.6399424842709296</c:v>
              </c:pt>
              <c:pt idx="129">
                <c:v>6.6012721942456398</c:v>
              </c:pt>
              <c:pt idx="130">
                <c:v>6.5383105207307297</c:v>
              </c:pt>
              <c:pt idx="131">
                <c:v>6.5556007797999998</c:v>
              </c:pt>
              <c:pt idx="132">
                <c:v>6.5063568917934402</c:v>
              </c:pt>
              <c:pt idx="133">
                <c:v>6.4753829772695903</c:v>
              </c:pt>
              <c:pt idx="134">
                <c:v>6.4555728370500898</c:v>
              </c:pt>
              <c:pt idx="135">
                <c:v>6.5038420349383896</c:v>
              </c:pt>
              <c:pt idx="136">
                <c:v>6.4916867021251701</c:v>
              </c:pt>
              <c:pt idx="137">
                <c:v>6.4742370143595904</c:v>
              </c:pt>
              <c:pt idx="138">
                <c:v>6.4779704388758796</c:v>
              </c:pt>
              <c:pt idx="139">
                <c:v>6.4340517323108202</c:v>
              </c:pt>
              <c:pt idx="140">
                <c:v>6.3817361394658203</c:v>
              </c:pt>
              <c:pt idx="141">
                <c:v>6.3907572930760299</c:v>
              </c:pt>
              <c:pt idx="142">
                <c:v>6.4156566352578901</c:v>
              </c:pt>
              <c:pt idx="143">
                <c:v>6.3664704738979099</c:v>
              </c:pt>
              <c:pt idx="144">
                <c:v>6.4047598558333103</c:v>
              </c:pt>
              <c:pt idx="145">
                <c:v>6.4741684570160301</c:v>
              </c:pt>
              <c:pt idx="146">
                <c:v>6.4778944690928197</c:v>
              </c:pt>
              <c:pt idx="147">
                <c:v>6.4318087374646504</c:v>
              </c:pt>
              <c:pt idx="148">
                <c:v>6.4598185210483301</c:v>
              </c:pt>
              <c:pt idx="149">
                <c:v>6.5090232953485003</c:v>
              </c:pt>
              <c:pt idx="150">
                <c:v>6.5772275007989398</c:v>
              </c:pt>
              <c:pt idx="151">
                <c:v>6.5787658403376303</c:v>
              </c:pt>
              <c:pt idx="152">
                <c:v>6.5644027712656596</c:v>
              </c:pt>
              <c:pt idx="153">
                <c:v>6.5977464373471904</c:v>
              </c:pt>
              <c:pt idx="154">
                <c:v>6.58077781560507</c:v>
              </c:pt>
              <c:pt idx="155">
                <c:v>6.6596078732769497</c:v>
              </c:pt>
              <c:pt idx="156">
                <c:v>6.6452262319467197</c:v>
              </c:pt>
              <c:pt idx="157">
                <c:v>6.5486879731085503</c:v>
              </c:pt>
              <c:pt idx="158">
                <c:v>6.5767090397313499</c:v>
              </c:pt>
              <c:pt idx="159">
                <c:v>6.4722751074926599</c:v>
              </c:pt>
              <c:pt idx="160">
                <c:v>6.4874317393048404</c:v>
              </c:pt>
              <c:pt idx="161">
                <c:v>6.4942496749148804</c:v>
              </c:pt>
              <c:pt idx="162">
                <c:v>6.5593446959842696</c:v>
              </c:pt>
              <c:pt idx="163">
                <c:v>6.5396717840365799</c:v>
              </c:pt>
              <c:pt idx="164">
                <c:v>6.5704020518787098</c:v>
              </c:pt>
              <c:pt idx="165">
                <c:v>6.4980853635753704</c:v>
              </c:pt>
              <c:pt idx="166">
                <c:v>6.5154970040429703</c:v>
              </c:pt>
              <c:pt idx="167">
                <c:v>6.61240699570362</c:v>
              </c:pt>
              <c:pt idx="168">
                <c:v>6.6192316529124504</c:v>
              </c:pt>
              <c:pt idx="169">
                <c:v>6.6500379058697296</c:v>
              </c:pt>
              <c:pt idx="170">
                <c:v>6.6534228984109802</c:v>
              </c:pt>
              <c:pt idx="171">
                <c:v>6.7093669473232902</c:v>
              </c:pt>
              <c:pt idx="172">
                <c:v>6.6988413991640599</c:v>
              </c:pt>
              <c:pt idx="173">
                <c:v>6.7654160178398897</c:v>
              </c:pt>
              <c:pt idx="174">
                <c:v>6.8029922834400303</c:v>
              </c:pt>
              <c:pt idx="175">
                <c:v>6.8488684248488596</c:v>
              </c:pt>
              <c:pt idx="176">
                <c:v>6.8542180636548498</c:v>
              </c:pt>
              <c:pt idx="177">
                <c:v>6.8305483536547102</c:v>
              </c:pt>
              <c:pt idx="178">
                <c:v>6.8812537239464797</c:v>
              </c:pt>
              <c:pt idx="179">
                <c:v>6.9063401396388198</c:v>
              </c:pt>
              <c:pt idx="180">
                <c:v>6.8932884249625497</c:v>
              </c:pt>
              <c:pt idx="181">
                <c:v>6.9440180151364004</c:v>
              </c:pt>
              <c:pt idx="182">
                <c:v>6.96286119100691</c:v>
              </c:pt>
              <c:pt idx="183">
                <c:v>6.9449541305219604</c:v>
              </c:pt>
              <c:pt idx="184">
                <c:v>7.0251942435866104</c:v>
              </c:pt>
              <c:pt idx="185">
                <c:v>7.0546916444640599</c:v>
              </c:pt>
              <c:pt idx="186">
                <c:v>7.0333006772697697</c:v>
              </c:pt>
              <c:pt idx="187">
                <c:v>7.0282814695804596</c:v>
              </c:pt>
              <c:pt idx="188">
                <c:v>7.0737352768538697</c:v>
              </c:pt>
              <c:pt idx="189">
                <c:v>7.0971686808748196</c:v>
              </c:pt>
              <c:pt idx="190">
                <c:v>7.1183184106381496</c:v>
              </c:pt>
              <c:pt idx="191">
                <c:v>7.0999313023186303</c:v>
              </c:pt>
              <c:pt idx="192">
                <c:v>7.0516028208047503</c:v>
              </c:pt>
              <c:pt idx="193">
                <c:v>7.0727537643642</c:v>
              </c:pt>
              <c:pt idx="194">
                <c:v>7.1023329209386699</c:v>
              </c:pt>
              <c:pt idx="195">
                <c:v>7.0968770602523303</c:v>
              </c:pt>
              <c:pt idx="196">
                <c:v>7.0967461281894</c:v>
              </c:pt>
              <c:pt idx="197">
                <c:v>7.0932160374697499</c:v>
              </c:pt>
              <c:pt idx="198">
                <c:v>7.0238711993702001</c:v>
              </c:pt>
              <c:pt idx="199">
                <c:v>7.0109180632159198</c:v>
              </c:pt>
              <c:pt idx="200">
                <c:v>7.0586899265690803</c:v>
              </c:pt>
              <c:pt idx="201">
                <c:v>6.9627698580601196</c:v>
              </c:pt>
              <c:pt idx="202">
                <c:v>6.9145048736008796</c:v>
              </c:pt>
              <c:pt idx="203">
                <c:v>6.8824712699400798</c:v>
              </c:pt>
              <c:pt idx="204">
                <c:v>6.8876529481369397</c:v>
              </c:pt>
              <c:pt idx="205">
                <c:v>6.9034690449351999</c:v>
              </c:pt>
              <c:pt idx="206">
                <c:v>6.9192883844500397</c:v>
              </c:pt>
              <c:pt idx="207">
                <c:v>6.9029351810300703</c:v>
              </c:pt>
              <c:pt idx="208">
                <c:v>6.9293942145332696</c:v>
              </c:pt>
              <c:pt idx="209">
                <c:v>6.8867164866538397</c:v>
              </c:pt>
              <c:pt idx="210">
                <c:v>6.9248356739585004</c:v>
              </c:pt>
              <c:pt idx="211">
                <c:v>6.9130499717306604</c:v>
              </c:pt>
              <c:pt idx="212">
                <c:v>6.7988261104902099</c:v>
              </c:pt>
              <c:pt idx="213">
                <c:v>6.8442426854354901</c:v>
              </c:pt>
              <c:pt idx="214">
                <c:v>6.8504522553562097</c:v>
              </c:pt>
              <c:pt idx="215">
                <c:v>6.9084902367598797</c:v>
              </c:pt>
              <c:pt idx="216">
                <c:v>6.8721570623239998</c:v>
              </c:pt>
              <c:pt idx="217">
                <c:v>6.8935745985769996</c:v>
              </c:pt>
              <c:pt idx="218">
                <c:v>6.8572449660696098</c:v>
              </c:pt>
              <c:pt idx="219">
                <c:v>6.9378489053221397</c:v>
              </c:pt>
              <c:pt idx="220">
                <c:v>7.0025461662119399</c:v>
              </c:pt>
              <c:pt idx="221">
                <c:v>7.0724306462417497</c:v>
              </c:pt>
              <c:pt idx="222">
                <c:v>7.0679844383683799</c:v>
              </c:pt>
              <c:pt idx="223">
                <c:v>7.0654318845897004</c:v>
              </c:pt>
              <c:pt idx="224">
                <c:v>7.1070050472452904</c:v>
              </c:pt>
              <c:pt idx="225">
                <c:v>7.1558131810816699</c:v>
              </c:pt>
              <c:pt idx="226">
                <c:v>7.16909485063566</c:v>
              </c:pt>
              <c:pt idx="227">
                <c:v>7.2000899987737998</c:v>
              </c:pt>
              <c:pt idx="228">
                <c:v>7.17966216230597</c:v>
              </c:pt>
              <c:pt idx="229">
                <c:v>7.2285016787043901</c:v>
              </c:pt>
              <c:pt idx="230">
                <c:v>7.1369994906088898</c:v>
              </c:pt>
              <c:pt idx="231">
                <c:v>7.0979479396207097</c:v>
              </c:pt>
              <c:pt idx="232">
                <c:v>7.1464377863748902</c:v>
              </c:pt>
              <c:pt idx="233">
                <c:v>7.1416852398896502</c:v>
              </c:pt>
              <c:pt idx="234">
                <c:v>7.2115061983014002</c:v>
              </c:pt>
              <c:pt idx="235">
                <c:v>7.2067506596881401</c:v>
              </c:pt>
              <c:pt idx="236">
                <c:v>7.1392234775454799</c:v>
              </c:pt>
              <c:pt idx="237">
                <c:v>7.1664239055168899</c:v>
              </c:pt>
              <c:pt idx="238">
                <c:v>7.1776495976138897</c:v>
              </c:pt>
              <c:pt idx="239">
                <c:v>7.2402747098500297</c:v>
              </c:pt>
              <c:pt idx="240">
                <c:v>7.2018168323518204</c:v>
              </c:pt>
              <c:pt idx="241">
                <c:v>7.2088395743893399</c:v>
              </c:pt>
              <c:pt idx="242">
                <c:v>7.2520386903904202</c:v>
              </c:pt>
              <c:pt idx="243">
                <c:v>7.2562604461489801</c:v>
              </c:pt>
              <c:pt idx="244">
                <c:v>7.1928858715394997</c:v>
              </c:pt>
              <c:pt idx="245">
                <c:v>7.1471787830702302</c:v>
              </c:pt>
              <c:pt idx="246">
                <c:v>7.2021378226903003</c:v>
              </c:pt>
              <c:pt idx="247">
                <c:v>7.22031285096421</c:v>
              </c:pt>
              <c:pt idx="248">
                <c:v>7.2832143445883002</c:v>
              </c:pt>
              <c:pt idx="249">
                <c:v>7.2480736248100097</c:v>
              </c:pt>
              <c:pt idx="250">
                <c:v>7.2806155437852098</c:v>
              </c:pt>
              <c:pt idx="251">
                <c:v>7.2129979138770004</c:v>
              </c:pt>
              <c:pt idx="252">
                <c:v>7.2148309023668098</c:v>
              </c:pt>
              <c:pt idx="253">
                <c:v>7.2151019486585097</c:v>
              </c:pt>
              <c:pt idx="254">
                <c:v>7.1545711074607201</c:v>
              </c:pt>
              <c:pt idx="255">
                <c:v>7.1845804652290104</c:v>
              </c:pt>
              <c:pt idx="256">
                <c:v>7.0941981653989101</c:v>
              </c:pt>
              <c:pt idx="257">
                <c:v>7.0906968960499102</c:v>
              </c:pt>
              <c:pt idx="258">
                <c:v>7.1191372605160499</c:v>
              </c:pt>
              <c:pt idx="259">
                <c:v>7.1848735200430696</c:v>
              </c:pt>
              <c:pt idx="260">
                <c:v>7.1973547718989597</c:v>
              </c:pt>
              <c:pt idx="261">
                <c:v>7.2614655958231902</c:v>
              </c:pt>
              <c:pt idx="262">
                <c:v>7.2579615863181699</c:v>
              </c:pt>
              <c:pt idx="263">
                <c:v>7.2171426738316002</c:v>
              </c:pt>
              <c:pt idx="264">
                <c:v>7.1124222649376501</c:v>
              </c:pt>
              <c:pt idx="265">
                <c:v>7.07554381379689</c:v>
              </c:pt>
              <c:pt idx="266">
                <c:v>7.0185800496916899</c:v>
              </c:pt>
              <c:pt idx="267">
                <c:v>7.0310423032131402</c:v>
              </c:pt>
              <c:pt idx="268">
                <c:v>7.00625989130703</c:v>
              </c:pt>
              <c:pt idx="269">
                <c:v>7.0027600609229497</c:v>
              </c:pt>
              <c:pt idx="270">
                <c:v>6.9354409601764599</c:v>
              </c:pt>
              <c:pt idx="271">
                <c:v>6.9408956400201598</c:v>
              </c:pt>
              <c:pt idx="272">
                <c:v>6.9586675486621701</c:v>
              </c:pt>
              <c:pt idx="273">
                <c:v>6.9285812519315604</c:v>
              </c:pt>
              <c:pt idx="274">
                <c:v>6.9250826940231001</c:v>
              </c:pt>
              <c:pt idx="275">
                <c:v>6.8765278930020202</c:v>
              </c:pt>
              <c:pt idx="276">
                <c:v>6.8863090319295699</c:v>
              </c:pt>
              <c:pt idx="277">
                <c:v>6.89219030076005</c:v>
              </c:pt>
              <c:pt idx="278">
                <c:v>6.92207336834438</c:v>
              </c:pt>
              <c:pt idx="279">
                <c:v>6.9173075017530801</c:v>
              </c:pt>
              <c:pt idx="280">
                <c:v>6.89531291115504</c:v>
              </c:pt>
              <c:pt idx="281">
                <c:v>6.8943620682953703</c:v>
              </c:pt>
              <c:pt idx="282">
                <c:v>6.9001727583049499</c:v>
              </c:pt>
              <c:pt idx="283">
                <c:v>6.8622227388545998</c:v>
              </c:pt>
              <c:pt idx="284">
                <c:v>6.8520666644661601</c:v>
              </c:pt>
              <c:pt idx="285">
                <c:v>6.9257245534627403</c:v>
              </c:pt>
              <c:pt idx="286">
                <c:v>6.9553666811579902</c:v>
              </c:pt>
              <c:pt idx="287">
                <c:v>6.9664286985995796</c:v>
              </c:pt>
              <c:pt idx="288">
                <c:v>6.8581669316904597</c:v>
              </c:pt>
              <c:pt idx="289">
                <c:v>6.8627263179549001</c:v>
              </c:pt>
              <c:pt idx="290">
                <c:v>6.7769815320064497</c:v>
              </c:pt>
              <c:pt idx="291">
                <c:v>6.7163276203953597</c:v>
              </c:pt>
              <c:pt idx="292">
                <c:v>6.7007755166248204</c:v>
              </c:pt>
              <c:pt idx="293">
                <c:v>6.7360491247217897</c:v>
              </c:pt>
              <c:pt idx="294">
                <c:v>6.7352950954153501</c:v>
              </c:pt>
              <c:pt idx="295">
                <c:v>6.7398490346912299</c:v>
              </c:pt>
              <c:pt idx="296">
                <c:v>6.7737953477917898</c:v>
              </c:pt>
              <c:pt idx="297">
                <c:v>6.7380600445540804</c:v>
              </c:pt>
              <c:pt idx="298">
                <c:v>6.7660251032525904</c:v>
              </c:pt>
              <c:pt idx="299">
                <c:v>6.7462168874610002</c:v>
              </c:pt>
              <c:pt idx="300">
                <c:v>6.7741824898934304</c:v>
              </c:pt>
              <c:pt idx="301">
                <c:v>6.9049159739790902</c:v>
              </c:pt>
              <c:pt idx="302">
                <c:v>6.9339356144269004</c:v>
              </c:pt>
              <c:pt idx="303">
                <c:v>6.9343532527323504</c:v>
              </c:pt>
              <c:pt idx="304">
                <c:v>7.02186688996838</c:v>
              </c:pt>
              <c:pt idx="305">
                <c:v>7.0392488292455804</c:v>
              </c:pt>
              <c:pt idx="306">
                <c:v>7.0914061925362502</c:v>
              </c:pt>
              <c:pt idx="307">
                <c:v>7.0662165926433902</c:v>
              </c:pt>
              <c:pt idx="308">
                <c:v>7.0889248150592099</c:v>
              </c:pt>
              <c:pt idx="309">
                <c:v>7.0903456532511999</c:v>
              </c:pt>
              <c:pt idx="310">
                <c:v>7.1343519561352799</c:v>
              </c:pt>
              <c:pt idx="311">
                <c:v>7.2025194138826398</c:v>
              </c:pt>
              <c:pt idx="312">
                <c:v>7.2252490335734398</c:v>
              </c:pt>
              <c:pt idx="313">
                <c:v>7.21158162703128</c:v>
              </c:pt>
              <c:pt idx="314">
                <c:v>7.1490873168326399</c:v>
              </c:pt>
              <c:pt idx="315">
                <c:v>7.1141190339343696</c:v>
              </c:pt>
              <c:pt idx="316">
                <c:v>7.1032286174215402</c:v>
              </c:pt>
              <c:pt idx="317">
                <c:v>7.1152698376426802</c:v>
              </c:pt>
              <c:pt idx="318">
                <c:v>7.0919550054609397</c:v>
              </c:pt>
              <c:pt idx="319">
                <c:v>7.0677988326869103</c:v>
              </c:pt>
              <c:pt idx="320">
                <c:v>7.0808793192997497</c:v>
              </c:pt>
              <c:pt idx="321">
                <c:v>7.2106290311869197</c:v>
              </c:pt>
              <c:pt idx="322">
                <c:v>7.1970961233605903</c:v>
              </c:pt>
              <c:pt idx="323">
                <c:v>7.11969218963291</c:v>
              </c:pt>
              <c:pt idx="324">
                <c:v>7.0734783362683498</c:v>
              </c:pt>
              <c:pt idx="325">
                <c:v>7.0918860730166298</c:v>
              </c:pt>
              <c:pt idx="326">
                <c:v>7.04530681001871</c:v>
              </c:pt>
              <c:pt idx="327">
                <c:v>7.0804087280402301</c:v>
              </c:pt>
              <c:pt idx="328">
                <c:v>7.0502216952086796</c:v>
              </c:pt>
              <c:pt idx="329">
                <c:v>7.0845882902582904</c:v>
              </c:pt>
              <c:pt idx="330">
                <c:v>7.1189650397781996</c:v>
              </c:pt>
              <c:pt idx="331">
                <c:v>7.0625094021295798</c:v>
              </c:pt>
              <c:pt idx="332">
                <c:v>7.0869205872171399</c:v>
              </c:pt>
              <c:pt idx="333">
                <c:v>7.0680973176152397</c:v>
              </c:pt>
              <c:pt idx="334">
                <c:v>7.0545947207244097</c:v>
              </c:pt>
              <c:pt idx="335">
                <c:v>7.0683359152678502</c:v>
              </c:pt>
              <c:pt idx="336">
                <c:v>7.0697108311010801</c:v>
              </c:pt>
              <c:pt idx="337">
                <c:v>7.0562089380381599</c:v>
              </c:pt>
              <c:pt idx="338">
                <c:v>7.0746104563677896</c:v>
              </c:pt>
              <c:pt idx="339">
                <c:v>7.1149004374909</c:v>
              </c:pt>
              <c:pt idx="340">
                <c:v>7.0590190692578298</c:v>
              </c:pt>
              <c:pt idx="341">
                <c:v>7.0030841634452798</c:v>
              </c:pt>
              <c:pt idx="342">
                <c:v>6.9998171012753696</c:v>
              </c:pt>
              <c:pt idx="343">
                <c:v>7.0231400030809104</c:v>
              </c:pt>
              <c:pt idx="344">
                <c:v>7.10077245152159</c:v>
              </c:pt>
              <c:pt idx="345">
                <c:v>7.1028546349356096</c:v>
              </c:pt>
              <c:pt idx="346">
                <c:v>7.1485342171876001</c:v>
              </c:pt>
              <c:pt idx="347">
                <c:v>7.1506497960981203</c:v>
              </c:pt>
              <c:pt idx="348">
                <c:v>7.1325078427697504</c:v>
              </c:pt>
              <c:pt idx="349">
                <c:v>7.2251415377501802</c:v>
              </c:pt>
              <c:pt idx="350">
                <c:v>7.2495808026198398</c:v>
              </c:pt>
              <c:pt idx="351">
                <c:v>7.2836582967865198</c:v>
              </c:pt>
              <c:pt idx="352">
                <c:v>7.2490037105513299</c:v>
              </c:pt>
              <c:pt idx="353">
                <c:v>7.2729586276931002</c:v>
              </c:pt>
              <c:pt idx="354">
                <c:v>7.2911455549266302</c:v>
              </c:pt>
              <c:pt idx="355">
                <c:v>7.2778093831824302</c:v>
              </c:pt>
              <c:pt idx="356">
                <c:v>7.2914655959141399</c:v>
              </c:pt>
              <c:pt idx="357">
                <c:v>7.3577023469750999</c:v>
              </c:pt>
              <c:pt idx="358">
                <c:v>7.3493098198621896</c:v>
              </c:pt>
              <c:pt idx="359">
                <c:v>7.3751977414972396</c:v>
              </c:pt>
              <c:pt idx="360">
                <c:v>7.3556212354450201</c:v>
              </c:pt>
              <c:pt idx="361">
                <c:v>7.3207381157951703</c:v>
              </c:pt>
              <c:pt idx="362">
                <c:v>7.2961864700498804</c:v>
              </c:pt>
              <c:pt idx="363">
                <c:v>7.3664579970848196</c:v>
              </c:pt>
              <c:pt idx="364">
                <c:v>7.3792228893790703</c:v>
              </c:pt>
              <c:pt idx="365">
                <c:v>7.3919886672957604</c:v>
              </c:pt>
              <c:pt idx="366">
                <c:v>7.4260926955755702</c:v>
              </c:pt>
              <c:pt idx="367">
                <c:v>7.44953317083759</c:v>
              </c:pt>
              <c:pt idx="368">
                <c:v>7.4878491481066103</c:v>
              </c:pt>
              <c:pt idx="369">
                <c:v>7.4686019341352798</c:v>
              </c:pt>
              <c:pt idx="370">
                <c:v>7.44402491086813</c:v>
              </c:pt>
              <c:pt idx="371">
                <c:v>7.4728011359544304</c:v>
              </c:pt>
              <c:pt idx="372">
                <c:v>7.49090956637066</c:v>
              </c:pt>
              <c:pt idx="373">
                <c:v>7.5503952581396998</c:v>
              </c:pt>
              <c:pt idx="374">
                <c:v>7.5578416431645099</c:v>
              </c:pt>
              <c:pt idx="375">
                <c:v>7.4638882163249098</c:v>
              </c:pt>
              <c:pt idx="376">
                <c:v>7.4553291869644296</c:v>
              </c:pt>
              <c:pt idx="377">
                <c:v>7.5598117235115696</c:v>
              </c:pt>
              <c:pt idx="378">
                <c:v>7.5991660644774397</c:v>
              </c:pt>
              <c:pt idx="379">
                <c:v>7.6281037705850299</c:v>
              </c:pt>
              <c:pt idx="380">
                <c:v>7.5865686416478599</c:v>
              </c:pt>
              <c:pt idx="381">
                <c:v>7.61979726984507</c:v>
              </c:pt>
              <c:pt idx="382">
                <c:v>7.5219122650484804</c:v>
              </c:pt>
              <c:pt idx="383">
                <c:v>7.4538045974705103</c:v>
              </c:pt>
              <c:pt idx="384">
                <c:v>7.4176446257960604</c:v>
              </c:pt>
              <c:pt idx="385">
                <c:v>7.4188720476650296</c:v>
              </c:pt>
              <c:pt idx="386">
                <c:v>7.3613894327279699</c:v>
              </c:pt>
              <c:pt idx="387">
                <c:v>7.3861786435111396</c:v>
              </c:pt>
              <c:pt idx="388">
                <c:v>7.4086824167489196</c:v>
              </c:pt>
              <c:pt idx="389">
                <c:v>7.3938568065811996</c:v>
              </c:pt>
              <c:pt idx="390">
                <c:v>7.3417122904648302</c:v>
              </c:pt>
              <c:pt idx="391">
                <c:v>7.3109591088657</c:v>
              </c:pt>
              <c:pt idx="392">
                <c:v>7.27200546694307</c:v>
              </c:pt>
              <c:pt idx="393">
                <c:v>7.2785589144155098</c:v>
              </c:pt>
              <c:pt idx="394">
                <c:v>7.2797425621012</c:v>
              </c:pt>
              <c:pt idx="395">
                <c:v>7.2703533344656597</c:v>
              </c:pt>
              <c:pt idx="396">
                <c:v>7.3142192817865901</c:v>
              </c:pt>
              <c:pt idx="397">
                <c:v>7.2165726745338796</c:v>
              </c:pt>
              <c:pt idx="398">
                <c:v>7.1432359595669404</c:v>
              </c:pt>
              <c:pt idx="399">
                <c:v>7.0965469567455504</c:v>
              </c:pt>
              <c:pt idx="400">
                <c:v>7.0704993344940004</c:v>
              </c:pt>
              <c:pt idx="401">
                <c:v>7.0816965734346899</c:v>
              </c:pt>
              <c:pt idx="402">
                <c:v>7.0089011018115404</c:v>
              </c:pt>
              <c:pt idx="403">
                <c:v>7.0412312384947597</c:v>
              </c:pt>
              <c:pt idx="404">
                <c:v>7.0630572681152701</c:v>
              </c:pt>
              <c:pt idx="405">
                <c:v>7.0529676785913802</c:v>
              </c:pt>
              <c:pt idx="406">
                <c:v>7.0799619054065603</c:v>
              </c:pt>
              <c:pt idx="407">
                <c:v>7.1507782727769298</c:v>
              </c:pt>
              <c:pt idx="408">
                <c:v>7.0980942197819799</c:v>
              </c:pt>
              <c:pt idx="409">
                <c:v>7.0292915707859303</c:v>
              </c:pt>
              <c:pt idx="410">
                <c:v>7.1257891772334503</c:v>
              </c:pt>
              <c:pt idx="411">
                <c:v>7.1953450517564699</c:v>
              </c:pt>
              <c:pt idx="412">
                <c:v>7.1916258984177501</c:v>
              </c:pt>
              <c:pt idx="413">
                <c:v>7.2187941629763097</c:v>
              </c:pt>
              <c:pt idx="414">
                <c:v>7.2246571616667996</c:v>
              </c:pt>
              <c:pt idx="415">
                <c:v>7.2198655017630999</c:v>
              </c:pt>
              <c:pt idx="416">
                <c:v>7.2681036755523101</c:v>
              </c:pt>
              <c:pt idx="417">
                <c:v>7.2752939078536896</c:v>
              </c:pt>
              <c:pt idx="418">
                <c:v>7.25423102827056</c:v>
              </c:pt>
              <c:pt idx="419">
                <c:v>7.2654179632534799</c:v>
              </c:pt>
              <c:pt idx="420">
                <c:v>7.2872663274711904</c:v>
              </c:pt>
              <c:pt idx="421">
                <c:v>7.3197824804226004</c:v>
              </c:pt>
              <c:pt idx="422">
                <c:v>7.3308999697125001</c:v>
              </c:pt>
              <c:pt idx="423">
                <c:v>7.3281957033587402</c:v>
              </c:pt>
              <c:pt idx="424">
                <c:v>7.3038258034420904</c:v>
              </c:pt>
              <c:pt idx="425">
                <c:v>7.3174549344604802</c:v>
              </c:pt>
              <c:pt idx="426">
                <c:v>7.3142191737111801</c:v>
              </c:pt>
              <c:pt idx="427">
                <c:v>7.3008439976910404</c:v>
              </c:pt>
              <c:pt idx="428">
                <c:v>7.3354614782913199</c:v>
              </c:pt>
              <c:pt idx="429">
                <c:v>7.3536849744769901</c:v>
              </c:pt>
              <c:pt idx="430">
                <c:v>7.3619555484898003</c:v>
              </c:pt>
              <c:pt idx="431">
                <c:v>7.35390893462489</c:v>
              </c:pt>
              <c:pt idx="432">
                <c:v>7.34586275388018</c:v>
              </c:pt>
              <c:pt idx="433">
                <c:v>7.30048462008586</c:v>
              </c:pt>
              <c:pt idx="434">
                <c:v>7.3515593620711499</c:v>
              </c:pt>
              <c:pt idx="435">
                <c:v>7.3114426633500198</c:v>
              </c:pt>
              <c:pt idx="436">
                <c:v>7.2127868819994401</c:v>
              </c:pt>
              <c:pt idx="437">
                <c:v>7.2553454241175404</c:v>
              </c:pt>
              <c:pt idx="438">
                <c:v>7.2638028733042104</c:v>
              </c:pt>
              <c:pt idx="439">
                <c:v>7.2343927299109998</c:v>
              </c:pt>
              <c:pt idx="440">
                <c:v>7.1691036427874204</c:v>
              </c:pt>
              <c:pt idx="441">
                <c:v>7.1794603815176004</c:v>
              </c:pt>
              <c:pt idx="442">
                <c:v>7.1733094642665298</c:v>
              </c:pt>
              <c:pt idx="443">
                <c:v>7.2044509070808598</c:v>
              </c:pt>
              <c:pt idx="444">
                <c:v>7.2073070873331702</c:v>
              </c:pt>
              <c:pt idx="445">
                <c:v>7.2171405756807703</c:v>
              </c:pt>
              <c:pt idx="446">
                <c:v>7.1950024077541501</c:v>
              </c:pt>
              <c:pt idx="447">
                <c:v>7.2794593010610003</c:v>
              </c:pt>
              <c:pt idx="448">
                <c:v>7.2247290520332896</c:v>
              </c:pt>
              <c:pt idx="449">
                <c:v>7.2328948392126602</c:v>
              </c:pt>
              <c:pt idx="450">
                <c:v>7.2540113276297298</c:v>
              </c:pt>
              <c:pt idx="451">
                <c:v>7.2425256119108097</c:v>
              </c:pt>
              <c:pt idx="452">
                <c:v>7.2683568219644901</c:v>
              </c:pt>
              <c:pt idx="453">
                <c:v>7.2941943727264</c:v>
              </c:pt>
              <c:pt idx="454">
                <c:v>7.32905826451971</c:v>
              </c:pt>
              <c:pt idx="455">
                <c:v>7.3129060647734603</c:v>
              </c:pt>
              <c:pt idx="456">
                <c:v>7.3434145717815102</c:v>
              </c:pt>
              <c:pt idx="457">
                <c:v>7.3486154459417001</c:v>
              </c:pt>
              <c:pt idx="458">
                <c:v>7.3157877363172696</c:v>
              </c:pt>
              <c:pt idx="459">
                <c:v>7.3346740380682496</c:v>
              </c:pt>
              <c:pt idx="460">
                <c:v>7.3658723561458102</c:v>
              </c:pt>
              <c:pt idx="461">
                <c:v>7.3650546702154003</c:v>
              </c:pt>
              <c:pt idx="462">
                <c:v>7.3589003933782502</c:v>
              </c:pt>
              <c:pt idx="463">
                <c:v>7.3930274467659096</c:v>
              </c:pt>
              <c:pt idx="464">
                <c:v>7.4580698623553801</c:v>
              </c:pt>
              <c:pt idx="465">
                <c:v>7.4662888828746397</c:v>
              </c:pt>
              <c:pt idx="466">
                <c:v>7.5042262998175699</c:v>
              </c:pt>
              <c:pt idx="467">
                <c:v>7.5322481323785802</c:v>
              </c:pt>
              <c:pt idx="468">
                <c:v>7.6757528165659199</c:v>
              </c:pt>
              <c:pt idx="469">
                <c:v>7.6780094770302103</c:v>
              </c:pt>
              <c:pt idx="470">
                <c:v>7.7505150490752701</c:v>
              </c:pt>
              <c:pt idx="471">
                <c:v>7.6945928003714403</c:v>
              </c:pt>
              <c:pt idx="472">
                <c:v>7.7448722343338199</c:v>
              </c:pt>
              <c:pt idx="473">
                <c:v>7.7405140250530202</c:v>
              </c:pt>
              <c:pt idx="474">
                <c:v>7.7372781488631999</c:v>
              </c:pt>
              <c:pt idx="475">
                <c:v>7.7072898231184599</c:v>
              </c:pt>
              <c:pt idx="476">
                <c:v>7.7798668837365703</c:v>
              </c:pt>
              <c:pt idx="477">
                <c:v>7.7873431590036004</c:v>
              </c:pt>
              <c:pt idx="478">
                <c:v>7.7981477746195802</c:v>
              </c:pt>
              <c:pt idx="479">
                <c:v>7.7949107757201004</c:v>
              </c:pt>
              <c:pt idx="480">
                <c:v>7.7595621542399904</c:v>
              </c:pt>
              <c:pt idx="481">
                <c:v>7.8044971044465097</c:v>
              </c:pt>
              <c:pt idx="482">
                <c:v>7.8333830855004098</c:v>
              </c:pt>
              <c:pt idx="483">
                <c:v>7.8035183433017696</c:v>
              </c:pt>
              <c:pt idx="484">
                <c:v>7.7571344009096803</c:v>
              </c:pt>
              <c:pt idx="485">
                <c:v>7.8036621708977201</c:v>
              </c:pt>
              <c:pt idx="486">
                <c:v>7.8599377587203403</c:v>
              </c:pt>
              <c:pt idx="487">
                <c:v>7.9001682327034999</c:v>
              </c:pt>
              <c:pt idx="488">
                <c:v>8.0058617910605498</c:v>
              </c:pt>
              <c:pt idx="489">
                <c:v>7.9925358910142501</c:v>
              </c:pt>
              <c:pt idx="490">
                <c:v>7.8828146687245102</c:v>
              </c:pt>
              <c:pt idx="491">
                <c:v>7.9498267607114101</c:v>
              </c:pt>
              <c:pt idx="492">
                <c:v>7.99008053230739</c:v>
              </c:pt>
              <c:pt idx="493">
                <c:v>7.9769207071105601</c:v>
              </c:pt>
              <c:pt idx="494">
                <c:v>7.9850342772187703</c:v>
              </c:pt>
              <c:pt idx="495">
                <c:v>7.9770806128637703</c:v>
              </c:pt>
              <c:pt idx="496">
                <c:v>7.9809274252030002</c:v>
              </c:pt>
              <c:pt idx="497">
                <c:v>7.9890490939425396</c:v>
              </c:pt>
              <c:pt idx="498">
                <c:v>7.9641106994353903</c:v>
              </c:pt>
              <c:pt idx="499">
                <c:v>7.9936416752082202</c:v>
              </c:pt>
              <c:pt idx="500">
                <c:v>8.0316282401144505</c:v>
              </c:pt>
              <c:pt idx="501">
                <c:v>8.0569381768765993</c:v>
              </c:pt>
              <c:pt idx="502">
                <c:v>7.8884153150185199</c:v>
              </c:pt>
              <c:pt idx="503">
                <c:v>7.9490241348561899</c:v>
              </c:pt>
              <c:pt idx="504">
                <c:v>8.0171689573127498</c:v>
              </c:pt>
              <c:pt idx="505">
                <c:v>7.8954176981712401</c:v>
              </c:pt>
              <c:pt idx="506">
                <c:v>7.92880909714306</c:v>
              </c:pt>
              <c:pt idx="507">
                <c:v>7.9354615055001299</c:v>
              </c:pt>
              <c:pt idx="508">
                <c:v>7.8965866829246298</c:v>
              </c:pt>
              <c:pt idx="509">
                <c:v>7.9513744327825497</c:v>
              </c:pt>
              <c:pt idx="510">
                <c:v>8.0061890765025208</c:v>
              </c:pt>
              <c:pt idx="511">
                <c:v>8.0515572091277399</c:v>
              </c:pt>
              <c:pt idx="512">
                <c:v>7.9190843273800198</c:v>
              </c:pt>
              <c:pt idx="513">
                <c:v>8.0139726349252705</c:v>
              </c:pt>
              <c:pt idx="514">
                <c:v>7.9712000564730303</c:v>
              </c:pt>
              <c:pt idx="515">
                <c:v>7.8988985904721298</c:v>
              </c:pt>
              <c:pt idx="516">
                <c:v>7.8788231257391796</c:v>
              </c:pt>
              <c:pt idx="517">
                <c:v>7.7892900485650998</c:v>
              </c:pt>
              <c:pt idx="518">
                <c:v>7.8800297578401501</c:v>
              </c:pt>
              <c:pt idx="519">
                <c:v>7.8332446798864002</c:v>
              </c:pt>
              <c:pt idx="520">
                <c:v>7.8773184668024898</c:v>
              </c:pt>
              <c:pt idx="521">
                <c:v>7.9468180360291001</c:v>
              </c:pt>
              <c:pt idx="522">
                <c:v>7.95882728270323</c:v>
              </c:pt>
              <c:pt idx="523">
                <c:v>8.0216217303986603</c:v>
              </c:pt>
              <c:pt idx="524">
                <c:v>7.9373246939975104</c:v>
              </c:pt>
              <c:pt idx="525">
                <c:v>7.8730977600351304</c:v>
              </c:pt>
              <c:pt idx="526">
                <c:v>7.9225187758578102</c:v>
              </c:pt>
              <c:pt idx="527">
                <c:v>7.9398662936366797</c:v>
              </c:pt>
              <c:pt idx="528">
                <c:v>9.5778105284080493</c:v>
              </c:pt>
              <c:pt idx="529">
                <c:v>9.4541319053833597</c:v>
              </c:pt>
              <c:pt idx="530">
                <c:v>9.4923059335178408</c:v>
              </c:pt>
              <c:pt idx="531">
                <c:v>9.6285383078347895</c:v>
              </c:pt>
              <c:pt idx="532">
                <c:v>9.58035443150502</c:v>
              </c:pt>
              <c:pt idx="533">
                <c:v>9.5830031237041293</c:v>
              </c:pt>
              <c:pt idx="534">
                <c:v>9.49261591284254</c:v>
              </c:pt>
              <c:pt idx="535">
                <c:v>9.3981546337462305</c:v>
              </c:pt>
              <c:pt idx="536">
                <c:v>9.3508863797381494</c:v>
              </c:pt>
              <c:pt idx="537">
                <c:v>9.3566944472872393</c:v>
              </c:pt>
              <c:pt idx="538">
                <c:v>9.4002505860971493</c:v>
              </c:pt>
              <c:pt idx="539">
                <c:v>9.4654133759234806</c:v>
              </c:pt>
              <c:pt idx="540">
                <c:v>9.4420950077872803</c:v>
              </c:pt>
              <c:pt idx="541">
                <c:v>9.3732550350712902</c:v>
              </c:pt>
              <c:pt idx="542">
                <c:v>9.4718001746372504</c:v>
              </c:pt>
              <c:pt idx="543">
                <c:v>9.3987798530940303</c:v>
              </c:pt>
              <c:pt idx="544">
                <c:v>9.5254602012561804</c:v>
              </c:pt>
              <c:pt idx="545">
                <c:v>9.5895188000848304</c:v>
              </c:pt>
              <c:pt idx="546">
                <c:v>9.4826365517107494</c:v>
              </c:pt>
              <c:pt idx="547">
                <c:v>9.5187545104844293</c:v>
              </c:pt>
              <c:pt idx="548">
                <c:v>9.5287034375924904</c:v>
              </c:pt>
              <c:pt idx="549">
                <c:v>9.6114381448260602</c:v>
              </c:pt>
              <c:pt idx="550">
                <c:v>9.5340994728970507</c:v>
              </c:pt>
              <c:pt idx="551">
                <c:v>9.4953552498093305</c:v>
              </c:pt>
              <c:pt idx="552">
                <c:v>9.3846560659402591</c:v>
              </c:pt>
              <c:pt idx="553">
                <c:v>9.3222137161805598</c:v>
              </c:pt>
              <c:pt idx="554">
                <c:v>9.29531796677154</c:v>
              </c:pt>
              <c:pt idx="555">
                <c:v>9.3086553342049996</c:v>
              </c:pt>
              <c:pt idx="556">
                <c:v>9.2427977242525401</c:v>
              </c:pt>
              <c:pt idx="557">
                <c:v>9.18461650965099</c:v>
              </c:pt>
              <c:pt idx="558">
                <c:v>9.1830893639299997</c:v>
              </c:pt>
              <c:pt idx="559">
                <c:v>9.1303475809482393</c:v>
              </c:pt>
              <c:pt idx="560">
                <c:v>9.11141004573701</c:v>
              </c:pt>
              <c:pt idx="561">
                <c:v>9.1700964848879405</c:v>
              </c:pt>
              <c:pt idx="562">
                <c:v>9.1189089261211294</c:v>
              </c:pt>
              <c:pt idx="563">
                <c:v>9.0851321813399899</c:v>
              </c:pt>
              <c:pt idx="564">
                <c:v>9.0930778954926694</c:v>
              </c:pt>
              <c:pt idx="565">
                <c:v>9.1332743457168206</c:v>
              </c:pt>
              <c:pt idx="566">
                <c:v>9.0122705404597401</c:v>
              </c:pt>
              <c:pt idx="567">
                <c:v>9.0807527358507194</c:v>
              </c:pt>
              <c:pt idx="568">
                <c:v>9.0830739129368094</c:v>
              </c:pt>
              <c:pt idx="569">
                <c:v>9.0426619645861592</c:v>
              </c:pt>
              <c:pt idx="570">
                <c:v>9.0076349711437391</c:v>
              </c:pt>
              <c:pt idx="571">
                <c:v>9.0599437310237008</c:v>
              </c:pt>
              <c:pt idx="572">
                <c:v>9.0517580258434993</c:v>
              </c:pt>
              <c:pt idx="573">
                <c:v>9.0510396777610893</c:v>
              </c:pt>
              <c:pt idx="574">
                <c:v>9.0344708965139695</c:v>
              </c:pt>
              <c:pt idx="575">
                <c:v>9.0554921535492792</c:v>
              </c:pt>
              <c:pt idx="576">
                <c:v>9.1584615925411903</c:v>
              </c:pt>
              <c:pt idx="577">
                <c:v>9.0237267292447392</c:v>
              </c:pt>
              <c:pt idx="578">
                <c:v>9.2479548294113396</c:v>
              </c:pt>
              <c:pt idx="579">
                <c:v>9.1091160129313398</c:v>
              </c:pt>
              <c:pt idx="580">
                <c:v>9.1502941059843401</c:v>
              </c:pt>
              <c:pt idx="581">
                <c:v>9.1981798056978601</c:v>
              </c:pt>
              <c:pt idx="582">
                <c:v>9.2353306781653792</c:v>
              </c:pt>
              <c:pt idx="583">
                <c:v>9.1441781738910599</c:v>
              </c:pt>
              <c:pt idx="584">
                <c:v>9.0645424190175294</c:v>
              </c:pt>
              <c:pt idx="585">
                <c:v>9.2210279461571591</c:v>
              </c:pt>
              <c:pt idx="586">
                <c:v>9.2006918079639703</c:v>
              </c:pt>
              <c:pt idx="587">
                <c:v>9.2605996750634691</c:v>
              </c:pt>
              <c:pt idx="588">
                <c:v>9.5981553891527795</c:v>
              </c:pt>
              <c:pt idx="589">
                <c:v>9.5558466433666798</c:v>
              </c:pt>
              <c:pt idx="590">
                <c:v>9.5177104177266596</c:v>
              </c:pt>
              <c:pt idx="591">
                <c:v>9.5495503059607607</c:v>
              </c:pt>
              <c:pt idx="592">
                <c:v>9.4552252023414791</c:v>
              </c:pt>
              <c:pt idx="593">
                <c:v>9.5603368466334899</c:v>
              </c:pt>
              <c:pt idx="594">
                <c:v>9.3007651583753894</c:v>
              </c:pt>
              <c:pt idx="595">
                <c:v>9.4148795818726594</c:v>
              </c:pt>
              <c:pt idx="596">
                <c:v>9.4216064067298895</c:v>
              </c:pt>
              <c:pt idx="597">
                <c:v>9.4272046223403905</c:v>
              </c:pt>
              <c:pt idx="598">
                <c:v>9.4916864948188895</c:v>
              </c:pt>
              <c:pt idx="599">
                <c:v>9.5013807088773596</c:v>
              </c:pt>
              <c:pt idx="600">
                <c:v>9.4578136740446794</c:v>
              </c:pt>
              <c:pt idx="601">
                <c:v>9.7061664189215495</c:v>
              </c:pt>
              <c:pt idx="602">
                <c:v>9.8246191038620303</c:v>
              </c:pt>
              <c:pt idx="603">
                <c:v>10.512218333880201</c:v>
              </c:pt>
              <c:pt idx="604">
                <c:v>10.5007057696664</c:v>
              </c:pt>
              <c:pt idx="605">
                <c:v>10.4784203306646</c:v>
              </c:pt>
              <c:pt idx="606">
                <c:v>10.4335800061941</c:v>
              </c:pt>
              <c:pt idx="607">
                <c:v>10.6272180449029</c:v>
              </c:pt>
              <c:pt idx="608">
                <c:v>10.7851268359668</c:v>
              </c:pt>
              <c:pt idx="609">
                <c:v>10.7401776594285</c:v>
              </c:pt>
              <c:pt idx="610">
                <c:v>10.7936791869563</c:v>
              </c:pt>
              <c:pt idx="611">
                <c:v>10.8330707103799</c:v>
              </c:pt>
              <c:pt idx="612">
                <c:v>10.741679939734601</c:v>
              </c:pt>
              <c:pt idx="613">
                <c:v>11.153794416215399</c:v>
              </c:pt>
              <c:pt idx="614">
                <c:v>11.4672439504387</c:v>
              </c:pt>
              <c:pt idx="615">
                <c:v>11.466331588988201</c:v>
              </c:pt>
              <c:pt idx="616">
                <c:v>11.5762338077239</c:v>
              </c:pt>
              <c:pt idx="617">
                <c:v>11.600435627556401</c:v>
              </c:pt>
              <c:pt idx="618">
                <c:v>12.1490338439112</c:v>
              </c:pt>
              <c:pt idx="619">
                <c:v>12.097834543349</c:v>
              </c:pt>
              <c:pt idx="620">
                <c:v>12.276827503819201</c:v>
              </c:pt>
              <c:pt idx="621">
                <c:v>12.1687154379775</c:v>
              </c:pt>
              <c:pt idx="622">
                <c:v>12.3177767061601</c:v>
              </c:pt>
              <c:pt idx="623">
                <c:v>12.633243770690999</c:v>
              </c:pt>
              <c:pt idx="624">
                <c:v>12.578559308847</c:v>
              </c:pt>
              <c:pt idx="625">
                <c:v>12.7243165800166</c:v>
              </c:pt>
              <c:pt idx="626">
                <c:v>12.642513801289899</c:v>
              </c:pt>
              <c:pt idx="627">
                <c:v>12.876262096898101</c:v>
              </c:pt>
              <c:pt idx="628">
                <c:v>13.114446123129101</c:v>
              </c:pt>
              <c:pt idx="629">
                <c:v>13.200215019764199</c:v>
              </c:pt>
              <c:pt idx="630">
                <c:v>13.186624884995201</c:v>
              </c:pt>
              <c:pt idx="631">
                <c:v>13.2036695161102</c:v>
              </c:pt>
              <c:pt idx="632">
                <c:v>13.160046425938001</c:v>
              </c:pt>
              <c:pt idx="633">
                <c:v>13.448491202882201</c:v>
              </c:pt>
              <c:pt idx="634">
                <c:v>13.634560727010999</c:v>
              </c:pt>
              <c:pt idx="635">
                <c:v>13.673459453211599</c:v>
              </c:pt>
              <c:pt idx="636">
                <c:v>13.805105061907099</c:v>
              </c:pt>
              <c:pt idx="637">
                <c:v>13.8377878663398</c:v>
              </c:pt>
              <c:pt idx="638">
                <c:v>14.0372228578714</c:v>
              </c:pt>
              <c:pt idx="639">
                <c:v>13.8889836662969</c:v>
              </c:pt>
              <c:pt idx="640">
                <c:v>13.9410884349328</c:v>
              </c:pt>
              <c:pt idx="641">
                <c:v>13.901255713034301</c:v>
              </c:pt>
              <c:pt idx="642">
                <c:v>13.9813312776795</c:v>
              </c:pt>
              <c:pt idx="643">
                <c:v>14.1540694711335</c:v>
              </c:pt>
              <c:pt idx="644">
                <c:v>14.2273619299737</c:v>
              </c:pt>
              <c:pt idx="645">
                <c:v>14.440713506915399</c:v>
              </c:pt>
              <c:pt idx="646">
                <c:v>14.2907935194982</c:v>
              </c:pt>
              <c:pt idx="647">
                <c:v>14.353263154762001</c:v>
              </c:pt>
              <c:pt idx="648">
                <c:v>14.640598162572299</c:v>
              </c:pt>
              <c:pt idx="649">
                <c:v>14.5246793257348</c:v>
              </c:pt>
              <c:pt idx="650">
                <c:v>14.4464903611944</c:v>
              </c:pt>
              <c:pt idx="651">
                <c:v>14.3927126017606</c:v>
              </c:pt>
              <c:pt idx="652">
                <c:v>14.429161259526801</c:v>
              </c:pt>
              <c:pt idx="653">
                <c:v>14.7053682129543</c:v>
              </c:pt>
              <c:pt idx="654">
                <c:v>14.7254344428151</c:v>
              </c:pt>
              <c:pt idx="655">
                <c:v>14.766769236470401</c:v>
              </c:pt>
              <c:pt idx="656">
                <c:v>14.897566707163501</c:v>
              </c:pt>
              <c:pt idx="657">
                <c:v>14.9985364671896</c:v>
              </c:pt>
              <c:pt idx="658">
                <c:v>15.017513380818</c:v>
              </c:pt>
              <c:pt idx="659">
                <c:v>14.8298197061435</c:v>
              </c:pt>
              <c:pt idx="660">
                <c:v>14.925345283415901</c:v>
              </c:pt>
              <c:pt idx="661">
                <c:v>14.8909298985148</c:v>
              </c:pt>
              <c:pt idx="662">
                <c:v>14.7649660994285</c:v>
              </c:pt>
              <c:pt idx="663">
                <c:v>14.5670683611343</c:v>
              </c:pt>
              <c:pt idx="664">
                <c:v>14.4676330300004</c:v>
              </c:pt>
              <c:pt idx="665">
                <c:v>14.207314298578099</c:v>
              </c:pt>
              <c:pt idx="666">
                <c:v>13.977769405412699</c:v>
              </c:pt>
              <c:pt idx="667">
                <c:v>13.9384706547253</c:v>
              </c:pt>
              <c:pt idx="668">
                <c:v>13.719275091076399</c:v>
              </c:pt>
              <c:pt idx="669">
                <c:v>13.7669982051349</c:v>
              </c:pt>
              <c:pt idx="670">
                <c:v>13.6166555370502</c:v>
              </c:pt>
              <c:pt idx="671">
                <c:v>13.479616038476999</c:v>
              </c:pt>
              <c:pt idx="672">
                <c:v>13.494376398469599</c:v>
              </c:pt>
              <c:pt idx="673">
                <c:v>13.5305703696585</c:v>
              </c:pt>
              <c:pt idx="674">
                <c:v>13.3602345237605</c:v>
              </c:pt>
              <c:pt idx="675">
                <c:v>13.147831569403699</c:v>
              </c:pt>
              <c:pt idx="676">
                <c:v>12.9246696060139</c:v>
              </c:pt>
              <c:pt idx="677">
                <c:v>12.862353097161799</c:v>
              </c:pt>
              <c:pt idx="678">
                <c:v>12.815753857617199</c:v>
              </c:pt>
              <c:pt idx="679">
                <c:v>12.5876726725413</c:v>
              </c:pt>
              <c:pt idx="680">
                <c:v>12.6456594286813</c:v>
              </c:pt>
              <c:pt idx="681">
                <c:v>12.670633773483701</c:v>
              </c:pt>
              <c:pt idx="682">
                <c:v>12.668550362764501</c:v>
              </c:pt>
              <c:pt idx="683">
                <c:v>12.672987686170501</c:v>
              </c:pt>
              <c:pt idx="684">
                <c:v>12.3588813055048</c:v>
              </c:pt>
              <c:pt idx="685">
                <c:v>12.269962800940201</c:v>
              </c:pt>
              <c:pt idx="686">
                <c:v>12.1056246461109</c:v>
              </c:pt>
              <c:pt idx="687">
                <c:v>11.9632823381165</c:v>
              </c:pt>
              <c:pt idx="688">
                <c:v>11.9456563463919</c:v>
              </c:pt>
              <c:pt idx="689">
                <c:v>11.8859449998366</c:v>
              </c:pt>
              <c:pt idx="690">
                <c:v>11.684314027699701</c:v>
              </c:pt>
              <c:pt idx="691">
                <c:v>11.413269285376501</c:v>
              </c:pt>
              <c:pt idx="692">
                <c:v>11.497588767422499</c:v>
              </c:pt>
              <c:pt idx="693">
                <c:v>11.361333719805399</c:v>
              </c:pt>
              <c:pt idx="694">
                <c:v>11.134936824288101</c:v>
              </c:pt>
              <c:pt idx="695">
                <c:v>11.030841679147899</c:v>
              </c:pt>
              <c:pt idx="696">
                <c:v>11.1150381322729</c:v>
              </c:pt>
              <c:pt idx="697">
                <c:v>11.0269532699726</c:v>
              </c:pt>
              <c:pt idx="698">
                <c:v>11.116527829901401</c:v>
              </c:pt>
              <c:pt idx="699">
                <c:v>11.023213613665</c:v>
              </c:pt>
              <c:pt idx="700">
                <c:v>11.0637729259295</c:v>
              </c:pt>
              <c:pt idx="701">
                <c:v>11.1524622258757</c:v>
              </c:pt>
              <c:pt idx="702">
                <c:v>11.2520764437684</c:v>
              </c:pt>
              <c:pt idx="703">
                <c:v>11.1148222445795</c:v>
              </c:pt>
              <c:pt idx="704">
                <c:v>11.1069770333189</c:v>
              </c:pt>
              <c:pt idx="705">
                <c:v>11.2926832991044</c:v>
              </c:pt>
              <c:pt idx="706">
                <c:v>11.413962541843199</c:v>
              </c:pt>
              <c:pt idx="707">
                <c:v>11.3896986271212</c:v>
              </c:pt>
              <c:pt idx="708">
                <c:v>11.440950201816801</c:v>
              </c:pt>
              <c:pt idx="709">
                <c:v>11.589272128821699</c:v>
              </c:pt>
              <c:pt idx="710">
                <c:v>11.678288391935901</c:v>
              </c:pt>
              <c:pt idx="711">
                <c:v>11.734942595130301</c:v>
              </c:pt>
              <c:pt idx="712">
                <c:v>11.484076039268601</c:v>
              </c:pt>
              <c:pt idx="713">
                <c:v>11.6000867780629</c:v>
              </c:pt>
              <c:pt idx="714">
                <c:v>11.8673036753751</c:v>
              </c:pt>
              <c:pt idx="715">
                <c:v>11.9780198508588</c:v>
              </c:pt>
              <c:pt idx="716">
                <c:v>12.1159258559895</c:v>
              </c:pt>
              <c:pt idx="717">
                <c:v>12.2213064094333</c:v>
              </c:pt>
              <c:pt idx="718">
                <c:v>12.316051992180499</c:v>
              </c:pt>
              <c:pt idx="719">
                <c:v>12.3239782007727</c:v>
              </c:pt>
              <c:pt idx="720">
                <c:v>12.3103846299519</c:v>
              </c:pt>
              <c:pt idx="721">
                <c:v>12.2516288713721</c:v>
              </c:pt>
              <c:pt idx="722">
                <c:v>12.1928905525891</c:v>
              </c:pt>
              <c:pt idx="723">
                <c:v>12.2152186824958</c:v>
              </c:pt>
              <c:pt idx="724">
                <c:v>12.3048160346654</c:v>
              </c:pt>
              <c:pt idx="725">
                <c:v>12.262470012931299</c:v>
              </c:pt>
              <c:pt idx="726">
                <c:v>12.149396750765201</c:v>
              </c:pt>
              <c:pt idx="727">
                <c:v>12.1664957442631</c:v>
              </c:pt>
              <c:pt idx="728">
                <c:v>12.0353925716374</c:v>
              </c:pt>
              <c:pt idx="729">
                <c:v>11.9334009459808</c:v>
              </c:pt>
              <c:pt idx="730">
                <c:v>11.825849205367801</c:v>
              </c:pt>
              <c:pt idx="731">
                <c:v>11.794244038360301</c:v>
              </c:pt>
              <c:pt idx="732">
                <c:v>11.775142596826001</c:v>
              </c:pt>
              <c:pt idx="733">
                <c:v>11.489438262383199</c:v>
              </c:pt>
              <c:pt idx="734">
                <c:v>11.5493536893119</c:v>
              </c:pt>
              <c:pt idx="735">
                <c:v>11.544767035530899</c:v>
              </c:pt>
              <c:pt idx="736">
                <c:v>11.529385380525801</c:v>
              </c:pt>
              <c:pt idx="737">
                <c:v>11.375308586034601</c:v>
              </c:pt>
              <c:pt idx="738">
                <c:v>11.306298360070301</c:v>
              </c:pt>
              <c:pt idx="739">
                <c:v>11.4238784377036</c:v>
              </c:pt>
              <c:pt idx="740">
                <c:v>11.3823509175695</c:v>
              </c:pt>
              <c:pt idx="741">
                <c:v>11.447211468929201</c:v>
              </c:pt>
              <c:pt idx="742">
                <c:v>11.2946194732757</c:v>
              </c:pt>
              <c:pt idx="743">
                <c:v>11.368432196744401</c:v>
              </c:pt>
              <c:pt idx="744">
                <c:v>11.270094423256401</c:v>
              </c:pt>
              <c:pt idx="745">
                <c:v>11.3479269465371</c:v>
              </c:pt>
              <c:pt idx="746">
                <c:v>11.3623701812304</c:v>
              </c:pt>
              <c:pt idx="747">
                <c:v>11.146259552702</c:v>
              </c:pt>
              <c:pt idx="748">
                <c:v>11.1066732837925</c:v>
              </c:pt>
              <c:pt idx="749">
                <c:v>11.040095999399499</c:v>
              </c:pt>
              <c:pt idx="750">
                <c:v>10.9249737649378</c:v>
              </c:pt>
              <c:pt idx="751">
                <c:v>10.8638474094311</c:v>
              </c:pt>
              <c:pt idx="752">
                <c:v>10.686827483623899</c:v>
              </c:pt>
              <c:pt idx="753">
                <c:v>10.7767264750692</c:v>
              </c:pt>
              <c:pt idx="754">
                <c:v>10.8073705226542</c:v>
              </c:pt>
              <c:pt idx="755">
                <c:v>10.7939476313349</c:v>
              </c:pt>
              <c:pt idx="756">
                <c:v>10.8354339163535</c:v>
              </c:pt>
              <c:pt idx="757">
                <c:v>10.7449043963811</c:v>
              </c:pt>
              <c:pt idx="758">
                <c:v>10.639663832808701</c:v>
              </c:pt>
              <c:pt idx="759">
                <c:v>10.764207707995601</c:v>
              </c:pt>
              <c:pt idx="760">
                <c:v>10.6751199522568</c:v>
              </c:pt>
              <c:pt idx="761">
                <c:v>10.5266727561346</c:v>
              </c:pt>
              <c:pt idx="762">
                <c:v>10.4844189551398</c:v>
              </c:pt>
              <c:pt idx="763">
                <c:v>10.6020898783596</c:v>
              </c:pt>
              <c:pt idx="764">
                <c:v>10.594467467547201</c:v>
              </c:pt>
              <c:pt idx="765">
                <c:v>10.4960988016507</c:v>
              </c:pt>
              <c:pt idx="766">
                <c:v>10.6624599654688</c:v>
              </c:pt>
              <c:pt idx="767">
                <c:v>10.5547512196268</c:v>
              </c:pt>
              <c:pt idx="768">
                <c:v>10.580571309030701</c:v>
              </c:pt>
              <c:pt idx="769">
                <c:v>10.578170531201801</c:v>
              </c:pt>
              <c:pt idx="770">
                <c:v>10.4904857088566</c:v>
              </c:pt>
              <c:pt idx="771">
                <c:v>10.385859190675699</c:v>
              </c:pt>
              <c:pt idx="772">
                <c:v>10.2982479427163</c:v>
              </c:pt>
              <c:pt idx="773">
                <c:v>10.328076469526801</c:v>
              </c:pt>
              <c:pt idx="774">
                <c:v>10.415997829633801</c:v>
              </c:pt>
              <c:pt idx="775">
                <c:v>10.6959388832028</c:v>
              </c:pt>
              <c:pt idx="776">
                <c:v>10.491881718213399</c:v>
              </c:pt>
              <c:pt idx="777">
                <c:v>10.3285014816546</c:v>
              </c:pt>
              <c:pt idx="778">
                <c:v>10.348803747299399</c:v>
              </c:pt>
              <c:pt idx="779">
                <c:v>10.4109501677796</c:v>
              </c:pt>
              <c:pt idx="780">
                <c:v>10.305610541896201</c:v>
              </c:pt>
              <c:pt idx="781">
                <c:v>10.1196242458365</c:v>
              </c:pt>
              <c:pt idx="782">
                <c:v>10.134483359685801</c:v>
              </c:pt>
              <c:pt idx="783">
                <c:v>10.0847706905357</c:v>
              </c:pt>
              <c:pt idx="784">
                <c:v>9.9679610073714997</c:v>
              </c:pt>
              <c:pt idx="785">
                <c:v>9.9481771358790798</c:v>
              </c:pt>
              <c:pt idx="786">
                <c:v>9.8628660345402697</c:v>
              </c:pt>
              <c:pt idx="787">
                <c:v>9.8562214252507108</c:v>
              </c:pt>
              <c:pt idx="788">
                <c:v>9.6574180042797693</c:v>
              </c:pt>
              <c:pt idx="789">
                <c:v>9.5249090140993502</c:v>
              </c:pt>
              <c:pt idx="790">
                <c:v>9.5681341984811006</c:v>
              </c:pt>
              <c:pt idx="791">
                <c:v>9.4061707514608202</c:v>
              </c:pt>
              <c:pt idx="792">
                <c:v>9.4316164831037597</c:v>
              </c:pt>
              <c:pt idx="793">
                <c:v>9.5823171619191108</c:v>
              </c:pt>
              <c:pt idx="794">
                <c:v>9.5771994395361197</c:v>
              </c:pt>
              <c:pt idx="795">
                <c:v>9.5183124942298107</c:v>
              </c:pt>
              <c:pt idx="796">
                <c:v>9.6069173510723491</c:v>
              </c:pt>
              <c:pt idx="797">
                <c:v>9.4619617780610703</c:v>
              </c:pt>
              <c:pt idx="798">
                <c:v>9.4802619808140403</c:v>
              </c:pt>
              <c:pt idx="799">
                <c:v>9.4697698827462204</c:v>
              </c:pt>
              <c:pt idx="800">
                <c:v>9.5579135169167309</c:v>
              </c:pt>
              <c:pt idx="801">
                <c:v>9.4888337055059697</c:v>
              </c:pt>
              <c:pt idx="802">
                <c:v>9.4819237955418902</c:v>
              </c:pt>
              <c:pt idx="803">
                <c:v>9.2867372248109508</c:v>
              </c:pt>
              <c:pt idx="804">
                <c:v>9.3031189069949605</c:v>
              </c:pt>
              <c:pt idx="805">
                <c:v>9.2227652000888902</c:v>
              </c:pt>
              <c:pt idx="806">
                <c:v>9.2493292639761506</c:v>
              </c:pt>
              <c:pt idx="807">
                <c:v>9.2721243568458096</c:v>
              </c:pt>
              <c:pt idx="808">
                <c:v>9.2449683852051407</c:v>
              </c:pt>
              <c:pt idx="809">
                <c:v>9.3164818335142794</c:v>
              </c:pt>
              <c:pt idx="810">
                <c:v>9.2878255645115804</c:v>
              </c:pt>
              <c:pt idx="811">
                <c:v>9.3694289419984802</c:v>
              </c:pt>
              <c:pt idx="812">
                <c:v>9.3676925942286893</c:v>
              </c:pt>
              <c:pt idx="813">
                <c:v>9.1945831176725399</c:v>
              </c:pt>
              <c:pt idx="814">
                <c:v>9.3412704989297897</c:v>
              </c:pt>
              <c:pt idx="815">
                <c:v>9.2494106047780598</c:v>
              </c:pt>
              <c:pt idx="816">
                <c:v>9.0909380136405993</c:v>
              </c:pt>
              <c:pt idx="817">
                <c:v>9.1396428055765302</c:v>
              </c:pt>
              <c:pt idx="818">
                <c:v>9.0714647647102602</c:v>
              </c:pt>
              <c:pt idx="819">
                <c:v>9.1138340376119</c:v>
              </c:pt>
              <c:pt idx="820">
                <c:v>9.0628309209226803</c:v>
              </c:pt>
              <c:pt idx="821">
                <c:v>9.2072089322692694</c:v>
              </c:pt>
              <c:pt idx="822">
                <c:v>9.0402437846306594</c:v>
              </c:pt>
              <c:pt idx="823">
                <c:v>9.0043054370466393</c:v>
              </c:pt>
              <c:pt idx="824">
                <c:v>8.9330987438383396</c:v>
              </c:pt>
              <c:pt idx="825">
                <c:v>9.0619943673461201</c:v>
              </c:pt>
              <c:pt idx="826">
                <c:v>9.0528895324762004</c:v>
              </c:pt>
              <c:pt idx="827">
                <c:v>8.9927927870384394</c:v>
              </c:pt>
              <c:pt idx="828">
                <c:v>9.0399797656074394</c:v>
              </c:pt>
              <c:pt idx="829">
                <c:v>9.0259213860107295</c:v>
              </c:pt>
              <c:pt idx="830">
                <c:v>9.0923381537095107</c:v>
              </c:pt>
              <c:pt idx="831">
                <c:v>9.1613017572884896</c:v>
              </c:pt>
              <c:pt idx="832">
                <c:v>9.0912657206567697</c:v>
              </c:pt>
              <c:pt idx="833">
                <c:v>9.0475317193414302</c:v>
              </c:pt>
              <c:pt idx="834">
                <c:v>9.0760002493847498</c:v>
              </c:pt>
              <c:pt idx="835">
                <c:v>8.9262004516103008</c:v>
              </c:pt>
              <c:pt idx="836">
                <c:v>8.9201608185282204</c:v>
              </c:pt>
              <c:pt idx="837">
                <c:v>8.9063465436587208</c:v>
              </c:pt>
              <c:pt idx="838">
                <c:v>8.9139847355454798</c:v>
              </c:pt>
              <c:pt idx="839">
                <c:v>8.98628924008902</c:v>
              </c:pt>
              <c:pt idx="840">
                <c:v>8.9375351557569491</c:v>
              </c:pt>
              <c:pt idx="841">
                <c:v>8.9772784542889106</c:v>
              </c:pt>
              <c:pt idx="842">
                <c:v>8.9877976755242006</c:v>
              </c:pt>
              <c:pt idx="843">
                <c:v>9.0225314814223392</c:v>
              </c:pt>
              <c:pt idx="844">
                <c:v>8.9553887661323799</c:v>
              </c:pt>
              <c:pt idx="845">
                <c:v>8.8775498054572495</c:v>
              </c:pt>
              <c:pt idx="846">
                <c:v>8.7831375493911299</c:v>
              </c:pt>
              <c:pt idx="847">
                <c:v>8.8551684367439005</c:v>
              </c:pt>
              <c:pt idx="848">
                <c:v>9.0129838051405997</c:v>
              </c:pt>
              <c:pt idx="849">
                <c:v>8.9280310775144809</c:v>
              </c:pt>
              <c:pt idx="850">
                <c:v>8.7361699159263804</c:v>
              </c:pt>
              <c:pt idx="851">
                <c:v>8.8455579890775304</c:v>
              </c:pt>
              <c:pt idx="852">
                <c:v>8.8062160234605393</c:v>
              </c:pt>
              <c:pt idx="853">
                <c:v>8.7962142439310895</c:v>
              </c:pt>
              <c:pt idx="854">
                <c:v>8.8799799772698602</c:v>
              </c:pt>
              <c:pt idx="855">
                <c:v>8.8350018175189895</c:v>
              </c:pt>
              <c:pt idx="856">
                <c:v>8.9820982261011704</c:v>
              </c:pt>
              <c:pt idx="857">
                <c:v>8.9480378025525091</c:v>
              </c:pt>
              <c:pt idx="858">
                <c:v>8.9918924671300093</c:v>
              </c:pt>
              <c:pt idx="859">
                <c:v>9.2129268902638906</c:v>
              </c:pt>
              <c:pt idx="860">
                <c:v>9.2193319144881194</c:v>
              </c:pt>
              <c:pt idx="861">
                <c:v>9.2244878493952704</c:v>
              </c:pt>
              <c:pt idx="862">
                <c:v>9.2005810008022593</c:v>
              </c:pt>
              <c:pt idx="863">
                <c:v>9.18794823618774</c:v>
              </c:pt>
              <c:pt idx="864">
                <c:v>9.2612793169310397</c:v>
              </c:pt>
              <c:pt idx="865">
                <c:v>9.3322899808025994</c:v>
              </c:pt>
              <c:pt idx="866">
                <c:v>9.3236096946805294</c:v>
              </c:pt>
              <c:pt idx="867">
                <c:v>9.2894556457065391</c:v>
              </c:pt>
              <c:pt idx="868">
                <c:v>9.2361156574000098</c:v>
              </c:pt>
              <c:pt idx="869">
                <c:v>9.1214199623426104</c:v>
              </c:pt>
              <c:pt idx="870">
                <c:v>9.1432643250366894</c:v>
              </c:pt>
              <c:pt idx="871">
                <c:v>9.1169452038866794</c:v>
              </c:pt>
              <c:pt idx="872">
                <c:v>9.0600643933429907</c:v>
              </c:pt>
              <c:pt idx="873">
                <c:v>9.1364521727174406</c:v>
              </c:pt>
              <c:pt idx="874">
                <c:v>9.1721105141819006</c:v>
              </c:pt>
              <c:pt idx="875">
                <c:v>9.2292450064240104</c:v>
              </c:pt>
              <c:pt idx="876">
                <c:v>9.2705305003426606</c:v>
              </c:pt>
              <c:pt idx="877">
                <c:v>9.2502521239090605</c:v>
              </c:pt>
              <c:pt idx="878">
                <c:v>9.2052248085630097</c:v>
              </c:pt>
              <c:pt idx="879">
                <c:v>9.1718497037519793</c:v>
              </c:pt>
              <c:pt idx="880">
                <c:v>9.1601791834723993</c:v>
              </c:pt>
              <c:pt idx="881">
                <c:v>9.1797905758018299</c:v>
              </c:pt>
              <c:pt idx="882">
                <c:v>9.0574965820854292</c:v>
              </c:pt>
              <c:pt idx="883">
                <c:v>9.0747584313200598</c:v>
              </c:pt>
              <c:pt idx="884">
                <c:v>9.0135543246425698</c:v>
              </c:pt>
              <c:pt idx="885">
                <c:v>8.9932580097517896</c:v>
              </c:pt>
              <c:pt idx="886">
                <c:v>8.9591888978349097</c:v>
              </c:pt>
              <c:pt idx="887">
                <c:v>8.9461926741563094</c:v>
              </c:pt>
              <c:pt idx="888">
                <c:v>8.9955749373794607</c:v>
              </c:pt>
              <c:pt idx="889">
                <c:v>8.8807231481356599</c:v>
              </c:pt>
              <c:pt idx="890">
                <c:v>8.7908335805738602</c:v>
              </c:pt>
              <c:pt idx="891">
                <c:v>8.82096702440254</c:v>
              </c:pt>
              <c:pt idx="892">
                <c:v>8.7677021625482308</c:v>
              </c:pt>
              <c:pt idx="893">
                <c:v>8.8715942482734906</c:v>
              </c:pt>
              <c:pt idx="894">
                <c:v>8.86853695892367</c:v>
              </c:pt>
              <c:pt idx="895">
                <c:v>8.8636614238768505</c:v>
              </c:pt>
              <c:pt idx="896">
                <c:v>8.8561703237012992</c:v>
              </c:pt>
              <c:pt idx="897">
                <c:v>8.8549144522129595</c:v>
              </c:pt>
              <c:pt idx="898">
                <c:v>8.7803818104609892</c:v>
              </c:pt>
              <c:pt idx="899">
                <c:v>8.7487317916192406</c:v>
              </c:pt>
              <c:pt idx="900">
                <c:v>8.7867414331223905</c:v>
              </c:pt>
              <c:pt idx="901">
                <c:v>8.6975380361447208</c:v>
              </c:pt>
              <c:pt idx="902">
                <c:v>8.6783014610909408</c:v>
              </c:pt>
              <c:pt idx="903">
                <c:v>8.5631079987825292</c:v>
              </c:pt>
              <c:pt idx="904">
                <c:v>8.5690134675952194</c:v>
              </c:pt>
              <c:pt idx="905">
                <c:v>8.4090518641316105</c:v>
              </c:pt>
              <c:pt idx="906">
                <c:v>8.3465102055995608</c:v>
              </c:pt>
              <c:pt idx="907">
                <c:v>8.4326346279358404</c:v>
              </c:pt>
              <c:pt idx="908">
                <c:v>8.4599569913600394</c:v>
              </c:pt>
              <c:pt idx="909">
                <c:v>8.4605260846982304</c:v>
              </c:pt>
              <c:pt idx="910">
                <c:v>8.4834185455181306</c:v>
              </c:pt>
              <c:pt idx="911">
                <c:v>8.3943999551491899</c:v>
              </c:pt>
              <c:pt idx="912">
                <c:v>8.3146806141455105</c:v>
              </c:pt>
              <c:pt idx="913">
                <c:v>8.4903908390070395</c:v>
              </c:pt>
              <c:pt idx="914">
                <c:v>8.3602519285681307</c:v>
              </c:pt>
              <c:pt idx="915">
                <c:v>8.4121978502108803</c:v>
              </c:pt>
              <c:pt idx="916">
                <c:v>8.4106056160948306</c:v>
              </c:pt>
              <c:pt idx="917">
                <c:v>8.4638896345934604</c:v>
              </c:pt>
              <c:pt idx="918">
                <c:v>8.5044852967902003</c:v>
              </c:pt>
              <c:pt idx="919">
                <c:v>8.4477406522262903</c:v>
              </c:pt>
              <c:pt idx="920">
                <c:v>8.3538366827949897</c:v>
              </c:pt>
              <c:pt idx="921">
                <c:v>8.4431615552357897</c:v>
              </c:pt>
              <c:pt idx="922">
                <c:v>8.4468609188159203</c:v>
              </c:pt>
              <c:pt idx="923">
                <c:v>8.4204985447043494</c:v>
              </c:pt>
              <c:pt idx="924">
                <c:v>8.3974501213211799</c:v>
              </c:pt>
              <c:pt idx="925">
                <c:v>8.4588544043444003</c:v>
              </c:pt>
              <c:pt idx="926">
                <c:v>8.4690690600396401</c:v>
              </c:pt>
              <c:pt idx="927">
                <c:v>8.3764745739753206</c:v>
              </c:pt>
              <c:pt idx="928">
                <c:v>8.4635727132159193</c:v>
              </c:pt>
              <c:pt idx="929">
                <c:v>8.4174677884344895</c:v>
              </c:pt>
              <c:pt idx="930">
                <c:v>8.5067589814921103</c:v>
              </c:pt>
              <c:pt idx="931">
                <c:v>8.4238223584456495</c:v>
              </c:pt>
              <c:pt idx="932">
                <c:v>8.4444153500990797</c:v>
              </c:pt>
              <c:pt idx="933">
                <c:v>8.5134905411365001</c:v>
              </c:pt>
              <c:pt idx="934">
                <c:v>8.5213654242447792</c:v>
              </c:pt>
              <c:pt idx="935">
                <c:v>8.5087901992480397</c:v>
              </c:pt>
              <c:pt idx="936">
                <c:v>8.43104931979091</c:v>
              </c:pt>
              <c:pt idx="937">
                <c:v>8.4376651917787502</c:v>
              </c:pt>
              <c:pt idx="938">
                <c:v>8.3982884807802094</c:v>
              </c:pt>
              <c:pt idx="939">
                <c:v>8.4551591255295193</c:v>
              </c:pt>
              <c:pt idx="940">
                <c:v>8.5058209849889792</c:v>
              </c:pt>
              <c:pt idx="941">
                <c:v>8.5083201825813592</c:v>
              </c:pt>
              <c:pt idx="942">
                <c:v>8.4355364765050602</c:v>
              </c:pt>
              <c:pt idx="943">
                <c:v>8.4746987170878807</c:v>
              </c:pt>
              <c:pt idx="944">
                <c:v>8.4619362714458894</c:v>
              </c:pt>
              <c:pt idx="945">
                <c:v>8.4804935742258003</c:v>
              </c:pt>
              <c:pt idx="946">
                <c:v>8.5036548655736102</c:v>
              </c:pt>
              <c:pt idx="947">
                <c:v>8.5004937148828006</c:v>
              </c:pt>
              <c:pt idx="948">
                <c:v>8.4890500155694504</c:v>
              </c:pt>
              <c:pt idx="949">
                <c:v>8.4419673001412399</c:v>
              </c:pt>
              <c:pt idx="950">
                <c:v>8.3642051991281505</c:v>
              </c:pt>
              <c:pt idx="951">
                <c:v>8.3025298900180999</c:v>
              </c:pt>
              <c:pt idx="952">
                <c:v>8.2861760930906296</c:v>
              </c:pt>
              <c:pt idx="953">
                <c:v>8.2219238994536905</c:v>
              </c:pt>
              <c:pt idx="954">
                <c:v>8.2485245014344706</c:v>
              </c:pt>
              <c:pt idx="955">
                <c:v>8.2056563647640193</c:v>
              </c:pt>
              <c:pt idx="956">
                <c:v>8.2108805803163598</c:v>
              </c:pt>
              <c:pt idx="957">
                <c:v>8.2800230959869907</c:v>
              </c:pt>
              <c:pt idx="958">
                <c:v>8.2424819840903201</c:v>
              </c:pt>
              <c:pt idx="959">
                <c:v>8.2375062321804897</c:v>
              </c:pt>
              <c:pt idx="960">
                <c:v>8.3608827561299801</c:v>
              </c:pt>
              <c:pt idx="961">
                <c:v>8.3607481991925905</c:v>
              </c:pt>
              <c:pt idx="962">
                <c:v>8.3175296482364001</c:v>
              </c:pt>
              <c:pt idx="963">
                <c:v>8.2638935450149607</c:v>
              </c:pt>
              <c:pt idx="964">
                <c:v>8.2851555075190504</c:v>
              </c:pt>
              <c:pt idx="965">
                <c:v>8.2529227236660496</c:v>
              </c:pt>
              <c:pt idx="966">
                <c:v>8.2741852157714604</c:v>
              </c:pt>
              <c:pt idx="967">
                <c:v>8.2580552803874596</c:v>
              </c:pt>
              <c:pt idx="968">
                <c:v>8.2207715271034605</c:v>
              </c:pt>
              <c:pt idx="969">
                <c:v>8.2420072337182209</c:v>
              </c:pt>
              <c:pt idx="970">
                <c:v>8.2947954743245909</c:v>
              </c:pt>
              <c:pt idx="971">
                <c:v>8.2679034268673206</c:v>
              </c:pt>
              <c:pt idx="972">
                <c:v>8.2945071002800397</c:v>
              </c:pt>
              <c:pt idx="973">
                <c:v>8.2941497702969897</c:v>
              </c:pt>
              <c:pt idx="974">
                <c:v>8.2402898947753904</c:v>
              </c:pt>
              <c:pt idx="975">
                <c:v>8.2282181058970902</c:v>
              </c:pt>
              <c:pt idx="976">
                <c:v>8.3166011235419806</c:v>
              </c:pt>
              <c:pt idx="977">
                <c:v>8.3257547430313394</c:v>
              </c:pt>
              <c:pt idx="978">
                <c:v>8.2492363100882695</c:v>
              </c:pt>
              <c:pt idx="979">
                <c:v>8.2798787541007197</c:v>
              </c:pt>
              <c:pt idx="980">
                <c:v>8.3019372405051595</c:v>
              </c:pt>
              <c:pt idx="981">
                <c:v>8.2307705593572997</c:v>
              </c:pt>
              <c:pt idx="982">
                <c:v>8.2880708438377102</c:v>
              </c:pt>
              <c:pt idx="983">
                <c:v>8.31864503999644</c:v>
              </c:pt>
              <c:pt idx="984">
                <c:v>8.2741792679212907</c:v>
              </c:pt>
              <c:pt idx="985">
                <c:v>8.1997259743940702</c:v>
              </c:pt>
              <c:pt idx="986">
                <c:v>8.2623258919105194</c:v>
              </c:pt>
              <c:pt idx="987">
                <c:v>8.3088123839998307</c:v>
              </c:pt>
              <c:pt idx="988">
                <c:v>8.2536279587285701</c:v>
              </c:pt>
              <c:pt idx="989">
                <c:v>8.2412837157861603</c:v>
              </c:pt>
              <c:pt idx="990">
                <c:v>8.2240262740485903</c:v>
              </c:pt>
              <c:pt idx="991">
                <c:v>8.1474862286227392</c:v>
              </c:pt>
              <c:pt idx="992">
                <c:v>8.1618946405677306</c:v>
              </c:pt>
              <c:pt idx="993">
                <c:v>8.1388630327640499</c:v>
              </c:pt>
              <c:pt idx="994">
                <c:v>8.2981831096914807</c:v>
              </c:pt>
              <c:pt idx="995">
                <c:v>8.2834365874080707</c:v>
              </c:pt>
              <c:pt idx="996">
                <c:v>8.2259003441685703</c:v>
              </c:pt>
              <c:pt idx="997">
                <c:v>8.1200312017404492</c:v>
              </c:pt>
              <c:pt idx="998">
                <c:v>8.0842674677531292</c:v>
              </c:pt>
              <c:pt idx="999">
                <c:v>8.2589600800531606</c:v>
              </c:pt>
              <c:pt idx="1000">
                <c:v>8.2071870016120503</c:v>
              </c:pt>
              <c:pt idx="1001">
                <c:v>8.2299112021064804</c:v>
              </c:pt>
              <c:pt idx="1002">
                <c:v>8.3221410613356408</c:v>
              </c:pt>
              <c:pt idx="1003">
                <c:v>8.31813652912194</c:v>
              </c:pt>
              <c:pt idx="1004">
                <c:v>8.3591771468658695</c:v>
              </c:pt>
              <c:pt idx="1005">
                <c:v>8.4251404437809505</c:v>
              </c:pt>
              <c:pt idx="1006">
                <c:v>8.3730102524045797</c:v>
              </c:pt>
              <c:pt idx="1007">
                <c:v>8.3690218421180997</c:v>
              </c:pt>
              <c:pt idx="1008">
                <c:v>8.3864192611072408</c:v>
              </c:pt>
              <c:pt idx="1009">
                <c:v>8.4167120704131193</c:v>
              </c:pt>
              <c:pt idx="1010">
                <c:v>8.36517570542272</c:v>
              </c:pt>
              <c:pt idx="1011">
                <c:v>8.4573962199649309</c:v>
              </c:pt>
              <c:pt idx="1012">
                <c:v>8.5443251867886296</c:v>
              </c:pt>
              <c:pt idx="1013">
                <c:v>8.6098948026081406</c:v>
              </c:pt>
              <c:pt idx="1014">
                <c:v>8.6520671632607495</c:v>
              </c:pt>
              <c:pt idx="1015">
                <c:v>8.6073616653241896</c:v>
              </c:pt>
              <c:pt idx="1016">
                <c:v>8.5900378457206301</c:v>
              </c:pt>
              <c:pt idx="1017">
                <c:v>8.6904483683443399</c:v>
              </c:pt>
              <c:pt idx="1018">
                <c:v>8.6684373672949704</c:v>
              </c:pt>
              <c:pt idx="1019">
                <c:v>8.5148567602612708</c:v>
              </c:pt>
              <c:pt idx="1020">
                <c:v>8.5517579115336204</c:v>
              </c:pt>
              <c:pt idx="1021">
                <c:v>8.5184241075623195</c:v>
              </c:pt>
              <c:pt idx="1022">
                <c:v>8.5553698613160893</c:v>
              </c:pt>
              <c:pt idx="1023">
                <c:v>8.6068669194924805</c:v>
              </c:pt>
              <c:pt idx="1024">
                <c:v>8.5323299322711108</c:v>
              </c:pt>
              <c:pt idx="1025">
                <c:v>8.6014781080527793</c:v>
              </c:pt>
              <c:pt idx="1026">
                <c:v>8.5208454421717494</c:v>
              </c:pt>
              <c:pt idx="1027">
                <c:v>8.5187592368730893</c:v>
              </c:pt>
              <c:pt idx="1028">
                <c:v>8.5792638900284999</c:v>
              </c:pt>
              <c:pt idx="1029">
                <c:v>8.5298755438518707</c:v>
              </c:pt>
              <c:pt idx="1030">
                <c:v>8.4537732941312402</c:v>
              </c:pt>
              <c:pt idx="1031">
                <c:v>8.4214149010697099</c:v>
              </c:pt>
              <c:pt idx="1032">
                <c:v>8.3614185462952193</c:v>
              </c:pt>
              <c:pt idx="1033">
                <c:v>8.3150261167935096</c:v>
              </c:pt>
              <c:pt idx="1034">
                <c:v>8.2123887388646999</c:v>
              </c:pt>
              <c:pt idx="1035">
                <c:v>8.1578254151855507</c:v>
              </c:pt>
              <c:pt idx="1036">
                <c:v>8.1325431883763102</c:v>
              </c:pt>
              <c:pt idx="1037">
                <c:v>8.1382278607164693</c:v>
              </c:pt>
              <c:pt idx="1038">
                <c:v>8.0699823193353097</c:v>
              </c:pt>
              <c:pt idx="1039">
                <c:v>8.0383590473365203</c:v>
              </c:pt>
              <c:pt idx="1040">
                <c:v>8.0216052432603195</c:v>
              </c:pt>
              <c:pt idx="1041">
                <c:v>8.1125562738683108</c:v>
              </c:pt>
              <c:pt idx="1042">
                <c:v>8.0809061163559495</c:v>
              </c:pt>
              <c:pt idx="1043">
                <c:v>8.0487546313581895</c:v>
              </c:pt>
              <c:pt idx="1044">
                <c:v>8.0342917801858604</c:v>
              </c:pt>
              <c:pt idx="1045">
                <c:v>8.0986132167901292</c:v>
              </c:pt>
              <c:pt idx="1046">
                <c:v>8.0083238096887399</c:v>
              </c:pt>
              <c:pt idx="1047">
                <c:v>8.0193231817384607</c:v>
              </c:pt>
              <c:pt idx="1048">
                <c:v>7.9843206573200201</c:v>
              </c:pt>
              <c:pt idx="1049">
                <c:v>8.0859783590021301</c:v>
              </c:pt>
              <c:pt idx="1050">
                <c:v>8.0316969854699902</c:v>
              </c:pt>
              <c:pt idx="1051">
                <c:v>7.9840628998984098</c:v>
              </c:pt>
              <c:pt idx="1052">
                <c:v>8.0323860695766101</c:v>
              </c:pt>
              <c:pt idx="1053">
                <c:v>8.0440906046541603</c:v>
              </c:pt>
              <c:pt idx="1054">
                <c:v>8.0604412296337191</c:v>
              </c:pt>
              <c:pt idx="1055">
                <c:v>7.9875288021191002</c:v>
              </c:pt>
              <c:pt idx="1056">
                <c:v>8.0145498202852696</c:v>
              </c:pt>
              <c:pt idx="1057">
                <c:v>7.9562603412154198</c:v>
              </c:pt>
              <c:pt idx="1058">
                <c:v>7.9709418914036601</c:v>
              </c:pt>
              <c:pt idx="1059">
                <c:v>7.9034818984217399</c:v>
              </c:pt>
              <c:pt idx="1060">
                <c:v>7.8665202704564496</c:v>
              </c:pt>
              <c:pt idx="1061">
                <c:v>7.87366116909969</c:v>
              </c:pt>
              <c:pt idx="1062">
                <c:v>7.8808028366626104</c:v>
              </c:pt>
              <c:pt idx="1063">
                <c:v>7.8207656406866102</c:v>
              </c:pt>
              <c:pt idx="1064">
                <c:v>7.8081682480630503</c:v>
              </c:pt>
              <c:pt idx="1065">
                <c:v>7.7445161696558102</c:v>
              </c:pt>
              <c:pt idx="1066">
                <c:v>7.7250295197689001</c:v>
              </c:pt>
              <c:pt idx="1067">
                <c:v>7.7427889215704804</c:v>
              </c:pt>
              <c:pt idx="1068">
                <c:v>7.6417952366339303</c:v>
              </c:pt>
              <c:pt idx="1069">
                <c:v>7.60106287888176</c:v>
              </c:pt>
              <c:pt idx="1070">
                <c:v>7.5975408894350904</c:v>
              </c:pt>
              <c:pt idx="1071">
                <c:v>7.5833902929814698</c:v>
              </c:pt>
              <c:pt idx="1072">
                <c:v>7.5692411339202801</c:v>
              </c:pt>
              <c:pt idx="1073">
                <c:v>7.58524619544845</c:v>
              </c:pt>
              <c:pt idx="1074">
                <c:v>7.4967269142872004</c:v>
              </c:pt>
              <c:pt idx="1075">
                <c:v>7.4135832699239597</c:v>
              </c:pt>
              <c:pt idx="1076">
                <c:v>7.41537057473922</c:v>
              </c:pt>
              <c:pt idx="1077">
                <c:v>7.4277717904148703</c:v>
              </c:pt>
              <c:pt idx="1078">
                <c:v>7.4543688876687098</c:v>
              </c:pt>
              <c:pt idx="1079">
                <c:v>7.3765539739707702</c:v>
              </c:pt>
              <c:pt idx="1080">
                <c:v>7.42302561216197</c:v>
              </c:pt>
              <c:pt idx="1081">
                <c:v>7.4395183861730096</c:v>
              </c:pt>
              <c:pt idx="1082">
                <c:v>7.4719395103360897</c:v>
              </c:pt>
              <c:pt idx="1083">
                <c:v>7.5745655622522001</c:v>
              </c:pt>
              <c:pt idx="1084">
                <c:v>7.5220091811891301</c:v>
              </c:pt>
              <c:pt idx="1085">
                <c:v>7.5438246639462498</c:v>
              </c:pt>
              <c:pt idx="1086">
                <c:v>7.6028409246405202</c:v>
              </c:pt>
              <c:pt idx="1087">
                <c:v>7.6565689444686198</c:v>
              </c:pt>
              <c:pt idx="1088">
                <c:v>7.7732719135542103</c:v>
              </c:pt>
              <c:pt idx="1089">
                <c:v>7.7418928441069603</c:v>
              </c:pt>
              <c:pt idx="1090">
                <c:v>7.7764362601580297</c:v>
              </c:pt>
              <c:pt idx="1091">
                <c:v>7.7631100361046101</c:v>
              </c:pt>
              <c:pt idx="1092">
                <c:v>7.8435421970339396</c:v>
              </c:pt>
              <c:pt idx="1093">
                <c:v>7.8932116805503698</c:v>
              </c:pt>
              <c:pt idx="1094">
                <c:v>7.8969713717017296</c:v>
              </c:pt>
              <c:pt idx="1095">
                <c:v>7.8580916463152803</c:v>
              </c:pt>
              <c:pt idx="1096">
                <c:v>7.8714645632440998</c:v>
              </c:pt>
              <c:pt idx="1097">
                <c:v>7.8187824772648602</c:v>
              </c:pt>
              <c:pt idx="1098">
                <c:v>7.9216624403432201</c:v>
              </c:pt>
              <c:pt idx="1099">
                <c:v>7.8560732675279503</c:v>
              </c:pt>
              <c:pt idx="1100">
                <c:v>7.8406526695941903</c:v>
              </c:pt>
              <c:pt idx="1101">
                <c:v>7.7560611503661603</c:v>
              </c:pt>
              <c:pt idx="1102">
                <c:v>7.8671811756632701</c:v>
              </c:pt>
              <c:pt idx="1103">
                <c:v>7.7960466717625696</c:v>
              </c:pt>
              <c:pt idx="1104">
                <c:v>7.7741186577832799</c:v>
              </c:pt>
              <c:pt idx="1105">
                <c:v>7.8054010311915603</c:v>
              </c:pt>
              <c:pt idx="1106">
                <c:v>7.8503054064047504</c:v>
              </c:pt>
              <c:pt idx="1107">
                <c:v>7.7910977679887203</c:v>
              </c:pt>
              <c:pt idx="1108">
                <c:v>7.7920338381410899</c:v>
              </c:pt>
              <c:pt idx="1109">
                <c:v>7.76718336611839</c:v>
              </c:pt>
              <c:pt idx="1110">
                <c:v>7.7906910270698404</c:v>
              </c:pt>
              <c:pt idx="1111">
                <c:v>7.8137592839550001</c:v>
              </c:pt>
              <c:pt idx="1112">
                <c:v>7.8663389066895704</c:v>
              </c:pt>
              <c:pt idx="1113">
                <c:v>7.9389404701238204</c:v>
              </c:pt>
              <c:pt idx="1114">
                <c:v>7.9276253277644297</c:v>
              </c:pt>
              <c:pt idx="1115">
                <c:v>7.9003296378741901</c:v>
              </c:pt>
              <c:pt idx="1116">
                <c:v>7.91032556007392</c:v>
              </c:pt>
              <c:pt idx="1117">
                <c:v>7.9363071755199197</c:v>
              </c:pt>
              <c:pt idx="1118">
                <c:v>7.9823000656982197</c:v>
              </c:pt>
              <c:pt idx="1119">
                <c:v>7.9523727303973502</c:v>
              </c:pt>
              <c:pt idx="1120">
                <c:v>7.9756524086116398</c:v>
              </c:pt>
              <c:pt idx="1121">
                <c:v>7.9803247489501796</c:v>
              </c:pt>
              <c:pt idx="1122">
                <c:v>7.9956601290135199</c:v>
              </c:pt>
              <c:pt idx="1123">
                <c:v>8.0196518608366194</c:v>
              </c:pt>
              <c:pt idx="1124">
                <c:v>8.0369195669544702</c:v>
              </c:pt>
              <c:pt idx="1125">
                <c:v>8.0248861478044304</c:v>
              </c:pt>
              <c:pt idx="1126">
                <c:v>7.9915228077532197</c:v>
              </c:pt>
              <c:pt idx="1127">
                <c:v>8.0061546080312507</c:v>
              </c:pt>
              <c:pt idx="1128">
                <c:v>8.0180590962641407</c:v>
              </c:pt>
              <c:pt idx="1129">
                <c:v>8.0220284573255594</c:v>
              </c:pt>
              <c:pt idx="1130">
                <c:v>8.0846974469651993</c:v>
              </c:pt>
              <c:pt idx="1131">
                <c:v>8.0566482264177193</c:v>
              </c:pt>
              <c:pt idx="1132">
                <c:v>8.0581351788098505</c:v>
              </c:pt>
              <c:pt idx="1133">
                <c:v>8.10991566317667</c:v>
              </c:pt>
              <c:pt idx="1134">
                <c:v>8.1007805758236398</c:v>
              </c:pt>
              <c:pt idx="1135">
                <c:v>8.1237129093404192</c:v>
              </c:pt>
              <c:pt idx="1136">
                <c:v>8.1651138350181505</c:v>
              </c:pt>
              <c:pt idx="1137">
                <c:v>8.1661745358045703</c:v>
              </c:pt>
              <c:pt idx="1138">
                <c:v>8.1651239391295594</c:v>
              </c:pt>
              <c:pt idx="1139">
                <c:v>8.07832481394715</c:v>
              </c:pt>
              <c:pt idx="1140">
                <c:v>8.0983511429813593</c:v>
              </c:pt>
              <c:pt idx="1141">
                <c:v>8.1664697517628895</c:v>
              </c:pt>
              <c:pt idx="1142">
                <c:v>8.1200922579635098</c:v>
              </c:pt>
              <c:pt idx="1143">
                <c:v>8.0947666291390004</c:v>
              </c:pt>
              <c:pt idx="1144">
                <c:v>8.0133550027700906</c:v>
              </c:pt>
              <c:pt idx="1145">
                <c:v>7.9481536174162803</c:v>
              </c:pt>
              <c:pt idx="1146">
                <c:v>8.0003397843606301</c:v>
              </c:pt>
              <c:pt idx="1147">
                <c:v>8.0739118105094505</c:v>
              </c:pt>
              <c:pt idx="1148">
                <c:v>7.99782019605155</c:v>
              </c:pt>
              <c:pt idx="1149">
                <c:v>8.0371909000373005</c:v>
              </c:pt>
              <c:pt idx="1150">
                <c:v>8.2155543191508595</c:v>
              </c:pt>
              <c:pt idx="1151">
                <c:v>8.2432640377012607</c:v>
              </c:pt>
              <c:pt idx="1152">
                <c:v>8.1886152246587507</c:v>
              </c:pt>
              <c:pt idx="1153">
                <c:v>8.2813779733979604</c:v>
              </c:pt>
              <c:pt idx="1154">
                <c:v>8.2213607741290708</c:v>
              </c:pt>
              <c:pt idx="1155">
                <c:v>8.2362348827469205</c:v>
              </c:pt>
              <c:pt idx="1156">
                <c:v>8.2404123905737805</c:v>
              </c:pt>
              <c:pt idx="1157">
                <c:v>8.1697245125500508</c:v>
              </c:pt>
              <c:pt idx="1158">
                <c:v>8.1020823261385804</c:v>
              </c:pt>
              <c:pt idx="1159">
                <c:v>8.1596943794227208</c:v>
              </c:pt>
              <c:pt idx="1160">
                <c:v>8.1905998604530996</c:v>
              </c:pt>
              <c:pt idx="1161">
                <c:v>8.2322118612457604</c:v>
              </c:pt>
              <c:pt idx="1162">
                <c:v>8.2363894456131597</c:v>
              </c:pt>
              <c:pt idx="1163">
                <c:v>8.2572806074853808</c:v>
              </c:pt>
              <c:pt idx="1164">
                <c:v>8.1491545020423697</c:v>
              </c:pt>
              <c:pt idx="1165">
                <c:v>8.0892034364560494</c:v>
              </c:pt>
              <c:pt idx="1166">
                <c:v>8.0762841668207095</c:v>
              </c:pt>
              <c:pt idx="1167">
                <c:v>8.0561186227563297</c:v>
              </c:pt>
              <c:pt idx="1168">
                <c:v>8.1179076922390792</c:v>
              </c:pt>
              <c:pt idx="1169">
                <c:v>8.1601066571932908</c:v>
              </c:pt>
              <c:pt idx="1170">
                <c:v>8.0746214874532392</c:v>
              </c:pt>
              <c:pt idx="1171">
                <c:v>7.96894412289992</c:v>
              </c:pt>
              <c:pt idx="1172">
                <c:v>8.04843488425362</c:v>
              </c:pt>
              <c:pt idx="1173">
                <c:v>8.0996157076930704</c:v>
              </c:pt>
              <c:pt idx="1174">
                <c:v>8.0419229991795405</c:v>
              </c:pt>
              <c:pt idx="1175">
                <c:v>8.07221068568</c:v>
              </c:pt>
              <c:pt idx="1176">
                <c:v>8.0609420784613999</c:v>
              </c:pt>
              <c:pt idx="1177">
                <c:v>8.16723040415763</c:v>
              </c:pt>
              <c:pt idx="1178">
                <c:v>8.0864790292376298</c:v>
              </c:pt>
              <c:pt idx="1179">
                <c:v>8.1927930010329106</c:v>
              </c:pt>
              <c:pt idx="1180">
                <c:v>8.1536078989458805</c:v>
              </c:pt>
              <c:pt idx="1181">
                <c:v>8.0995776302815692</c:v>
              </c:pt>
              <c:pt idx="1182">
                <c:v>8.0556694527880808</c:v>
              </c:pt>
              <c:pt idx="1183">
                <c:v>8.0230424695371596</c:v>
              </c:pt>
              <c:pt idx="1184">
                <c:v>8.0373044676121701</c:v>
              </c:pt>
              <c:pt idx="1185">
                <c:v>8.0512417536899008</c:v>
              </c:pt>
              <c:pt idx="1186">
                <c:v>8.0651811200550103</c:v>
              </c:pt>
              <c:pt idx="1187">
                <c:v>8.1272144369944908</c:v>
              </c:pt>
              <c:pt idx="1188">
                <c:v>8.2053289524015405</c:v>
              </c:pt>
              <c:pt idx="1189">
                <c:v>8.2525693929622204</c:v>
              </c:pt>
              <c:pt idx="1190">
                <c:v>8.2611857785689793</c:v>
              </c:pt>
              <c:pt idx="1191">
                <c:v>8.2698030352702094</c:v>
              </c:pt>
              <c:pt idx="1192">
                <c:v>8.2249092585696495</c:v>
              </c:pt>
              <c:pt idx="1193">
                <c:v>8.2014261042976599</c:v>
              </c:pt>
              <c:pt idx="1194">
                <c:v>8.2153467322208407</c:v>
              </c:pt>
              <c:pt idx="1195">
                <c:v>8.2079249916043207</c:v>
              </c:pt>
              <c:pt idx="1196">
                <c:v>8.2112021525066403</c:v>
              </c:pt>
              <c:pt idx="1197">
                <c:v>8.1835637561273202</c:v>
              </c:pt>
              <c:pt idx="1198">
                <c:v>8.1333552884937905</c:v>
              </c:pt>
              <c:pt idx="1199">
                <c:v>8.1217545778119504</c:v>
              </c:pt>
              <c:pt idx="1200">
                <c:v>8.0704628888187209</c:v>
              </c:pt>
              <c:pt idx="1201">
                <c:v>8.0374346155001106</c:v>
              </c:pt>
              <c:pt idx="1202">
                <c:v>8.0502936324014005</c:v>
              </c:pt>
              <c:pt idx="1203">
                <c:v>8.0054951904182907</c:v>
              </c:pt>
              <c:pt idx="1204">
                <c:v>7.9576014144183498</c:v>
              </c:pt>
              <c:pt idx="1205">
                <c:v>7.9781955293890503</c:v>
              </c:pt>
              <c:pt idx="1206">
                <c:v>7.94540899561615</c:v>
              </c:pt>
              <c:pt idx="1207">
                <c:v>7.9873557835453699</c:v>
              </c:pt>
              <c:pt idx="1208">
                <c:v>8.0463179549126398</c:v>
              </c:pt>
              <c:pt idx="1209">
                <c:v>7.9789812379882799</c:v>
              </c:pt>
              <c:pt idx="1210">
                <c:v>8.0102604617938304</c:v>
              </c:pt>
              <c:pt idx="1211">
                <c:v>8.0201829318384803</c:v>
              </c:pt>
              <c:pt idx="1212">
                <c:v>7.9553513430266998</c:v>
              </c:pt>
              <c:pt idx="1213">
                <c:v>7.9332434768054201</c:v>
              </c:pt>
              <c:pt idx="1214">
                <c:v>7.8829476800258904</c:v>
              </c:pt>
              <c:pt idx="1215">
                <c:v>7.8386994448784897</c:v>
              </c:pt>
              <c:pt idx="1216">
                <c:v>7.8379545352882198</c:v>
              </c:pt>
              <c:pt idx="1217">
                <c:v>7.7945607227231299</c:v>
              </c:pt>
              <c:pt idx="1218">
                <c:v>7.83646472394841</c:v>
              </c:pt>
              <c:pt idx="1219">
                <c:v>7.8715611032556403</c:v>
              </c:pt>
              <c:pt idx="1220">
                <c:v>7.8494825471716396</c:v>
              </c:pt>
              <c:pt idx="1221">
                <c:v>7.8693554076417298</c:v>
              </c:pt>
              <c:pt idx="1222">
                <c:v>7.8472906290875297</c:v>
              </c:pt>
              <c:pt idx="1223">
                <c:v>7.8739150852227304</c:v>
              </c:pt>
              <c:pt idx="1224">
                <c:v>7.93037072403395</c:v>
              </c:pt>
              <c:pt idx="1225">
                <c:v>7.9029441198979402</c:v>
              </c:pt>
              <c:pt idx="1226">
                <c:v>7.9662452375756496</c:v>
              </c:pt>
              <c:pt idx="1227">
                <c:v>7.9227984104309499</c:v>
              </c:pt>
              <c:pt idx="1228">
                <c:v>7.9936398227346697</c:v>
              </c:pt>
              <c:pt idx="1229">
                <c:v>8.0294569843064405</c:v>
              </c:pt>
              <c:pt idx="1230">
                <c:v>8.0042150288832907</c:v>
              </c:pt>
              <c:pt idx="1231">
                <c:v>8.0590764875440009</c:v>
              </c:pt>
              <c:pt idx="1232">
                <c:v>8.1299933325964506</c:v>
              </c:pt>
              <c:pt idx="1233">
                <c:v>8.1907547653778305</c:v>
              </c:pt>
              <c:pt idx="1234">
                <c:v>8.2534441598824309</c:v>
              </c:pt>
              <c:pt idx="1235">
                <c:v>8.21210917861284</c:v>
              </c:pt>
              <c:pt idx="1236">
                <c:v>8.2296059223924107</c:v>
              </c:pt>
              <c:pt idx="1237">
                <c:v>8.2203652395250693</c:v>
              </c:pt>
              <c:pt idx="1238">
                <c:v>8.2111270106376004</c:v>
              </c:pt>
              <c:pt idx="1239">
                <c:v>8.2582709329332502</c:v>
              </c:pt>
              <c:pt idx="1240">
                <c:v>8.1581695717759093</c:v>
              </c:pt>
              <c:pt idx="1241">
                <c:v>8.2023777539103495</c:v>
              </c:pt>
              <c:pt idx="1242">
                <c:v>8.2035123462887292</c:v>
              </c:pt>
              <c:pt idx="1243">
                <c:v>8.2181903872522692</c:v>
              </c:pt>
              <c:pt idx="1244">
                <c:v>8.2196395733643808</c:v>
              </c:pt>
              <c:pt idx="1245">
                <c:v>8.2157466297939408</c:v>
              </c:pt>
              <c:pt idx="1246">
                <c:v>8.2365128029838495</c:v>
              </c:pt>
              <c:pt idx="1247">
                <c:v>8.1979262436226108</c:v>
              </c:pt>
              <c:pt idx="1248">
                <c:v>8.1917196196625195</c:v>
              </c:pt>
              <c:pt idx="1249">
                <c:v>8.1639896406929999</c:v>
              </c:pt>
              <c:pt idx="1250">
                <c:v>8.2218375819302008</c:v>
              </c:pt>
              <c:pt idx="1251">
                <c:v>8.2027683632602209</c:v>
              </c:pt>
              <c:pt idx="1252">
                <c:v>8.1749403062260306</c:v>
              </c:pt>
              <c:pt idx="1253">
                <c:v>8.2326603530179892</c:v>
              </c:pt>
              <c:pt idx="1254">
                <c:v>8.1354815177378192</c:v>
              </c:pt>
              <c:pt idx="1255">
                <c:v>8.1451183839570405</c:v>
              </c:pt>
              <c:pt idx="1256">
                <c:v>8.1099727848577903</c:v>
              </c:pt>
              <c:pt idx="1257">
                <c:v>8.1676665116361793</c:v>
              </c:pt>
              <c:pt idx="1258">
                <c:v>8.1185799679115203</c:v>
              </c:pt>
              <c:pt idx="1259">
                <c:v>8.1175458278386294</c:v>
              </c:pt>
              <c:pt idx="1260">
                <c:v>8.0844889603650696</c:v>
              </c:pt>
              <c:pt idx="1261">
                <c:v>8.0280374209414305</c:v>
              </c:pt>
              <c:pt idx="1262">
                <c:v>8.0483402808680502</c:v>
              </c:pt>
              <c:pt idx="1263">
                <c:v>8.0206364711854707</c:v>
              </c:pt>
              <c:pt idx="1264">
                <c:v>8.0462726268275802</c:v>
              </c:pt>
              <c:pt idx="1265">
                <c:v>7.9865739973382599</c:v>
              </c:pt>
              <c:pt idx="1266">
                <c:v>7.9461581559985701</c:v>
              </c:pt>
              <c:pt idx="1267">
                <c:v>7.9609151504040199</c:v>
              </c:pt>
              <c:pt idx="1268">
                <c:v>8.0471037884938195</c:v>
              </c:pt>
              <c:pt idx="1269">
                <c:v>7.99976914203011</c:v>
              </c:pt>
              <c:pt idx="1270">
                <c:v>8.0057681824768903</c:v>
              </c:pt>
              <c:pt idx="1271">
                <c:v>8.0021618664189305</c:v>
              </c:pt>
              <c:pt idx="1272">
                <c:v>8.0191006426690894</c:v>
              </c:pt>
              <c:pt idx="1273">
                <c:v>8.05710036010057</c:v>
              </c:pt>
              <c:pt idx="1274">
                <c:v>8.0044396102516107</c:v>
              </c:pt>
              <c:pt idx="1275">
                <c:v>7.9837842065904701</c:v>
              </c:pt>
              <c:pt idx="1276">
                <c:v>8.0291050184142296</c:v>
              </c:pt>
              <c:pt idx="1277">
                <c:v>8.0613802931688507</c:v>
              </c:pt>
              <c:pt idx="1278">
                <c:v>7.9234595070441598</c:v>
              </c:pt>
              <c:pt idx="1279">
                <c:v>7.9724776818942402</c:v>
              </c:pt>
              <c:pt idx="1280">
                <c:v>7.9314179936822002</c:v>
              </c:pt>
              <c:pt idx="1281">
                <c:v>7.9640378200790396</c:v>
              </c:pt>
              <c:pt idx="1282">
                <c:v>8.0024705283257198</c:v>
              </c:pt>
              <c:pt idx="1283">
                <c:v>7.9866654805178996</c:v>
              </c:pt>
              <c:pt idx="1284">
                <c:v>7.9665117034131798</c:v>
              </c:pt>
              <c:pt idx="1285">
                <c:v>7.8939707589124701</c:v>
              </c:pt>
              <c:pt idx="1286">
                <c:v>7.9745221013490104</c:v>
              </c:pt>
              <c:pt idx="1287">
                <c:v>8.1137860661158605</c:v>
              </c:pt>
              <c:pt idx="1288">
                <c:v>8.1411265323273003</c:v>
              </c:pt>
              <c:pt idx="1289">
                <c:v>8.2199616867145107</c:v>
              </c:pt>
              <c:pt idx="1290">
                <c:v>8.1736017586627696</c:v>
              </c:pt>
              <c:pt idx="1291">
                <c:v>8.1777191473845399</c:v>
              </c:pt>
              <c:pt idx="1292">
                <c:v>8.16647960258965</c:v>
              </c:pt>
              <c:pt idx="1293">
                <c:v>8.1599381962341706</c:v>
              </c:pt>
              <c:pt idx="1294">
                <c:v>8.2007457213654202</c:v>
              </c:pt>
              <c:pt idx="1295">
                <c:v>8.0697946475252404</c:v>
              </c:pt>
              <c:pt idx="1296">
                <c:v>7.9034764968665296</c:v>
              </c:pt>
              <c:pt idx="1297">
                <c:v>7.9303672245930601</c:v>
              </c:pt>
              <c:pt idx="1298">
                <c:v>7.8911875291846503</c:v>
              </c:pt>
              <c:pt idx="1299">
                <c:v>7.8854437236263601</c:v>
              </c:pt>
              <c:pt idx="1300">
                <c:v>7.8819286738477601</c:v>
              </c:pt>
              <c:pt idx="1301">
                <c:v>7.8852659948091697</c:v>
              </c:pt>
              <c:pt idx="1302">
                <c:v>7.9594198480912999</c:v>
              </c:pt>
              <c:pt idx="1303">
                <c:v>7.9582463497902998</c:v>
              </c:pt>
              <c:pt idx="1304">
                <c:v>7.9783706957798897</c:v>
              </c:pt>
              <c:pt idx="1305">
                <c:v>7.9322619921134097</c:v>
              </c:pt>
              <c:pt idx="1306">
                <c:v>7.9577042254377304</c:v>
              </c:pt>
              <c:pt idx="1307">
                <c:v>8.0044524266232404</c:v>
              </c:pt>
              <c:pt idx="1308">
                <c:v>7.9287457099684904</c:v>
              </c:pt>
              <c:pt idx="1309">
                <c:v>7.8318242700807801</c:v>
              </c:pt>
              <c:pt idx="1310">
                <c:v>7.7989701640885896</c:v>
              </c:pt>
              <c:pt idx="1311">
                <c:v>7.7108734370151302</c:v>
              </c:pt>
              <c:pt idx="1312">
                <c:v>7.8279865679408598</c:v>
              </c:pt>
              <c:pt idx="1313">
                <c:v>7.5744359484039698</c:v>
              </c:pt>
              <c:pt idx="1314">
                <c:v>7.7726239896814597</c:v>
              </c:pt>
              <c:pt idx="1315">
                <c:v>7.7516540281906501</c:v>
              </c:pt>
              <c:pt idx="1316">
                <c:v>7.7753336884160502</c:v>
              </c:pt>
              <c:pt idx="1317">
                <c:v>7.6535736792894902</c:v>
              </c:pt>
              <c:pt idx="1318">
                <c:v>7.6432739692399796</c:v>
              </c:pt>
              <c:pt idx="1319">
                <c:v>7.8193042256687004</c:v>
              </c:pt>
              <c:pt idx="1320">
                <c:v>7.7877483567080397</c:v>
              </c:pt>
              <c:pt idx="1321">
                <c:v>7.7892225703381399</c:v>
              </c:pt>
              <c:pt idx="1322">
                <c:v>7.6663471376476897</c:v>
              </c:pt>
              <c:pt idx="1323">
                <c:v>7.54479908533607</c:v>
              </c:pt>
              <c:pt idx="1324">
                <c:v>7.6411116688304803</c:v>
              </c:pt>
              <c:pt idx="1325">
                <c:v>7.7845871480775699</c:v>
              </c:pt>
              <c:pt idx="1326">
                <c:v>7.76367978863881</c:v>
              </c:pt>
              <c:pt idx="1327">
                <c:v>7.8541953030473204</c:v>
              </c:pt>
              <c:pt idx="1328">
                <c:v>7.8319917121981497</c:v>
              </c:pt>
              <c:pt idx="1329">
                <c:v>7.9032074637174903</c:v>
              </c:pt>
              <c:pt idx="1330">
                <c:v>7.92475396836603</c:v>
              </c:pt>
              <c:pt idx="1331">
                <c:v>7.8892501699737503</c:v>
              </c:pt>
              <c:pt idx="1332">
                <c:v>7.95200360621351</c:v>
              </c:pt>
              <c:pt idx="1333">
                <c:v>7.9417738288745099</c:v>
              </c:pt>
              <c:pt idx="1334">
                <c:v>7.7798828897502901</c:v>
              </c:pt>
              <c:pt idx="1335">
                <c:v>7.7523679483896499</c:v>
              </c:pt>
              <c:pt idx="1336">
                <c:v>7.88534272147501</c:v>
              </c:pt>
              <c:pt idx="1337">
                <c:v>7.8114725648935597</c:v>
              </c:pt>
              <c:pt idx="1338">
                <c:v>7.8277758169720304</c:v>
              </c:pt>
              <c:pt idx="1339">
                <c:v>7.6805770589040803</c:v>
              </c:pt>
              <c:pt idx="1340">
                <c:v>7.7021592813364403</c:v>
              </c:pt>
              <c:pt idx="1341">
                <c:v>7.6670038002680796</c:v>
              </c:pt>
              <c:pt idx="1342">
                <c:v>7.7385057015945797</c:v>
              </c:pt>
              <c:pt idx="1343">
                <c:v>7.8395997142831897</c:v>
              </c:pt>
              <c:pt idx="1344">
                <c:v>7.7665359836610399</c:v>
              </c:pt>
              <c:pt idx="1345">
                <c:v>7.76692036005588</c:v>
              </c:pt>
              <c:pt idx="1346">
                <c:v>7.8272123217259599</c:v>
              </c:pt>
              <c:pt idx="1347">
                <c:v>7.7094201748061097</c:v>
              </c:pt>
              <c:pt idx="1348">
                <c:v>7.6409845098141602</c:v>
              </c:pt>
              <c:pt idx="1349">
                <c:v>7.65635991416569</c:v>
              </c:pt>
              <c:pt idx="1350">
                <c:v>7.85803865852965</c:v>
              </c:pt>
              <c:pt idx="1351">
                <c:v>7.9592000052872303</c:v>
              </c:pt>
              <c:pt idx="1352">
                <c:v>7.9383425203444</c:v>
              </c:pt>
              <c:pt idx="1353">
                <c:v>7.8926870171527996</c:v>
              </c:pt>
              <c:pt idx="1354">
                <c:v>7.6979794278905898</c:v>
              </c:pt>
              <c:pt idx="1355">
                <c:v>7.7825996804904403</c:v>
              </c:pt>
              <c:pt idx="1356">
                <c:v>7.8920217333654303</c:v>
              </c:pt>
              <c:pt idx="1357">
                <c:v>7.9803181612503504</c:v>
              </c:pt>
              <c:pt idx="1358">
                <c:v>8.0667529001864597</c:v>
              </c:pt>
              <c:pt idx="1359">
                <c:v>8.1126791955357298</c:v>
              </c:pt>
              <c:pt idx="1360">
                <c:v>8.1001808744544306</c:v>
              </c:pt>
              <c:pt idx="1361">
                <c:v>8.2665089994560699</c:v>
              </c:pt>
              <c:pt idx="1362">
                <c:v>8.2486576945426595</c:v>
              </c:pt>
              <c:pt idx="1363">
                <c:v>8.4239169745320392</c:v>
              </c:pt>
              <c:pt idx="1364">
                <c:v>8.3174970392972494</c:v>
              </c:pt>
              <c:pt idx="1365">
                <c:v>8.3368972024202801</c:v>
              </c:pt>
              <c:pt idx="1366">
                <c:v>8.2977706414349495</c:v>
              </c:pt>
              <c:pt idx="1367">
                <c:v>8.3703815003249193</c:v>
              </c:pt>
              <c:pt idx="1368">
                <c:v>8.4073093560593293</c:v>
              </c:pt>
              <c:pt idx="1369">
                <c:v>8.4267194822316807</c:v>
              </c:pt>
              <c:pt idx="1370">
                <c:v>8.2918049427174196</c:v>
              </c:pt>
              <c:pt idx="1371">
                <c:v>8.4262077474105599</c:v>
              </c:pt>
              <c:pt idx="1372">
                <c:v>8.4882147358117201</c:v>
              </c:pt>
              <c:pt idx="1373">
                <c:v>8.4771846796916108</c:v>
              </c:pt>
              <c:pt idx="1374">
                <c:v>8.3718493442880497</c:v>
              </c:pt>
              <c:pt idx="1375">
                <c:v>8.2156153889024992</c:v>
              </c:pt>
              <c:pt idx="1376">
                <c:v>8.1902010082547196</c:v>
              </c:pt>
              <c:pt idx="1377">
                <c:v>8.2901492468113496</c:v>
              </c:pt>
              <c:pt idx="1378">
                <c:v>8.2722847797412697</c:v>
              </c:pt>
              <c:pt idx="1379">
                <c:v>8.2149720535166697</c:v>
              </c:pt>
              <c:pt idx="1380">
                <c:v>8.2320424106213395</c:v>
              </c:pt>
              <c:pt idx="1381">
                <c:v>8.0920659399405608</c:v>
              </c:pt>
              <c:pt idx="1382">
                <c:v>8.1515898741028501</c:v>
              </c:pt>
              <c:pt idx="1383">
                <c:v>8.2483377019081097</c:v>
              </c:pt>
              <c:pt idx="1384">
                <c:v>8.1190345673151505</c:v>
              </c:pt>
              <c:pt idx="1385">
                <c:v>8.0459263090984194</c:v>
              </c:pt>
              <c:pt idx="1386">
                <c:v>8.1213333124228804</c:v>
              </c:pt>
              <c:pt idx="1387">
                <c:v>8.0429260409660106</c:v>
              </c:pt>
              <c:pt idx="1388">
                <c:v>8.0858624161722599</c:v>
              </c:pt>
              <c:pt idx="1389">
                <c:v>8.0310806651483908</c:v>
              </c:pt>
              <c:pt idx="1390">
                <c:v>7.9898614038880904</c:v>
              </c:pt>
              <c:pt idx="1391">
                <c:v>7.95395685042</c:v>
              </c:pt>
              <c:pt idx="1392">
                <c:v>7.9445429485395502</c:v>
              </c:pt>
              <c:pt idx="1393">
                <c:v>7.9982012464305798</c:v>
              </c:pt>
              <c:pt idx="1394">
                <c:v>8.0976365512626494</c:v>
              </c:pt>
              <c:pt idx="1395">
                <c:v>8.0641766503344492</c:v>
              </c:pt>
              <c:pt idx="1396">
                <c:v>8.1505898855695609</c:v>
              </c:pt>
              <c:pt idx="1397">
                <c:v>8.1574584162047898</c:v>
              </c:pt>
              <c:pt idx="1398">
                <c:v>8.1328632126255194</c:v>
              </c:pt>
              <c:pt idx="1399">
                <c:v>8.0945713085466693</c:v>
              </c:pt>
              <c:pt idx="1400">
                <c:v>8.1411460441954198</c:v>
              </c:pt>
              <c:pt idx="1401">
                <c:v>8.1109309208593903</c:v>
              </c:pt>
              <c:pt idx="1402">
                <c:v>7.9906571005281304</c:v>
              </c:pt>
              <c:pt idx="1403">
                <c:v>8.1067385023588301</c:v>
              </c:pt>
              <c:pt idx="1404">
                <c:v>8.0314905211582595</c:v>
              </c:pt>
              <c:pt idx="1405">
                <c:v>8.0913928712965202</c:v>
              </c:pt>
              <c:pt idx="1406">
                <c:v>7.9579303706159603</c:v>
              </c:pt>
              <c:pt idx="1407">
                <c:v>8.0283713477639296</c:v>
              </c:pt>
              <c:pt idx="1408">
                <c:v>7.9935327297461702</c:v>
              </c:pt>
              <c:pt idx="1409">
                <c:v>8.0004456688263392</c:v>
              </c:pt>
              <c:pt idx="1410">
                <c:v>8.0736518181895303</c:v>
              </c:pt>
              <c:pt idx="1411">
                <c:v>8.0354544012333697</c:v>
              </c:pt>
              <c:pt idx="1412">
                <c:v>8.0317767447963107</c:v>
              </c:pt>
              <c:pt idx="1413">
                <c:v>8.1034324782627092</c:v>
              </c:pt>
              <c:pt idx="1414">
                <c:v>8.0361940151646003</c:v>
              </c:pt>
              <c:pt idx="1415">
                <c:v>8.0060486439337506</c:v>
              </c:pt>
              <c:pt idx="1416">
                <c:v>8.1943289615705304</c:v>
              </c:pt>
              <c:pt idx="1417">
                <c:v>8.1593991617157098</c:v>
              </c:pt>
              <c:pt idx="1418">
                <c:v>8.1480545288446606</c:v>
              </c:pt>
              <c:pt idx="1419">
                <c:v>8.1584580104696993</c:v>
              </c:pt>
              <c:pt idx="1420">
                <c:v>8.1090322886705692</c:v>
              </c:pt>
              <c:pt idx="1421">
                <c:v>8.1565760273210497</c:v>
              </c:pt>
              <c:pt idx="1422">
                <c:v>8.15345562321885</c:v>
              </c:pt>
              <c:pt idx="1423">
                <c:v>8.1185419431302908</c:v>
              </c:pt>
              <c:pt idx="1424">
                <c:v>8.2184085966876808</c:v>
              </c:pt>
              <c:pt idx="1425">
                <c:v>8.0416978621751198</c:v>
              </c:pt>
              <c:pt idx="1426">
                <c:v>8.1687605149261397</c:v>
              </c:pt>
              <c:pt idx="1427">
                <c:v>8.1391299714826104</c:v>
              </c:pt>
              <c:pt idx="1428">
                <c:v>8.1254013332548105</c:v>
              </c:pt>
              <c:pt idx="1429">
                <c:v>8.2114515250655096</c:v>
              </c:pt>
              <c:pt idx="1430">
                <c:v>8.2634588549067391</c:v>
              </c:pt>
              <c:pt idx="1431">
                <c:v>8.2899995769841794</c:v>
              </c:pt>
              <c:pt idx="1432">
                <c:v>8.4004730238611298</c:v>
              </c:pt>
              <c:pt idx="1433">
                <c:v>8.2222448406985098</c:v>
              </c:pt>
              <c:pt idx="1434">
                <c:v>8.1545362005939008</c:v>
              </c:pt>
              <c:pt idx="1435">
                <c:v>8.1249132459689797</c:v>
              </c:pt>
              <c:pt idx="1436">
                <c:v>8.0750256000445209</c:v>
              </c:pt>
              <c:pt idx="1437">
                <c:v>8.1098797582426201</c:v>
              </c:pt>
              <c:pt idx="1438">
                <c:v>8.0990807896429402</c:v>
              </c:pt>
              <c:pt idx="1439">
                <c:v>8.2036832441843703</c:v>
              </c:pt>
              <c:pt idx="1440">
                <c:v>8.2936049552852609</c:v>
              </c:pt>
              <c:pt idx="1441">
                <c:v>8.3424933691123897</c:v>
              </c:pt>
              <c:pt idx="1442">
                <c:v>8.40594900778731</c:v>
              </c:pt>
              <c:pt idx="1443">
                <c:v>8.3452820865935298</c:v>
              </c:pt>
              <c:pt idx="1444">
                <c:v>8.3491876495125101</c:v>
              </c:pt>
              <c:pt idx="1445">
                <c:v>8.3010416483061604</c:v>
              </c:pt>
              <c:pt idx="1446">
                <c:v>8.3306489026775594</c:v>
              </c:pt>
              <c:pt idx="1447">
                <c:v>8.2134836282893495</c:v>
              </c:pt>
              <c:pt idx="1448">
                <c:v>8.3386151285078896</c:v>
              </c:pt>
              <c:pt idx="1449">
                <c:v>8.3955853665953004</c:v>
              </c:pt>
              <c:pt idx="1450">
                <c:v>8.3561275729437892</c:v>
              </c:pt>
              <c:pt idx="1451">
                <c:v>8.3485533037552404</c:v>
              </c:pt>
              <c:pt idx="1452">
                <c:v>8.2825569362529308</c:v>
              </c:pt>
              <c:pt idx="1453">
                <c:v>8.3334055603627704</c:v>
              </c:pt>
              <c:pt idx="1454">
                <c:v>8.24696264081037</c:v>
              </c:pt>
              <c:pt idx="1455">
                <c:v>8.1793077293421206</c:v>
              </c:pt>
              <c:pt idx="1456">
                <c:v>8.1661976175748396</c:v>
              </c:pt>
              <c:pt idx="1457">
                <c:v>8.2275092685663704</c:v>
              </c:pt>
              <c:pt idx="1458">
                <c:v>8.2975387854152807</c:v>
              </c:pt>
              <c:pt idx="1459">
                <c:v>8.1894778610908503</c:v>
              </c:pt>
              <c:pt idx="1460">
                <c:v>8.1446343842632505</c:v>
              </c:pt>
              <c:pt idx="1461">
                <c:v>8.0945033849422607</c:v>
              </c:pt>
              <c:pt idx="1462">
                <c:v>8.0762012127588498</c:v>
              </c:pt>
              <c:pt idx="1463">
                <c:v>8.1321485922111592</c:v>
              </c:pt>
              <c:pt idx="1464">
                <c:v>8.0083125918549705</c:v>
              </c:pt>
              <c:pt idx="1465">
                <c:v>8.0149754976737402</c:v>
              </c:pt>
              <c:pt idx="1466">
                <c:v>8.1520224166213602</c:v>
              </c:pt>
              <c:pt idx="1467">
                <c:v>8.34997066512204</c:v>
              </c:pt>
              <c:pt idx="1468">
                <c:v>8.3156961784575305</c:v>
              </c:pt>
              <c:pt idx="1469">
                <c:v>8.3298319586104093</c:v>
              </c:pt>
              <c:pt idx="1470">
                <c:v>8.3259958279354294</c:v>
              </c:pt>
              <c:pt idx="1471">
                <c:v>8.3381365520378594</c:v>
              </c:pt>
              <c:pt idx="1472">
                <c:v>8.26136365481136</c:v>
              </c:pt>
              <c:pt idx="1473">
                <c:v>8.2179290359445094</c:v>
              </c:pt>
              <c:pt idx="1474">
                <c:v>8.1895895088789405</c:v>
              </c:pt>
              <c:pt idx="1475">
                <c:v>8.1712924411870809</c:v>
              </c:pt>
              <c:pt idx="1476">
                <c:v>8.0747355092531894</c:v>
              </c:pt>
              <c:pt idx="1477">
                <c:v>7.97554493986536</c:v>
              </c:pt>
              <c:pt idx="1478">
                <c:v>7.9466741727944896</c:v>
              </c:pt>
              <c:pt idx="1479">
                <c:v>7.9950732827104503</c:v>
              </c:pt>
              <c:pt idx="1480">
                <c:v>7.92503911863942</c:v>
              </c:pt>
              <c:pt idx="1481">
                <c:v>7.9504141615039501</c:v>
              </c:pt>
              <c:pt idx="1482">
                <c:v>7.9374349000652904</c:v>
              </c:pt>
              <c:pt idx="1483">
                <c:v>7.7730402944251802</c:v>
              </c:pt>
              <c:pt idx="1484">
                <c:v>7.7784058770344</c:v>
              </c:pt>
              <c:pt idx="1485">
                <c:v>7.8037460162902397</c:v>
              </c:pt>
              <c:pt idx="1486">
                <c:v>7.7285641681456498</c:v>
              </c:pt>
              <c:pt idx="1487">
                <c:v>7.70935345723771</c:v>
              </c:pt>
              <c:pt idx="1488">
                <c:v>7.7124207383826304</c:v>
              </c:pt>
              <c:pt idx="1489">
                <c:v>7.7864557145049798</c:v>
              </c:pt>
              <c:pt idx="1490">
                <c:v>7.7441016534801399</c:v>
              </c:pt>
              <c:pt idx="1491">
                <c:v>7.7630613565932096</c:v>
              </c:pt>
              <c:pt idx="1492">
                <c:v>7.6962630844041904</c:v>
              </c:pt>
              <c:pt idx="1493">
                <c:v>7.6053288196984603</c:v>
              </c:pt>
              <c:pt idx="1494">
                <c:v>7.6770655369148502</c:v>
              </c:pt>
              <c:pt idx="1495">
                <c:v>7.5967137258551496</c:v>
              </c:pt>
              <c:pt idx="1496">
                <c:v>7.63034841733423</c:v>
              </c:pt>
              <c:pt idx="1497">
                <c:v>7.49851035279152</c:v>
              </c:pt>
              <c:pt idx="1498">
                <c:v>7.6094783026042299</c:v>
              </c:pt>
              <c:pt idx="1499">
                <c:v>7.5409807327049698</c:v>
              </c:pt>
              <c:pt idx="1500">
                <c:v>7.53494163663997</c:v>
              </c:pt>
              <c:pt idx="1501">
                <c:v>7.3885841386251103</c:v>
              </c:pt>
              <c:pt idx="1502">
                <c:v>7.4045262702451504</c:v>
              </c:pt>
              <c:pt idx="1503">
                <c:v>7.3572424041224798</c:v>
              </c:pt>
              <c:pt idx="1504">
                <c:v>7.3415762878603203</c:v>
              </c:pt>
              <c:pt idx="1505">
                <c:v>7.2906665945792204</c:v>
              </c:pt>
              <c:pt idx="1506">
                <c:v>7.3007634525606102</c:v>
              </c:pt>
              <c:pt idx="1507">
                <c:v>7.2753249430416602</c:v>
              </c:pt>
              <c:pt idx="1508">
                <c:v>7.2543894563841897</c:v>
              </c:pt>
              <c:pt idx="1509">
                <c:v>7.2913384536817496</c:v>
              </c:pt>
              <c:pt idx="1510">
                <c:v>7.1066870122588304</c:v>
              </c:pt>
              <c:pt idx="1511">
                <c:v>7.20168150999032</c:v>
              </c:pt>
              <c:pt idx="1512">
                <c:v>7.2695195045650003</c:v>
              </c:pt>
              <c:pt idx="1513">
                <c:v>7.2216617637500802</c:v>
              </c:pt>
              <c:pt idx="1514">
                <c:v>7.1961641787642696</c:v>
              </c:pt>
              <c:pt idx="1515">
                <c:v>7.2331130509932304</c:v>
              </c:pt>
              <c:pt idx="1516">
                <c:v>7.2650898718929398</c:v>
              </c:pt>
              <c:pt idx="1517">
                <c:v>7.2231542221292697</c:v>
              </c:pt>
              <c:pt idx="1518">
                <c:v>7.1497051048460296</c:v>
              </c:pt>
              <c:pt idx="1519">
                <c:v>7.0080710747558701</c:v>
              </c:pt>
              <c:pt idx="1520">
                <c:v>6.9341843215674297</c:v>
              </c:pt>
              <c:pt idx="1521">
                <c:v>6.88733186277224</c:v>
              </c:pt>
              <c:pt idx="1522">
                <c:v>7.0815091689673304</c:v>
              </c:pt>
              <c:pt idx="1523">
                <c:v>7.1560922353494103</c:v>
              </c:pt>
              <c:pt idx="1524">
                <c:v>7.2455044019105603</c:v>
              </c:pt>
              <c:pt idx="1525">
                <c:v>7.2131240032188702</c:v>
              </c:pt>
              <c:pt idx="1526">
                <c:v>7.1981606338562996</c:v>
              </c:pt>
              <c:pt idx="1527">
                <c:v>7.2875952674779496</c:v>
              </c:pt>
              <c:pt idx="1528">
                <c:v>7.1611877603974197</c:v>
              </c:pt>
              <c:pt idx="1529">
                <c:v>7.2397172207807596</c:v>
              </c:pt>
              <c:pt idx="1530">
                <c:v>7.3662314954641799</c:v>
              </c:pt>
              <c:pt idx="1531">
                <c:v>7.2667616315134298</c:v>
              </c:pt>
              <c:pt idx="1532">
                <c:v>7.4351571783971799</c:v>
              </c:pt>
              <c:pt idx="1533">
                <c:v>7.4563043733371703</c:v>
              </c:pt>
              <c:pt idx="1534">
                <c:v>7.3774671544474</c:v>
              </c:pt>
              <c:pt idx="1535">
                <c:v>7.3622281010566697</c:v>
              </c:pt>
              <c:pt idx="1536">
                <c:v>7.2939788793508402</c:v>
              </c:pt>
              <c:pt idx="1537">
                <c:v>7.3466283149011202</c:v>
              </c:pt>
              <c:pt idx="1538">
                <c:v>7.3572308182725497</c:v>
              </c:pt>
              <c:pt idx="1539">
                <c:v>7.4362065772301902</c:v>
              </c:pt>
              <c:pt idx="1540">
                <c:v>7.4972726329979098</c:v>
              </c:pt>
              <c:pt idx="1541">
                <c:v>7.4672401755256503</c:v>
              </c:pt>
              <c:pt idx="1542">
                <c:v>7.5108986861184501</c:v>
              </c:pt>
              <c:pt idx="1543">
                <c:v>7.38615973666563</c:v>
              </c:pt>
              <c:pt idx="1544">
                <c:v>7.3877046639521096</c:v>
              </c:pt>
              <c:pt idx="1545">
                <c:v>7.2766919146423099</c:v>
              </c:pt>
              <c:pt idx="1546">
                <c:v>7.26247255878405</c:v>
              </c:pt>
              <c:pt idx="1547">
                <c:v>7.2588098924163198</c:v>
              </c:pt>
              <c:pt idx="1548">
                <c:v>7.1395790239720203</c:v>
              </c:pt>
              <c:pt idx="1549">
                <c:v>7.1463273405294903</c:v>
              </c:pt>
              <c:pt idx="1550">
                <c:v>7.1615296406409596</c:v>
              </c:pt>
              <c:pt idx="1551">
                <c:v>7.1736955196513703</c:v>
              </c:pt>
              <c:pt idx="1552">
                <c:v>7.1700385095370098</c:v>
              </c:pt>
              <c:pt idx="1553">
                <c:v>7.1717436481342398</c:v>
              </c:pt>
              <c:pt idx="1554">
                <c:v>7.1576441480152697</c:v>
              </c:pt>
              <c:pt idx="1555">
                <c:v>7.0157010915433498</c:v>
              </c:pt>
              <c:pt idx="1556">
                <c:v>7.0435616012452202</c:v>
              </c:pt>
              <c:pt idx="1557">
                <c:v>7.00326232450952</c:v>
              </c:pt>
              <c:pt idx="1558">
                <c:v>7.0416080473233897</c:v>
              </c:pt>
              <c:pt idx="1559">
                <c:v>7.2269580640413702</c:v>
              </c:pt>
              <c:pt idx="1560">
                <c:v>7.3367588703959097</c:v>
              </c:pt>
              <c:pt idx="1561">
                <c:v>7.3068460416476197</c:v>
              </c:pt>
              <c:pt idx="1562">
                <c:v>7.3267057767924202</c:v>
              </c:pt>
              <c:pt idx="1563">
                <c:v>7.3620111693458101</c:v>
              </c:pt>
              <c:pt idx="1564">
                <c:v>7.31874566988024</c:v>
              </c:pt>
              <c:pt idx="1565">
                <c:v>7.4625020383640503</c:v>
              </c:pt>
              <c:pt idx="1566">
                <c:v>7.4714089815398204</c:v>
              </c:pt>
              <c:pt idx="1567">
                <c:v>7.5290416281886596</c:v>
              </c:pt>
              <c:pt idx="1568">
                <c:v>7.5432052455543204</c:v>
              </c:pt>
              <c:pt idx="1569">
                <c:v>7.4524697599292997</c:v>
              </c:pt>
              <c:pt idx="1570">
                <c:v>7.4646907313173703</c:v>
              </c:pt>
              <c:pt idx="1571">
                <c:v>7.5061976412297904</c:v>
              </c:pt>
              <c:pt idx="1572">
                <c:v>7.5676734896597004</c:v>
              </c:pt>
              <c:pt idx="1573">
                <c:v>7.69305699698279</c:v>
              </c:pt>
              <c:pt idx="1574">
                <c:v>7.6760342491382696</c:v>
              </c:pt>
              <c:pt idx="1575">
                <c:v>7.6566288713662196</c:v>
              </c:pt>
              <c:pt idx="1576">
                <c:v>7.6554363340302496</c:v>
              </c:pt>
              <c:pt idx="1577">
                <c:v>7.5849698283652698</c:v>
              </c:pt>
              <c:pt idx="1578">
                <c:v>7.48890486433758</c:v>
              </c:pt>
              <c:pt idx="1579">
                <c:v>7.43503403169177</c:v>
              </c:pt>
              <c:pt idx="1580">
                <c:v>7.3892937679971498</c:v>
              </c:pt>
              <c:pt idx="1581">
                <c:v>7.3828210965836103</c:v>
              </c:pt>
              <c:pt idx="1582">
                <c:v>7.3763487353875101</c:v>
              </c:pt>
              <c:pt idx="1583">
                <c:v>7.3014958105902297</c:v>
              </c:pt>
              <c:pt idx="1584">
                <c:v>7.2687404106100102</c:v>
              </c:pt>
              <c:pt idx="1585">
                <c:v>7.2332464102423897</c:v>
              </c:pt>
              <c:pt idx="1586">
                <c:v>7.2506985110493796</c:v>
              </c:pt>
              <c:pt idx="1587">
                <c:v>7.1883845954681096</c:v>
              </c:pt>
              <c:pt idx="1588">
                <c:v>7.2469344589576998</c:v>
              </c:pt>
              <c:pt idx="1589">
                <c:v>7.3528646662841499</c:v>
              </c:pt>
              <c:pt idx="1590">
                <c:v>7.2604353384857898</c:v>
              </c:pt>
              <c:pt idx="1591">
                <c:v>7.2454104893405296</c:v>
              </c:pt>
              <c:pt idx="1592">
                <c:v>7.2998498995731698</c:v>
              </c:pt>
              <c:pt idx="1593">
                <c:v>7.34796709388299</c:v>
              </c:pt>
              <c:pt idx="1594">
                <c:v>7.4013730466482102</c:v>
              </c:pt>
              <c:pt idx="1595">
                <c:v>7.5406749405852098</c:v>
              </c:pt>
              <c:pt idx="1596">
                <c:v>7.43483233692477</c:v>
              </c:pt>
              <c:pt idx="1597">
                <c:v>7.4526304263346796</c:v>
              </c:pt>
              <c:pt idx="1598">
                <c:v>7.3257805016375501</c:v>
              </c:pt>
              <c:pt idx="1599">
                <c:v>7.3844301219249804</c:v>
              </c:pt>
              <c:pt idx="1600">
                <c:v>7.3038073507341696</c:v>
              </c:pt>
              <c:pt idx="1601">
                <c:v>7.22568241543184</c:v>
              </c:pt>
              <c:pt idx="1602">
                <c:v>7.1213445817323899</c:v>
              </c:pt>
              <c:pt idx="1603">
                <c:v>7.0695932922888698</c:v>
              </c:pt>
              <c:pt idx="1604">
                <c:v>7.0322035504445601</c:v>
              </c:pt>
              <c:pt idx="1605">
                <c:v>7.0026886692859902</c:v>
              </c:pt>
              <c:pt idx="1606">
                <c:v>6.9792639266344203</c:v>
              </c:pt>
              <c:pt idx="1607">
                <c:v>6.8996094868132998</c:v>
              </c:pt>
              <c:pt idx="1608">
                <c:v>6.9510833948208202</c:v>
              </c:pt>
              <c:pt idx="1609">
                <c:v>6.99887973657831</c:v>
              </c:pt>
              <c:pt idx="1610">
                <c:v>6.9802860008705698</c:v>
              </c:pt>
              <c:pt idx="1611">
                <c:v>6.9583417267540204</c:v>
              </c:pt>
              <c:pt idx="1612">
                <c:v>6.95938202440494</c:v>
              </c:pt>
              <c:pt idx="1613">
                <c:v>6.8865768497604396</c:v>
              </c:pt>
              <c:pt idx="1614">
                <c:v>6.8786946434013396</c:v>
              </c:pt>
              <c:pt idx="1615">
                <c:v>6.8127901335116103</c:v>
              </c:pt>
              <c:pt idx="1616">
                <c:v>6.8013143887119902</c:v>
              </c:pt>
              <c:pt idx="1617">
                <c:v>6.8842723110067903</c:v>
              </c:pt>
              <c:pt idx="1618">
                <c:v>6.9812872771851202</c:v>
              </c:pt>
              <c:pt idx="1619">
                <c:v>6.9172659580128997</c:v>
              </c:pt>
              <c:pt idx="1620">
                <c:v>6.8302880985821304</c:v>
              </c:pt>
              <c:pt idx="1621">
                <c:v>6.85028818055196</c:v>
              </c:pt>
              <c:pt idx="1622">
                <c:v>6.8650458481461101</c:v>
              </c:pt>
              <c:pt idx="1623">
                <c:v>6.8955656003565604</c:v>
              </c:pt>
              <c:pt idx="1624">
                <c:v>6.8630658658944697</c:v>
              </c:pt>
              <c:pt idx="1625">
                <c:v>6.7603554018487797</c:v>
              </c:pt>
              <c:pt idx="1626">
                <c:v>6.6859186117285798</c:v>
              </c:pt>
              <c:pt idx="1627">
                <c:v>6.6587030395217202</c:v>
              </c:pt>
              <c:pt idx="1628">
                <c:v>6.6594299246453899</c:v>
              </c:pt>
              <c:pt idx="1629">
                <c:v>6.7230932978811904</c:v>
              </c:pt>
              <c:pt idx="1630">
                <c:v>6.7200254491571698</c:v>
              </c:pt>
              <c:pt idx="1631">
                <c:v>6.7500935267283504</c:v>
              </c:pt>
              <c:pt idx="1632">
                <c:v>6.7665425269172603</c:v>
              </c:pt>
              <c:pt idx="1633">
                <c:v>6.7357686496103399</c:v>
              </c:pt>
              <c:pt idx="1634">
                <c:v>6.6914645938039001</c:v>
              </c:pt>
              <c:pt idx="1635">
                <c:v>6.6779182337520302</c:v>
              </c:pt>
              <c:pt idx="1636">
                <c:v>6.66291995924189</c:v>
              </c:pt>
              <c:pt idx="1637">
                <c:v>6.6741322806303804</c:v>
              </c:pt>
              <c:pt idx="1638">
                <c:v>6.6358707889108999</c:v>
              </c:pt>
              <c:pt idx="1639">
                <c:v>6.6575435675786601</c:v>
              </c:pt>
              <c:pt idx="1640">
                <c:v>6.7330704848258103</c:v>
              </c:pt>
              <c:pt idx="1641">
                <c:v>6.8124723342831697</c:v>
              </c:pt>
              <c:pt idx="1642">
                <c:v>6.8551723821131301</c:v>
              </c:pt>
              <c:pt idx="1643">
                <c:v>6.9188975704919304</c:v>
              </c:pt>
              <c:pt idx="1644">
                <c:v>6.9774016023935097</c:v>
              </c:pt>
              <c:pt idx="1645">
                <c:v>6.9584965526768201</c:v>
              </c:pt>
              <c:pt idx="1646">
                <c:v>6.9907328600848704</c:v>
              </c:pt>
              <c:pt idx="1647">
                <c:v>6.9178822458373599</c:v>
              </c:pt>
              <c:pt idx="1648">
                <c:v>6.9290935793156798</c:v>
              </c:pt>
              <c:pt idx="1649">
                <c:v>6.8720385713777503</c:v>
              </c:pt>
              <c:pt idx="1650">
                <c:v>6.84350402963116</c:v>
              </c:pt>
              <c:pt idx="1651">
                <c:v>6.8751255811723402</c:v>
              </c:pt>
              <c:pt idx="1652">
                <c:v>6.8700005253654197</c:v>
              </c:pt>
              <c:pt idx="1653">
                <c:v>6.8018932402009096</c:v>
              </c:pt>
              <c:pt idx="1654">
                <c:v>6.7967698637351202</c:v>
              </c:pt>
              <c:pt idx="1655">
                <c:v>6.8076362153494996</c:v>
              </c:pt>
              <c:pt idx="1656">
                <c:v>6.7815241027924502</c:v>
              </c:pt>
              <c:pt idx="1657">
                <c:v>6.8785699306562798</c:v>
              </c:pt>
              <c:pt idx="1658">
                <c:v>6.9627376747594596</c:v>
              </c:pt>
              <c:pt idx="1659">
                <c:v>7.0336013008246203</c:v>
              </c:pt>
              <c:pt idx="1660">
                <c:v>6.9918110760968499</c:v>
              </c:pt>
              <c:pt idx="1661">
                <c:v>7.0181964911200101</c:v>
              </c:pt>
              <c:pt idx="1662">
                <c:v>7.0235493996724498</c:v>
              </c:pt>
              <c:pt idx="1663">
                <c:v>6.9815734607159499</c:v>
              </c:pt>
              <c:pt idx="1664">
                <c:v>6.9448678827972197</c:v>
              </c:pt>
              <c:pt idx="1665">
                <c:v>6.9473593402091103</c:v>
              </c:pt>
              <c:pt idx="1666">
                <c:v>6.9423238877442701</c:v>
              </c:pt>
              <c:pt idx="1667">
                <c:v>6.9056064992001804</c:v>
              </c:pt>
              <c:pt idx="1668">
                <c:v>6.8375278109366704</c:v>
              </c:pt>
              <c:pt idx="1669">
                <c:v>6.9650260729050997</c:v>
              </c:pt>
              <c:pt idx="1670">
                <c:v>6.9131395412032504</c:v>
              </c:pt>
              <c:pt idx="1671">
                <c:v>6.9959489286719903</c:v>
              </c:pt>
              <c:pt idx="1672">
                <c:v>6.9737247846786401</c:v>
              </c:pt>
              <c:pt idx="1673">
                <c:v>6.9586352266043399</c:v>
              </c:pt>
              <c:pt idx="1674">
                <c:v>6.9330311114986998</c:v>
              </c:pt>
              <c:pt idx="1675">
                <c:v>6.9757905054991198</c:v>
              </c:pt>
              <c:pt idx="1676">
                <c:v>6.9975221186355796</c:v>
              </c:pt>
              <c:pt idx="1677">
                <c:v>6.9732862896755501</c:v>
              </c:pt>
              <c:pt idx="1678">
                <c:v>6.9476762042364397</c:v>
              </c:pt>
              <c:pt idx="1679">
                <c:v>6.8537379670829699</c:v>
              </c:pt>
              <c:pt idx="1680">
                <c:v>6.7808811217908902</c:v>
              </c:pt>
              <c:pt idx="1681">
                <c:v>6.9024159663055897</c:v>
              </c:pt>
              <c:pt idx="1682">
                <c:v>6.8361499284044003</c:v>
              </c:pt>
              <c:pt idx="1683">
                <c:v>6.8315816437384704</c:v>
              </c:pt>
              <c:pt idx="1684">
                <c:v>6.75347954170131</c:v>
              </c:pt>
              <c:pt idx="1685">
                <c:v>6.7331625953091399</c:v>
              </c:pt>
              <c:pt idx="1686">
                <c:v>6.7706016923077401</c:v>
              </c:pt>
              <c:pt idx="1687">
                <c:v>6.9468081664749697</c:v>
              </c:pt>
              <c:pt idx="1688">
                <c:v>6.9474985085886702</c:v>
              </c:pt>
              <c:pt idx="1689">
                <c:v>6.8813184008046404</c:v>
              </c:pt>
              <c:pt idx="1690">
                <c:v>6.9680369018883903</c:v>
              </c:pt>
              <c:pt idx="1691">
                <c:v>7.0486595326420698</c:v>
              </c:pt>
              <c:pt idx="1692">
                <c:v>6.9488695405413896</c:v>
              </c:pt>
              <c:pt idx="1693">
                <c:v>6.98448320264513</c:v>
              </c:pt>
              <c:pt idx="1694">
                <c:v>6.93065686605014</c:v>
              </c:pt>
              <c:pt idx="1695">
                <c:v>6.9438680606190601</c:v>
              </c:pt>
              <c:pt idx="1696">
                <c:v>6.92449888968099</c:v>
              </c:pt>
              <c:pt idx="1697">
                <c:v>6.9390799898647204</c:v>
              </c:pt>
              <c:pt idx="1698">
                <c:v>6.9957522275737096</c:v>
              </c:pt>
              <c:pt idx="1699">
                <c:v>7.0893133499305296</c:v>
              </c:pt>
              <c:pt idx="1700">
                <c:v>7.0196686941459596</c:v>
              </c:pt>
              <c:pt idx="1701">
                <c:v>7.0739787427398504</c:v>
              </c:pt>
              <c:pt idx="1702">
                <c:v>7.0991091478966704</c:v>
              </c:pt>
              <c:pt idx="1703">
                <c:v>7.1084421138461398</c:v>
              </c:pt>
              <c:pt idx="1704">
                <c:v>7.0598490591958996</c:v>
              </c:pt>
              <c:pt idx="1705">
                <c:v>7.0639142526597096</c:v>
              </c:pt>
              <c:pt idx="1706">
                <c:v>7.0402951549195301</c:v>
              </c:pt>
              <c:pt idx="1707">
                <c:v>6.9180942342912601</c:v>
              </c:pt>
              <c:pt idx="1708">
                <c:v>6.8748326705915899</c:v>
              </c:pt>
              <c:pt idx="1709">
                <c:v>6.8893860316513704</c:v>
              </c:pt>
              <c:pt idx="1710">
                <c:v>6.8811933366433697</c:v>
              </c:pt>
              <c:pt idx="1711">
                <c:v>6.8122670240882401</c:v>
              </c:pt>
              <c:pt idx="1712">
                <c:v>6.86897562248872</c:v>
              </c:pt>
              <c:pt idx="1713">
                <c:v>6.9361938437664703</c:v>
              </c:pt>
              <c:pt idx="1714">
                <c:v>6.9754227721654098</c:v>
              </c:pt>
              <c:pt idx="1715">
                <c:v>7.0839620333551503</c:v>
              </c:pt>
              <c:pt idx="1716">
                <c:v>7.1148814608021498</c:v>
              </c:pt>
              <c:pt idx="1717">
                <c:v>7.1505290602316798</c:v>
              </c:pt>
              <c:pt idx="1718">
                <c:v>7.1056505504990097</c:v>
              </c:pt>
              <c:pt idx="1719">
                <c:v>7.2150454650932598</c:v>
              </c:pt>
              <c:pt idx="1720">
                <c:v>7.1603338799432104</c:v>
              </c:pt>
              <c:pt idx="1721">
                <c:v>6.9910983112289902</c:v>
              </c:pt>
              <c:pt idx="1722">
                <c:v>7.0686707834437499</c:v>
              </c:pt>
              <c:pt idx="1723">
                <c:v>7.0298004168066504</c:v>
              </c:pt>
              <c:pt idx="1724">
                <c:v>7.0962290693665304</c:v>
              </c:pt>
              <c:pt idx="1725">
                <c:v>7.0678787846908397</c:v>
              </c:pt>
              <c:pt idx="1726">
                <c:v>7.1408314490462699</c:v>
              </c:pt>
              <c:pt idx="1727">
                <c:v>7.0808657965483199</c:v>
              </c:pt>
              <c:pt idx="1728">
                <c:v>7.0156691344414703</c:v>
              </c:pt>
              <c:pt idx="1729">
                <c:v>6.9132459083525797</c:v>
              </c:pt>
              <c:pt idx="1730">
                <c:v>6.8916601927125898</c:v>
              </c:pt>
              <c:pt idx="1731">
                <c:v>6.9315265318804098</c:v>
              </c:pt>
              <c:pt idx="1732">
                <c:v>6.8974211550830704</c:v>
              </c:pt>
              <c:pt idx="1733">
                <c:v>6.80553108262938</c:v>
              </c:pt>
              <c:pt idx="1734">
                <c:v>6.7191216746650397</c:v>
              </c:pt>
              <c:pt idx="1735">
                <c:v>6.7428172355088698</c:v>
              </c:pt>
              <c:pt idx="1736">
                <c:v>6.7875218525857104</c:v>
              </c:pt>
              <c:pt idx="1737">
                <c:v>6.82699055027605</c:v>
              </c:pt>
              <c:pt idx="1738">
                <c:v>6.8191851817288596</c:v>
              </c:pt>
              <c:pt idx="1739">
                <c:v>6.7643808044686597</c:v>
              </c:pt>
              <c:pt idx="1740">
                <c:v>6.7723127661069702</c:v>
              </c:pt>
              <c:pt idx="1741">
                <c:v>6.7854960891425398</c:v>
              </c:pt>
              <c:pt idx="1742">
                <c:v>6.7199351200063697</c:v>
              </c:pt>
              <c:pt idx="1743">
                <c:v>6.7279016031902801</c:v>
              </c:pt>
              <c:pt idx="1744">
                <c:v>6.7465316540059597</c:v>
              </c:pt>
              <c:pt idx="1745">
                <c:v>6.67585190651576</c:v>
              </c:pt>
              <c:pt idx="1746">
                <c:v>6.68917909138385</c:v>
              </c:pt>
              <c:pt idx="1747">
                <c:v>6.69996854126118</c:v>
              </c:pt>
              <c:pt idx="1748">
                <c:v>6.6560108781084102</c:v>
              </c:pt>
              <c:pt idx="1749">
                <c:v>6.6430869690933703</c:v>
              </c:pt>
              <c:pt idx="1750">
                <c:v>6.6387421477339696</c:v>
              </c:pt>
              <c:pt idx="1751">
                <c:v>6.5608592146817504</c:v>
              </c:pt>
              <c:pt idx="1752">
                <c:v>6.55650013728002</c:v>
              </c:pt>
              <c:pt idx="1753">
                <c:v>6.6168066060793098</c:v>
              </c:pt>
              <c:pt idx="1754">
                <c:v>6.5547867424317703</c:v>
              </c:pt>
              <c:pt idx="1755">
                <c:v>6.5978484351463296</c:v>
              </c:pt>
              <c:pt idx="1756">
                <c:v>6.6247099996808299</c:v>
              </c:pt>
              <c:pt idx="1757">
                <c:v>6.69905022858193</c:v>
              </c:pt>
              <c:pt idx="1758">
                <c:v>6.68073360973347</c:v>
              </c:pt>
              <c:pt idx="1759">
                <c:v>6.6658819374747003</c:v>
              </c:pt>
              <c:pt idx="1760">
                <c:v>6.6881127952867603</c:v>
              </c:pt>
              <c:pt idx="1761">
                <c:v>6.6470345372864097</c:v>
              </c:pt>
              <c:pt idx="1762">
                <c:v>6.5636402793212598</c:v>
              </c:pt>
              <c:pt idx="1763">
                <c:v>6.5877018558138296</c:v>
              </c:pt>
              <c:pt idx="1764">
                <c:v>6.6148387904499701</c:v>
              </c:pt>
              <c:pt idx="1765">
                <c:v>6.6153018115594504</c:v>
              </c:pt>
              <c:pt idx="1766">
                <c:v>6.6371874702342701</c:v>
              </c:pt>
              <c:pt idx="1767">
                <c:v>6.6438050140404696</c:v>
              </c:pt>
              <c:pt idx="1768">
                <c:v>6.5735802920500204</c:v>
              </c:pt>
              <c:pt idx="1769">
                <c:v>6.6212024534775002</c:v>
              </c:pt>
              <c:pt idx="1770">
                <c:v>6.7644828952040799</c:v>
              </c:pt>
              <c:pt idx="1771">
                <c:v>6.6755336597069403</c:v>
              </c:pt>
              <c:pt idx="1772">
                <c:v>6.6245116765371002</c:v>
              </c:pt>
              <c:pt idx="1773">
                <c:v>6.7471157857803803</c:v>
              </c:pt>
              <c:pt idx="1774">
                <c:v>6.78162835529597</c:v>
              </c:pt>
              <c:pt idx="1775">
                <c:v>6.7472105164552998</c:v>
              </c:pt>
              <c:pt idx="1776">
                <c:v>6.7128109972841603</c:v>
              </c:pt>
              <c:pt idx="1777">
                <c:v>6.6462640328691203</c:v>
              </c:pt>
              <c:pt idx="1778">
                <c:v>6.8770344969949004</c:v>
              </c:pt>
              <c:pt idx="1779">
                <c:v>6.94250584954428</c:v>
              </c:pt>
              <c:pt idx="1780">
                <c:v>6.8975420326474701</c:v>
              </c:pt>
              <c:pt idx="1781">
                <c:v>6.8841402384946004</c:v>
              </c:pt>
              <c:pt idx="1782">
                <c:v>6.9753773429850998</c:v>
              </c:pt>
              <c:pt idx="1783">
                <c:v>6.9882656400247001</c:v>
              </c:pt>
              <c:pt idx="1784">
                <c:v>7.0388295429987702</c:v>
              </c:pt>
              <c:pt idx="1785">
                <c:v>7.2835169747637298</c:v>
              </c:pt>
              <c:pt idx="1786">
                <c:v>7.4230746758162898</c:v>
              </c:pt>
              <c:pt idx="1787">
                <c:v>7.7782088679471997</c:v>
              </c:pt>
              <c:pt idx="1788">
                <c:v>7.5477798675549899</c:v>
              </c:pt>
              <c:pt idx="1789">
                <c:v>7.60826306354239</c:v>
              </c:pt>
              <c:pt idx="1790">
                <c:v>7.60003266346685</c:v>
              </c:pt>
              <c:pt idx="1791">
                <c:v>7.5538349159440097</c:v>
              </c:pt>
              <c:pt idx="1792">
                <c:v>7.6563221301727298</c:v>
              </c:pt>
              <c:pt idx="1793">
                <c:v>7.56286623059452</c:v>
              </c:pt>
              <c:pt idx="1794">
                <c:v>7.5645429099241204</c:v>
              </c:pt>
              <c:pt idx="1795">
                <c:v>7.6179973174914197</c:v>
              </c:pt>
              <c:pt idx="1796">
                <c:v>7.6366043102196004</c:v>
              </c:pt>
              <c:pt idx="1797">
                <c:v>7.7156924741585504</c:v>
              </c:pt>
              <c:pt idx="1798">
                <c:v>7.6867739574329796</c:v>
              </c:pt>
              <c:pt idx="1799">
                <c:v>7.6408713098547398</c:v>
              </c:pt>
              <c:pt idx="1800">
                <c:v>7.5292422879152303</c:v>
              </c:pt>
              <c:pt idx="1801">
                <c:v>7.5320877964245403</c:v>
              </c:pt>
              <c:pt idx="1802">
                <c:v>7.5054251544957697</c:v>
              </c:pt>
              <c:pt idx="1803">
                <c:v>7.5282295946198099</c:v>
              </c:pt>
              <c:pt idx="1804">
                <c:v>7.5193414517556603</c:v>
              </c:pt>
              <c:pt idx="1805">
                <c:v>7.4299849356991103</c:v>
              </c:pt>
              <c:pt idx="1806">
                <c:v>7.43164433147727</c:v>
              </c:pt>
              <c:pt idx="1807">
                <c:v>7.3996789779698497</c:v>
              </c:pt>
              <c:pt idx="1808">
                <c:v>7.3999968771740301</c:v>
              </c:pt>
              <c:pt idx="1809">
                <c:v>7.4241076877854102</c:v>
              </c:pt>
              <c:pt idx="1810">
                <c:v>7.5208214749612301</c:v>
              </c:pt>
              <c:pt idx="1811">
                <c:v>7.5185871840578198</c:v>
              </c:pt>
              <c:pt idx="1812">
                <c:v>7.4655162324835702</c:v>
              </c:pt>
              <c:pt idx="1813">
                <c:v>7.4249530093837901</c:v>
              </c:pt>
              <c:pt idx="1814">
                <c:v>7.4424662092032996</c:v>
              </c:pt>
              <c:pt idx="1815">
                <c:v>7.3883441366527496</c:v>
              </c:pt>
              <c:pt idx="1816">
                <c:v>7.52429549706941</c:v>
              </c:pt>
              <c:pt idx="1817">
                <c:v>7.4555564267499097</c:v>
              </c:pt>
              <c:pt idx="1818">
                <c:v>7.4368224064929702</c:v>
              </c:pt>
              <c:pt idx="1819">
                <c:v>7.4212072335541901</c:v>
              </c:pt>
              <c:pt idx="1820">
                <c:v>7.4673820941164797</c:v>
              </c:pt>
              <c:pt idx="1821">
                <c:v>7.4528088311586398</c:v>
              </c:pt>
              <c:pt idx="1822">
                <c:v>7.5254043194757498</c:v>
              </c:pt>
              <c:pt idx="1823">
                <c:v>7.6350563235352897</c:v>
              </c:pt>
              <c:pt idx="1824">
                <c:v>7.6849286702988904</c:v>
              </c:pt>
              <c:pt idx="1825">
                <c:v>7.76824720704548</c:v>
              </c:pt>
              <c:pt idx="1826">
                <c:v>7.8294474021976397</c:v>
              </c:pt>
              <c:pt idx="1827">
                <c:v>7.7910269561260099</c:v>
              </c:pt>
              <c:pt idx="1828">
                <c:v>7.7914451874090203</c:v>
              </c:pt>
              <c:pt idx="1829">
                <c:v>7.9048829558916198</c:v>
              </c:pt>
              <c:pt idx="1830">
                <c:v>7.8823334514960299</c:v>
              </c:pt>
              <c:pt idx="1831">
                <c:v>7.8517949420849398</c:v>
              </c:pt>
              <c:pt idx="1832">
                <c:v>7.7763081547443704</c:v>
              </c:pt>
              <c:pt idx="1833">
                <c:v>7.7484974016222203</c:v>
              </c:pt>
              <c:pt idx="1834">
                <c:v>7.7558575470497901</c:v>
              </c:pt>
              <c:pt idx="1835">
                <c:v>7.7439136908539901</c:v>
              </c:pt>
              <c:pt idx="1836">
                <c:v>7.8207518971779502</c:v>
              </c:pt>
              <c:pt idx="1837">
                <c:v>7.8678156249297704</c:v>
              </c:pt>
              <c:pt idx="1838">
                <c:v>7.8989997729216102</c:v>
              </c:pt>
              <c:pt idx="1839">
                <c:v>7.9566972656515604</c:v>
              </c:pt>
              <c:pt idx="1840">
                <c:v>8.0376437603755893</c:v>
              </c:pt>
              <c:pt idx="1841">
                <c:v>7.9775176406562798</c:v>
              </c:pt>
              <c:pt idx="1842">
                <c:v>8.0405697138675105</c:v>
              </c:pt>
              <c:pt idx="1843">
                <c:v>8.0909661790751706</c:v>
              </c:pt>
              <c:pt idx="1844">
                <c:v>7.9577483234934299</c:v>
              </c:pt>
              <c:pt idx="1845">
                <c:v>8.0101636440476707</c:v>
              </c:pt>
              <c:pt idx="1846">
                <c:v>7.9319790512037098</c:v>
              </c:pt>
              <c:pt idx="1847">
                <c:v>7.9865224027347397</c:v>
              </c:pt>
              <c:pt idx="1848">
                <c:v>8.0071245820452202</c:v>
              </c:pt>
              <c:pt idx="1849">
                <c:v>7.82637617605688</c:v>
              </c:pt>
              <c:pt idx="1850">
                <c:v>7.8893167253895902</c:v>
              </c:pt>
              <c:pt idx="1851">
                <c:v>7.9329387744122997</c:v>
              </c:pt>
              <c:pt idx="1852">
                <c:v>7.86571768352748</c:v>
              </c:pt>
              <c:pt idx="1853">
                <c:v>7.8469593684914898</c:v>
              </c:pt>
              <c:pt idx="1854">
                <c:v>7.8516365331818996</c:v>
              </c:pt>
              <c:pt idx="1855">
                <c:v>7.8374377053968702</c:v>
              </c:pt>
              <c:pt idx="1856">
                <c:v>7.7962442991801799</c:v>
              </c:pt>
              <c:pt idx="1857">
                <c:v>7.8361328037525304</c:v>
              </c:pt>
              <c:pt idx="1858">
                <c:v>7.8336836208668004</c:v>
              </c:pt>
              <c:pt idx="1859">
                <c:v>7.8341413672909503</c:v>
              </c:pt>
              <c:pt idx="1860">
                <c:v>7.9241021115554497</c:v>
              </c:pt>
              <c:pt idx="1861">
                <c:v>7.9619900405245998</c:v>
              </c:pt>
              <c:pt idx="1862">
                <c:v>7.9701396938351996</c:v>
              </c:pt>
              <c:pt idx="1863">
                <c:v>8.0472222017077897</c:v>
              </c:pt>
              <c:pt idx="1864">
                <c:v>8.0076485903540799</c:v>
              </c:pt>
              <c:pt idx="1865">
                <c:v>7.9924445207475001</c:v>
              </c:pt>
              <c:pt idx="1866">
                <c:v>8.0775793658414994</c:v>
              </c:pt>
              <c:pt idx="1867">
                <c:v>8.1148279764484901</c:v>
              </c:pt>
              <c:pt idx="1868">
                <c:v>8.0009548446388497</c:v>
              </c:pt>
              <c:pt idx="1869">
                <c:v>7.97728246062404</c:v>
              </c:pt>
              <c:pt idx="1870">
                <c:v>7.9327861549831802</c:v>
              </c:pt>
              <c:pt idx="1871">
                <c:v>7.9568209055557197</c:v>
              </c:pt>
              <c:pt idx="1872">
                <c:v>7.8351325738383197</c:v>
              </c:pt>
              <c:pt idx="1873">
                <c:v>7.8300506919774602</c:v>
              </c:pt>
              <c:pt idx="1874">
                <c:v>7.8090006082474499</c:v>
              </c:pt>
              <c:pt idx="1875">
                <c:v>7.8439221198953701</c:v>
              </c:pt>
              <c:pt idx="1876">
                <c:v>7.8177334186492198</c:v>
              </c:pt>
              <c:pt idx="1877">
                <c:v>7.8019054382547397</c:v>
              </c:pt>
              <c:pt idx="1878">
                <c:v>7.8498714087224899</c:v>
              </c:pt>
              <c:pt idx="1879">
                <c:v>7.89760678772502</c:v>
              </c:pt>
              <c:pt idx="1880">
                <c:v>7.9695456264240203</c:v>
              </c:pt>
              <c:pt idx="1881">
                <c:v>7.9720558948556803</c:v>
              </c:pt>
              <c:pt idx="1882">
                <c:v>8.0439492144279008</c:v>
              </c:pt>
              <c:pt idx="1883">
                <c:v>7.9880870855701298</c:v>
              </c:pt>
              <c:pt idx="1884">
                <c:v>7.9645505480780496</c:v>
              </c:pt>
              <c:pt idx="1885">
                <c:v>8.0602505593519105</c:v>
              </c:pt>
              <c:pt idx="1886">
                <c:v>8.1346402693539304</c:v>
              </c:pt>
              <c:pt idx="1887">
                <c:v>8.1028624811851895</c:v>
              </c:pt>
              <c:pt idx="1888">
                <c:v>8.0362575108678698</c:v>
              </c:pt>
              <c:pt idx="1889">
                <c:v>8.0393347179024595</c:v>
              </c:pt>
              <c:pt idx="1890">
                <c:v>8.0448703694027603</c:v>
              </c:pt>
              <c:pt idx="1891">
                <c:v>8.0555586976174496</c:v>
              </c:pt>
              <c:pt idx="1892">
                <c:v>8.1087089921392899</c:v>
              </c:pt>
              <c:pt idx="1893">
                <c:v>8.1778204488471005</c:v>
              </c:pt>
              <c:pt idx="1894">
                <c:v>8.16196243180263</c:v>
              </c:pt>
              <c:pt idx="1895">
                <c:v>8.1197112299625793</c:v>
              </c:pt>
              <c:pt idx="1896">
                <c:v>8.07201564901656</c:v>
              </c:pt>
              <c:pt idx="1897">
                <c:v>8.0349506132127093</c:v>
              </c:pt>
              <c:pt idx="1898">
                <c:v>8.0912960864141201</c:v>
              </c:pt>
              <c:pt idx="1899">
                <c:v>8.0595450500815105</c:v>
              </c:pt>
              <c:pt idx="1900">
                <c:v>8.1255513913926407</c:v>
              </c:pt>
              <c:pt idx="1901">
                <c:v>8.1611804947234692</c:v>
              </c:pt>
              <c:pt idx="1902">
                <c:v>8.1404093167323897</c:v>
              </c:pt>
              <c:pt idx="1903">
                <c:v>8.2324757100152901</c:v>
              </c:pt>
              <c:pt idx="1904">
                <c:v>8.2681418283672592</c:v>
              </c:pt>
              <c:pt idx="1905">
                <c:v>8.1997248482031697</c:v>
              </c:pt>
              <c:pt idx="1906">
                <c:v>8.2155738524119606</c:v>
              </c:pt>
              <c:pt idx="1907">
                <c:v>8.1681552331862797</c:v>
              </c:pt>
              <c:pt idx="1908">
                <c:v>8.1400680663479505</c:v>
              </c:pt>
              <c:pt idx="1909">
                <c:v>8.1400762620854206</c:v>
              </c:pt>
              <c:pt idx="1910">
                <c:v>8.0294111791311007</c:v>
              </c:pt>
              <c:pt idx="1911">
                <c:v>8.0332165402735392</c:v>
              </c:pt>
              <c:pt idx="1912">
                <c:v>8.0352099765554907</c:v>
              </c:pt>
              <c:pt idx="1913">
                <c:v>8.0726698785205109</c:v>
              </c:pt>
              <c:pt idx="1914">
                <c:v>8.0924024621617008</c:v>
              </c:pt>
              <c:pt idx="1915">
                <c:v>8.0613604515445498</c:v>
              </c:pt>
              <c:pt idx="1916">
                <c:v>8.0369073613244506</c:v>
              </c:pt>
              <c:pt idx="1917">
                <c:v>8.0659739348693904</c:v>
              </c:pt>
              <c:pt idx="1918">
                <c:v>8.0545264539089398</c:v>
              </c:pt>
              <c:pt idx="1919">
                <c:v>8.0158955274215202</c:v>
              </c:pt>
              <c:pt idx="1920">
                <c:v>8.1108991225853408</c:v>
              </c:pt>
              <c:pt idx="1921">
                <c:v>8.1239070004473195</c:v>
              </c:pt>
              <c:pt idx="1922">
                <c:v>8.1523167346934997</c:v>
              </c:pt>
              <c:pt idx="1923">
                <c:v>8.0856592902997395</c:v>
              </c:pt>
              <c:pt idx="1924">
                <c:v>8.0668083208357899</c:v>
              </c:pt>
              <c:pt idx="1925">
                <c:v>8.0828000863881506</c:v>
              </c:pt>
              <c:pt idx="1926">
                <c:v>8.0267657139596196</c:v>
              </c:pt>
              <c:pt idx="1927">
                <c:v>7.9768994498541597</c:v>
              </c:pt>
              <c:pt idx="1928">
                <c:v>7.9368077692305397</c:v>
              </c:pt>
              <c:pt idx="1929">
                <c:v>7.9748663216760303</c:v>
              </c:pt>
              <c:pt idx="1930">
                <c:v>7.9149701693415704</c:v>
              </c:pt>
              <c:pt idx="1931">
                <c:v>7.83113232287063</c:v>
              </c:pt>
              <c:pt idx="1932">
                <c:v>7.8024264443383498</c:v>
              </c:pt>
              <c:pt idx="1933">
                <c:v>7.8206510944611098</c:v>
              </c:pt>
              <c:pt idx="1934">
                <c:v>7.90248131005968</c:v>
              </c:pt>
              <c:pt idx="1935">
                <c:v>7.8836125275782498</c:v>
              </c:pt>
              <c:pt idx="1936">
                <c:v>7.7522302933719098</c:v>
              </c:pt>
              <c:pt idx="1937">
                <c:v>7.7204758456385498</c:v>
              </c:pt>
              <c:pt idx="1938">
                <c:v>7.8075350755071797</c:v>
              </c:pt>
              <c:pt idx="1939">
                <c:v>7.6892736486578404</c:v>
              </c:pt>
              <c:pt idx="1940">
                <c:v>7.6798340987657099</c:v>
              </c:pt>
              <c:pt idx="1941">
                <c:v>7.6500238935274201</c:v>
              </c:pt>
              <c:pt idx="1942">
                <c:v>7.6347976447276498</c:v>
              </c:pt>
              <c:pt idx="1943">
                <c:v>7.6524148517633099</c:v>
              </c:pt>
              <c:pt idx="1944">
                <c:v>7.7112717804094197</c:v>
              </c:pt>
              <c:pt idx="1945">
                <c:v>7.7743935611900996</c:v>
              </c:pt>
              <c:pt idx="1946">
                <c:v>7.7339770697866896</c:v>
              </c:pt>
              <c:pt idx="1947">
                <c:v>7.7664173952608904</c:v>
              </c:pt>
              <c:pt idx="1948">
                <c:v>7.7945699986608599</c:v>
              </c:pt>
              <c:pt idx="1949">
                <c:v>7.7359404477160796</c:v>
              </c:pt>
              <c:pt idx="1950">
                <c:v>7.6518644147313601</c:v>
              </c:pt>
              <c:pt idx="1951">
                <c:v>7.6855924588478297</c:v>
              </c:pt>
              <c:pt idx="1952">
                <c:v>7.6968405794474597</c:v>
              </c:pt>
              <c:pt idx="1953">
                <c:v>7.6445382475746504</c:v>
              </c:pt>
              <c:pt idx="1954">
                <c:v>7.6354852823178296</c:v>
              </c:pt>
              <c:pt idx="1955">
                <c:v>7.7041081982616602</c:v>
              </c:pt>
              <c:pt idx="1956">
                <c:v>7.62663086391784</c:v>
              </c:pt>
              <c:pt idx="1957">
                <c:v>7.6114018385322799</c:v>
              </c:pt>
              <c:pt idx="1958">
                <c:v>7.5583276981151997</c:v>
              </c:pt>
              <c:pt idx="1959">
                <c:v>7.4796390269815198</c:v>
              </c:pt>
              <c:pt idx="1960">
                <c:v>7.42367315349866</c:v>
              </c:pt>
              <c:pt idx="1961">
                <c:v>7.3741657378826799</c:v>
              </c:pt>
              <c:pt idx="1962">
                <c:v>7.3965759315247404</c:v>
              </c:pt>
              <c:pt idx="1963">
                <c:v>7.4507139136596301</c:v>
              </c:pt>
              <c:pt idx="1964">
                <c:v>7.4843859895746601</c:v>
              </c:pt>
              <c:pt idx="1965">
                <c:v>7.5537851266845202</c:v>
              </c:pt>
              <c:pt idx="1966">
                <c:v>7.5840915358971204</c:v>
              </c:pt>
              <c:pt idx="1967">
                <c:v>7.55301251602567</c:v>
              </c:pt>
              <c:pt idx="1968">
                <c:v>7.53842595831797</c:v>
              </c:pt>
              <c:pt idx="1969">
                <c:v>7.5302611604276999</c:v>
              </c:pt>
              <c:pt idx="1970">
                <c:v>7.3887161624945001</c:v>
              </c:pt>
              <c:pt idx="1971">
                <c:v>7.3872086195496198</c:v>
              </c:pt>
              <c:pt idx="1972">
                <c:v>7.4196984287427696</c:v>
              </c:pt>
              <c:pt idx="1973">
                <c:v>7.3950144746318696</c:v>
              </c:pt>
              <c:pt idx="1974">
                <c:v>7.4592713065764196</c:v>
              </c:pt>
              <c:pt idx="1975">
                <c:v>7.4870011247434096</c:v>
              </c:pt>
              <c:pt idx="1976">
                <c:v>7.4855430479042999</c:v>
              </c:pt>
              <c:pt idx="1977">
                <c:v>7.4339171961480499</c:v>
              </c:pt>
              <c:pt idx="1978">
                <c:v>7.4193270669082398</c:v>
              </c:pt>
              <c:pt idx="1979">
                <c:v>7.38395016656093</c:v>
              </c:pt>
              <c:pt idx="1980">
                <c:v>7.3640648580208099</c:v>
              </c:pt>
              <c:pt idx="1981">
                <c:v>7.3675423871700101</c:v>
              </c:pt>
              <c:pt idx="1982">
                <c:v>7.4033216504619803</c:v>
              </c:pt>
              <c:pt idx="1983">
                <c:v>7.4285388428141603</c:v>
              </c:pt>
              <c:pt idx="1984">
                <c:v>7.4222804433955201</c:v>
              </c:pt>
              <c:pt idx="1985">
                <c:v>7.3787208192874996</c:v>
              </c:pt>
              <c:pt idx="1986">
                <c:v>7.2481139643675796</c:v>
              </c:pt>
              <c:pt idx="1987">
                <c:v>7.2361105078458703</c:v>
              </c:pt>
              <c:pt idx="1988">
                <c:v>7.20317901394223</c:v>
              </c:pt>
              <c:pt idx="1989">
                <c:v>7.1702536999295896</c:v>
              </c:pt>
              <c:pt idx="1990">
                <c:v>7.1162173216537301</c:v>
              </c:pt>
              <c:pt idx="1991">
                <c:v>7.0069613763677596</c:v>
              </c:pt>
              <c:pt idx="1992">
                <c:v>7.01627045361219</c:v>
              </c:pt>
              <c:pt idx="1993">
                <c:v>6.9833798250107399</c:v>
              </c:pt>
              <c:pt idx="1994">
                <c:v>6.9504953729689696</c:v>
              </c:pt>
              <c:pt idx="1995">
                <c:v>6.9126116591424802</c:v>
              </c:pt>
              <c:pt idx="1996">
                <c:v>6.8533061548501397</c:v>
              </c:pt>
              <c:pt idx="1997">
                <c:v>6.8309687517374797</c:v>
              </c:pt>
              <c:pt idx="1998">
                <c:v>6.7257265686019503</c:v>
              </c:pt>
              <c:pt idx="1999">
                <c:v>6.71917420285408</c:v>
              </c:pt>
              <c:pt idx="2000">
                <c:v>6.7126225790974399</c:v>
              </c:pt>
              <c:pt idx="2001">
                <c:v>6.6968747722014896</c:v>
              </c:pt>
              <c:pt idx="2002">
                <c:v>6.6600677167199196</c:v>
              </c:pt>
              <c:pt idx="2003">
                <c:v>6.6075842191270802</c:v>
              </c:pt>
              <c:pt idx="2004">
                <c:v>6.5971099033898399</c:v>
              </c:pt>
              <c:pt idx="2005">
                <c:v>6.5550702974028097</c:v>
              </c:pt>
              <c:pt idx="2006">
                <c:v>6.5606252008285599</c:v>
              </c:pt>
              <c:pt idx="2007">
                <c:v>6.5341294033502999</c:v>
              </c:pt>
              <c:pt idx="2008">
                <c:v>6.5290175513576001</c:v>
              </c:pt>
              <c:pt idx="2009">
                <c:v>6.5395869741748003</c:v>
              </c:pt>
              <c:pt idx="2010">
                <c:v>6.4923038218399203</c:v>
              </c:pt>
              <c:pt idx="2011">
                <c:v>6.4397835862137303</c:v>
              </c:pt>
              <c:pt idx="2012">
                <c:v>6.3872866403776198</c:v>
              </c:pt>
              <c:pt idx="2013">
                <c:v>6.3349033327891702</c:v>
              </c:pt>
              <c:pt idx="2014">
                <c:v>6.3612075260859502</c:v>
              </c:pt>
              <c:pt idx="2015">
                <c:v>6.2982418359005496</c:v>
              </c:pt>
              <c:pt idx="2016">
                <c:v>6.3875667191327601</c:v>
              </c:pt>
              <c:pt idx="2017">
                <c:v>6.419143201182</c:v>
              </c:pt>
              <c:pt idx="2018">
                <c:v>6.3614869118108697</c:v>
              </c:pt>
              <c:pt idx="2019">
                <c:v>6.3615339703438201</c:v>
              </c:pt>
              <c:pt idx="2020">
                <c:v>6.3143101829124397</c:v>
              </c:pt>
              <c:pt idx="2021">
                <c:v>6.2408633762886003</c:v>
              </c:pt>
              <c:pt idx="2022">
                <c:v>6.2514038890797003</c:v>
              </c:pt>
              <c:pt idx="2023">
                <c:v>6.2520951785990597</c:v>
              </c:pt>
              <c:pt idx="2024">
                <c:v>6.2996692442841802</c:v>
              </c:pt>
              <c:pt idx="2025">
                <c:v>6.3531541541104</c:v>
              </c:pt>
              <c:pt idx="2026">
                <c:v>6.3475932984852701</c:v>
              </c:pt>
              <c:pt idx="2027">
                <c:v>6.3420038015775901</c:v>
              </c:pt>
              <c:pt idx="2028">
                <c:v>6.3327448680032603</c:v>
              </c:pt>
              <c:pt idx="2029">
                <c:v>6.3916001362234596</c:v>
              </c:pt>
              <c:pt idx="2030">
                <c:v>6.3603917764955398</c:v>
              </c:pt>
              <c:pt idx="2031">
                <c:v>6.3179209462148602</c:v>
              </c:pt>
              <c:pt idx="2032">
                <c:v>6.2610819555138697</c:v>
              </c:pt>
              <c:pt idx="2033">
                <c:v>6.2080752359864801</c:v>
              </c:pt>
              <c:pt idx="2034">
                <c:v>6.2407014950081496</c:v>
              </c:pt>
              <c:pt idx="2035">
                <c:v>6.1570395575748504</c:v>
              </c:pt>
              <c:pt idx="2036">
                <c:v>6.16784159889969</c:v>
              </c:pt>
              <c:pt idx="2037">
                <c:v>6.1687696083290602</c:v>
              </c:pt>
              <c:pt idx="2038">
                <c:v>6.1061282889674802</c:v>
              </c:pt>
              <c:pt idx="2039">
                <c:v>6.0540042293654803</c:v>
              </c:pt>
              <c:pt idx="2040">
                <c:v>6.0490690717254898</c:v>
              </c:pt>
              <c:pt idx="2041">
                <c:v>5.9917300690222497</c:v>
              </c:pt>
              <c:pt idx="2042">
                <c:v>5.9769291211160303</c:v>
              </c:pt>
              <c:pt idx="2043">
                <c:v>6.0150096600570597</c:v>
              </c:pt>
              <c:pt idx="2044">
                <c:v>5.9797313417656603</c:v>
              </c:pt>
              <c:pt idx="2045">
                <c:v>5.9497000254679504</c:v>
              </c:pt>
              <c:pt idx="2046">
                <c:v>5.9877758254900204</c:v>
              </c:pt>
              <c:pt idx="2047">
                <c:v>5.9657851693718102</c:v>
              </c:pt>
              <c:pt idx="2048">
                <c:v>5.9357526637590103</c:v>
              </c:pt>
              <c:pt idx="2049">
                <c:v>5.8743072503919702</c:v>
              </c:pt>
              <c:pt idx="2050">
                <c:v>5.8076595804851001</c:v>
              </c:pt>
              <c:pt idx="2051">
                <c:v>5.7422088810607201</c:v>
              </c:pt>
              <c:pt idx="2052">
                <c:v>5.7464314281487496</c:v>
              </c:pt>
              <c:pt idx="2053">
                <c:v>5.7321485255996496</c:v>
              </c:pt>
              <c:pt idx="2054">
                <c:v>5.7114050697990599</c:v>
              </c:pt>
              <c:pt idx="2055">
                <c:v>5.6866534143163303</c:v>
              </c:pt>
              <c:pt idx="2056">
                <c:v>5.6422585340845499</c:v>
              </c:pt>
              <c:pt idx="2057">
                <c:v>5.6347167103344198</c:v>
              </c:pt>
              <c:pt idx="2058">
                <c:v>5.5995253624446804</c:v>
              </c:pt>
              <c:pt idx="2059">
                <c:v>5.6322725080643297</c:v>
              </c:pt>
              <c:pt idx="2060">
                <c:v>5.6388919486152904</c:v>
              </c:pt>
              <c:pt idx="2061">
                <c:v>5.6441520496385502</c:v>
              </c:pt>
              <c:pt idx="2062">
                <c:v>5.6012413996207702</c:v>
              </c:pt>
              <c:pt idx="2063">
                <c:v>5.6392144518061702</c:v>
              </c:pt>
              <c:pt idx="2064">
                <c:v>5.5792973107982498</c:v>
              </c:pt>
              <c:pt idx="2065">
                <c:v>5.6591131010665299</c:v>
              </c:pt>
              <c:pt idx="2066">
                <c:v>5.6703179659727896</c:v>
              </c:pt>
              <c:pt idx="2067">
                <c:v>5.62099886422744</c:v>
              </c:pt>
              <c:pt idx="2068">
                <c:v>5.6688073519130899</c:v>
              </c:pt>
              <c:pt idx="2069">
                <c:v>5.5754423982971701</c:v>
              </c:pt>
              <c:pt idx="2070">
                <c:v>5.4315180702025696</c:v>
              </c:pt>
              <c:pt idx="2071">
                <c:v>5.5627397112759196</c:v>
              </c:pt>
              <c:pt idx="2072">
                <c:v>5.5807782355488298</c:v>
              </c:pt>
              <c:pt idx="2073">
                <c:v>5.6128978652576897</c:v>
              </c:pt>
              <c:pt idx="2074">
                <c:v>5.54571694852135</c:v>
              </c:pt>
              <c:pt idx="2075">
                <c:v>5.5500388131240399</c:v>
              </c:pt>
              <c:pt idx="2076">
                <c:v>5.5052575578024001</c:v>
              </c:pt>
              <c:pt idx="2077">
                <c:v>5.5686878835486997</c:v>
              </c:pt>
              <c:pt idx="2078">
                <c:v>5.59033545576058</c:v>
              </c:pt>
              <c:pt idx="2079">
                <c:v>5.6485867276974799</c:v>
              </c:pt>
              <c:pt idx="2080">
                <c:v>5.6493306284155702</c:v>
              </c:pt>
              <c:pt idx="2081">
                <c:v>5.6045074575415299</c:v>
              </c:pt>
              <c:pt idx="2082">
                <c:v>5.5216491904115204</c:v>
              </c:pt>
              <c:pt idx="2083">
                <c:v>5.4962803005292002</c:v>
              </c:pt>
              <c:pt idx="2084">
                <c:v>5.4899563924751797</c:v>
              </c:pt>
              <c:pt idx="2085">
                <c:v>5.4593609186004404</c:v>
              </c:pt>
              <c:pt idx="2086">
                <c:v>5.4939186670163398</c:v>
              </c:pt>
              <c:pt idx="2087">
                <c:v>5.5218057857142204</c:v>
              </c:pt>
              <c:pt idx="2088">
                <c:v>5.6071823766215401</c:v>
              </c:pt>
              <c:pt idx="2089">
                <c:v>5.6089591368873499</c:v>
              </c:pt>
              <c:pt idx="2090">
                <c:v>5.6473326309980596</c:v>
              </c:pt>
              <c:pt idx="2091">
                <c:v>5.6369777841684696</c:v>
              </c:pt>
              <c:pt idx="2092">
                <c:v>5.7590768989990204</c:v>
              </c:pt>
              <c:pt idx="2093">
                <c:v>5.7660896207837302</c:v>
              </c:pt>
              <c:pt idx="2094">
                <c:v>5.8065688110151603</c:v>
              </c:pt>
              <c:pt idx="2095">
                <c:v>5.8115325309924497</c:v>
              </c:pt>
              <c:pt idx="2096">
                <c:v>5.8535337803688101</c:v>
              </c:pt>
              <c:pt idx="2097">
                <c:v>5.8238844637807698</c:v>
              </c:pt>
              <c:pt idx="2098">
                <c:v>5.8570919180539498</c:v>
              </c:pt>
              <c:pt idx="2099">
                <c:v>5.9217568413614501</c:v>
              </c:pt>
              <c:pt idx="2100">
                <c:v>5.9497501958569998</c:v>
              </c:pt>
              <c:pt idx="2101">
                <c:v>5.8734374060004599</c:v>
              </c:pt>
              <c:pt idx="2102">
                <c:v>5.7735032322594497</c:v>
              </c:pt>
              <c:pt idx="2103">
                <c:v>5.8328775795585299</c:v>
              </c:pt>
              <c:pt idx="2104">
                <c:v>5.7957484101125898</c:v>
              </c:pt>
              <c:pt idx="2105">
                <c:v>5.7033134955273104</c:v>
              </c:pt>
              <c:pt idx="2106">
                <c:v>5.7190661610017699</c:v>
              </c:pt>
              <c:pt idx="2107">
                <c:v>5.7074574353428398</c:v>
              </c:pt>
              <c:pt idx="2108">
                <c:v>5.7155951123372102</c:v>
              </c:pt>
              <c:pt idx="2109">
                <c:v>5.6505149871685099</c:v>
              </c:pt>
              <c:pt idx="2110">
                <c:v>5.6900239505712102</c:v>
              </c:pt>
              <c:pt idx="2111">
                <c:v>5.6312572631097302</c:v>
              </c:pt>
              <c:pt idx="2112">
                <c:v>5.6080171506855301</c:v>
              </c:pt>
              <c:pt idx="2113">
                <c:v>5.5482185134650797</c:v>
              </c:pt>
              <c:pt idx="2114">
                <c:v>5.5772247006368199</c:v>
              </c:pt>
              <c:pt idx="2115">
                <c:v>5.5545551195193203</c:v>
              </c:pt>
              <c:pt idx="2116">
                <c:v>5.5678908659923598</c:v>
              </c:pt>
              <c:pt idx="2117">
                <c:v>5.6046589342415798</c:v>
              </c:pt>
              <c:pt idx="2118">
                <c:v>5.4483846903741</c:v>
              </c:pt>
              <c:pt idx="2119">
                <c:v>5.4852405938264699</c:v>
              </c:pt>
              <c:pt idx="2120">
                <c:v>5.5800082411622904</c:v>
              </c:pt>
              <c:pt idx="2121">
                <c:v>5.4602106833245596</c:v>
              </c:pt>
              <c:pt idx="2122">
                <c:v>5.5413763395061304</c:v>
              </c:pt>
              <c:pt idx="2123">
                <c:v>5.5390303664037503</c:v>
              </c:pt>
              <c:pt idx="2124">
                <c:v>5.5575706015473596</c:v>
              </c:pt>
              <c:pt idx="2125">
                <c:v>5.5923119340132601</c:v>
              </c:pt>
              <c:pt idx="2126">
                <c:v>5.5273026833546401</c:v>
              </c:pt>
              <c:pt idx="2127">
                <c:v>5.5901072076117098</c:v>
              </c:pt>
              <c:pt idx="2128">
                <c:v>5.6375129717242096</c:v>
              </c:pt>
              <c:pt idx="2129">
                <c:v>5.5881460413231796</c:v>
              </c:pt>
              <c:pt idx="2130">
                <c:v>5.5844101591017798</c:v>
              </c:pt>
              <c:pt idx="2131">
                <c:v>5.6378075480814296</c:v>
              </c:pt>
              <c:pt idx="2132">
                <c:v>5.6052013573134403</c:v>
              </c:pt>
              <c:pt idx="2133">
                <c:v>5.5673848125724597</c:v>
              </c:pt>
              <c:pt idx="2134">
                <c:v>5.6862851377501098</c:v>
              </c:pt>
              <c:pt idx="2135">
                <c:v>5.6227017360395797</c:v>
              </c:pt>
              <c:pt idx="2136">
                <c:v>5.6737060067940401</c:v>
              </c:pt>
              <c:pt idx="2137">
                <c:v>5.6933655647205104</c:v>
              </c:pt>
              <c:pt idx="2138">
                <c:v>5.7025726058335602</c:v>
              </c:pt>
              <c:pt idx="2139">
                <c:v>5.6960977422866801</c:v>
              </c:pt>
              <c:pt idx="2140">
                <c:v>5.6296550396931302</c:v>
              </c:pt>
              <c:pt idx="2141">
                <c:v>5.6567344603974901</c:v>
              </c:pt>
              <c:pt idx="2142">
                <c:v>5.65328428765695</c:v>
              </c:pt>
              <c:pt idx="2143">
                <c:v>5.6520386466500501</c:v>
              </c:pt>
              <c:pt idx="2144">
                <c:v>5.6455690538912</c:v>
              </c:pt>
              <c:pt idx="2145">
                <c:v>5.6470573509714397</c:v>
              </c:pt>
              <c:pt idx="2146">
                <c:v>5.5935893369969403</c:v>
              </c:pt>
              <c:pt idx="2147">
                <c:v>5.5276271550252201</c:v>
              </c:pt>
              <c:pt idx="2148">
                <c:v>5.50760449185639</c:v>
              </c:pt>
              <c:pt idx="2149">
                <c:v>5.4313025286077101</c:v>
              </c:pt>
              <c:pt idx="2150">
                <c:v>5.3996801489406296</c:v>
              </c:pt>
              <c:pt idx="2151">
                <c:v>5.5080584748370001</c:v>
              </c:pt>
              <c:pt idx="2152">
                <c:v>5.4925105353465398</c:v>
              </c:pt>
              <c:pt idx="2153">
                <c:v>5.4528890669978098</c:v>
              </c:pt>
              <c:pt idx="2154">
                <c:v>5.4165358049697696</c:v>
              </c:pt>
              <c:pt idx="2155">
                <c:v>5.4385187348024102</c:v>
              </c:pt>
              <c:pt idx="2156">
                <c:v>5.3676509917239201</c:v>
              </c:pt>
              <c:pt idx="2157">
                <c:v>5.2551696173679199</c:v>
              </c:pt>
              <c:pt idx="2158">
                <c:v>5.1740076484881001</c:v>
              </c:pt>
              <c:pt idx="2159">
                <c:v>5.2073279022810901</c:v>
              </c:pt>
              <c:pt idx="2160">
                <c:v>5.1720080784793696</c:v>
              </c:pt>
              <c:pt idx="2161">
                <c:v>5.1290874761884098</c:v>
              </c:pt>
              <c:pt idx="2162">
                <c:v>5.0375918115337601</c:v>
              </c:pt>
              <c:pt idx="2163">
                <c:v>5.1020550749313296</c:v>
              </c:pt>
              <c:pt idx="2164">
                <c:v>5.1873792764940898</c:v>
              </c:pt>
              <c:pt idx="2165">
                <c:v>5.0791961591832901</c:v>
              </c:pt>
              <c:pt idx="2166">
                <c:v>5.0448874225999196</c:v>
              </c:pt>
              <c:pt idx="2167">
                <c:v>5.0833679071064202</c:v>
              </c:pt>
              <c:pt idx="2168">
                <c:v>5.0106083690163201</c:v>
              </c:pt>
              <c:pt idx="2169">
                <c:v>4.9087807684976301</c:v>
              </c:pt>
              <c:pt idx="2170">
                <c:v>4.8833170489679603</c:v>
              </c:pt>
              <c:pt idx="2171">
                <c:v>4.9356530827714398</c:v>
              </c:pt>
              <c:pt idx="2172">
                <c:v>4.8027762608478399</c:v>
              </c:pt>
              <c:pt idx="2173">
                <c:v>4.75108571455198</c:v>
              </c:pt>
              <c:pt idx="2174">
                <c:v>4.7164479979525202</c:v>
              </c:pt>
              <c:pt idx="2175">
                <c:v>4.7632896646163703</c:v>
              </c:pt>
              <c:pt idx="2176">
                <c:v>4.7493481876737604</c:v>
              </c:pt>
              <c:pt idx="2177">
                <c:v>4.7031422346290199</c:v>
              </c:pt>
              <c:pt idx="2178">
                <c:v>4.6165836410062999</c:v>
              </c:pt>
              <c:pt idx="2179">
                <c:v>4.5663045163231599</c:v>
              </c:pt>
              <c:pt idx="2180">
                <c:v>4.6686801647302296</c:v>
              </c:pt>
              <c:pt idx="2181">
                <c:v>4.5458385639604497</c:v>
              </c:pt>
              <c:pt idx="2182">
                <c:v>4.6083578790963902</c:v>
              </c:pt>
              <c:pt idx="2183">
                <c:v>4.6382807021472896</c:v>
              </c:pt>
              <c:pt idx="2184">
                <c:v>4.5607103823495496</c:v>
              </c:pt>
              <c:pt idx="2185">
                <c:v>4.5608480509050402</c:v>
              </c:pt>
              <c:pt idx="2186">
                <c:v>4.5881330498086301</c:v>
              </c:pt>
              <c:pt idx="2187">
                <c:v>4.4994022867503398</c:v>
              </c:pt>
              <c:pt idx="2188">
                <c:v>4.5357816967005897</c:v>
              </c:pt>
              <c:pt idx="2189">
                <c:v>4.4013641751972301</c:v>
              </c:pt>
              <c:pt idx="2190">
                <c:v>4.3538136940007002</c:v>
              </c:pt>
              <c:pt idx="2191">
                <c:v>4.3540277789138697</c:v>
              </c:pt>
              <c:pt idx="2192">
                <c:v>4.1907779385861303</c:v>
              </c:pt>
              <c:pt idx="2193">
                <c:v>4.3829064830836204</c:v>
              </c:pt>
              <c:pt idx="2194">
                <c:v>4.3177698962576097</c:v>
              </c:pt>
              <c:pt idx="2195">
                <c:v>4.3715262758145599</c:v>
              </c:pt>
              <c:pt idx="2196">
                <c:v>4.4760106808729496</c:v>
              </c:pt>
              <c:pt idx="2197">
                <c:v>4.4832532998144297</c:v>
              </c:pt>
              <c:pt idx="2198">
                <c:v>4.52575599322447</c:v>
              </c:pt>
              <c:pt idx="2199">
                <c:v>4.4708970592913797</c:v>
              </c:pt>
              <c:pt idx="2200">
                <c:v>4.4367589610331004</c:v>
              </c:pt>
              <c:pt idx="2201">
                <c:v>4.4947486369103702</c:v>
              </c:pt>
              <c:pt idx="2202">
                <c:v>4.4709529050747996</c:v>
              </c:pt>
              <c:pt idx="2203">
                <c:v>4.5506854652581596</c:v>
              </c:pt>
              <c:pt idx="2204">
                <c:v>4.4958168375771796</c:v>
              </c:pt>
              <c:pt idx="2205">
                <c:v>4.5229302760563703</c:v>
              </c:pt>
              <c:pt idx="2206">
                <c:v>4.5395732606761596</c:v>
              </c:pt>
              <c:pt idx="2207">
                <c:v>4.5010479845868403</c:v>
              </c:pt>
              <c:pt idx="2208">
                <c:v>4.4565557802487898</c:v>
              </c:pt>
              <c:pt idx="2209">
                <c:v>4.3802943408016297</c:v>
              </c:pt>
              <c:pt idx="2210">
                <c:v>4.4237563224818404</c:v>
              </c:pt>
              <c:pt idx="2211">
                <c:v>4.4816323387839097</c:v>
              </c:pt>
              <c:pt idx="2212">
                <c:v>4.5483541531454303</c:v>
              </c:pt>
              <c:pt idx="2213">
                <c:v>4.6462001651600904</c:v>
              </c:pt>
              <c:pt idx="2214">
                <c:v>4.6456300799874004</c:v>
              </c:pt>
              <c:pt idx="2215">
                <c:v>4.6657883734043404</c:v>
              </c:pt>
              <c:pt idx="2216">
                <c:v>4.7988898936192097</c:v>
              </c:pt>
              <c:pt idx="2217">
                <c:v>4.7464462765003796</c:v>
              </c:pt>
              <c:pt idx="2218">
                <c:v>4.6681238079255802</c:v>
              </c:pt>
              <c:pt idx="2219">
                <c:v>4.59561225397547</c:v>
              </c:pt>
              <c:pt idx="2220">
                <c:v>4.6462669007572703</c:v>
              </c:pt>
              <c:pt idx="2221">
                <c:v>4.6031463200001399</c:v>
              </c:pt>
              <c:pt idx="2222">
                <c:v>4.6035768177949503</c:v>
              </c:pt>
              <c:pt idx="2223">
                <c:v>4.59263402544308</c:v>
              </c:pt>
              <c:pt idx="2224">
                <c:v>4.4942190924254204</c:v>
              </c:pt>
              <c:pt idx="2225">
                <c:v>4.5444335057421199</c:v>
              </c:pt>
              <c:pt idx="2226">
                <c:v>4.57417004405443</c:v>
              </c:pt>
              <c:pt idx="2227">
                <c:v>4.5684105878603303</c:v>
              </c:pt>
              <c:pt idx="2228">
                <c:v>4.5312371792339201</c:v>
              </c:pt>
              <c:pt idx="2229">
                <c:v>4.5417479798876403</c:v>
              </c:pt>
              <c:pt idx="2230">
                <c:v>4.6342766269135103</c:v>
              </c:pt>
              <c:pt idx="2231">
                <c:v>4.6172617180266302</c:v>
              </c:pt>
              <c:pt idx="2232">
                <c:v>4.58043583998891</c:v>
              </c:pt>
              <c:pt idx="2233">
                <c:v>4.5974183797917103</c:v>
              </c:pt>
              <c:pt idx="2234">
                <c:v>4.5629743392237199</c:v>
              </c:pt>
              <c:pt idx="2235">
                <c:v>4.6237105637817697</c:v>
              </c:pt>
              <c:pt idx="2236">
                <c:v>4.6097527755459602</c:v>
              </c:pt>
              <c:pt idx="2237">
                <c:v>4.6270366037416899</c:v>
              </c:pt>
              <c:pt idx="2238">
                <c:v>4.6494982641674696</c:v>
              </c:pt>
              <c:pt idx="2239">
                <c:v>4.6289114384515004</c:v>
              </c:pt>
              <c:pt idx="2240">
                <c:v>4.5944601082206402</c:v>
              </c:pt>
              <c:pt idx="2241">
                <c:v>4.5704476504983704</c:v>
              </c:pt>
              <c:pt idx="2242">
                <c:v>4.6600733582702798</c:v>
              </c:pt>
              <c:pt idx="2243">
                <c:v>4.6463100063663498</c:v>
              </c:pt>
              <c:pt idx="2244">
                <c:v>4.6981833222350797</c:v>
              </c:pt>
              <c:pt idx="2245">
                <c:v>4.6947689472166996</c:v>
              </c:pt>
              <c:pt idx="2246">
                <c:v>4.7431228652373898</c:v>
              </c:pt>
              <c:pt idx="2247">
                <c:v>4.8329614576996498</c:v>
              </c:pt>
              <c:pt idx="2248">
                <c:v>4.8450798242766702</c:v>
              </c:pt>
              <c:pt idx="2249">
                <c:v>4.8192269710923803</c:v>
              </c:pt>
              <c:pt idx="2250">
                <c:v>4.8780065921830902</c:v>
              </c:pt>
              <c:pt idx="2251">
                <c:v>4.9212530052786798</c:v>
              </c:pt>
              <c:pt idx="2252">
                <c:v>4.9750253497389902</c:v>
              </c:pt>
              <c:pt idx="2253">
                <c:v>5.0087766696373297</c:v>
              </c:pt>
              <c:pt idx="2254">
                <c:v>5.0113932334996196</c:v>
              </c:pt>
              <c:pt idx="2255">
                <c:v>5.1129075572135196</c:v>
              </c:pt>
              <c:pt idx="2256">
                <c:v>5.2507636734770804</c:v>
              </c:pt>
              <c:pt idx="2257">
                <c:v>5.3158673475209897</c:v>
              </c:pt>
              <c:pt idx="2258">
                <c:v>5.1571673662154103</c:v>
              </c:pt>
              <c:pt idx="2259">
                <c:v>5.1650378171329798</c:v>
              </c:pt>
              <c:pt idx="2260">
                <c:v>5.36027364266194</c:v>
              </c:pt>
              <c:pt idx="2261">
                <c:v>5.2639483792950204</c:v>
              </c:pt>
              <c:pt idx="2262">
                <c:v>5.3033525226396003</c:v>
              </c:pt>
              <c:pt idx="2263">
                <c:v>5.1966845435520899</c:v>
              </c:pt>
              <c:pt idx="2264">
                <c:v>5.1629862884048103</c:v>
              </c:pt>
              <c:pt idx="2265">
                <c:v>5.2336632982918196</c:v>
              </c:pt>
              <c:pt idx="2266">
                <c:v>5.26193291567429</c:v>
              </c:pt>
              <c:pt idx="2267">
                <c:v>5.2285647801925101</c:v>
              </c:pt>
              <c:pt idx="2268">
                <c:v>5.1999961032131603</c:v>
              </c:pt>
              <c:pt idx="2269">
                <c:v>5.18714657622583</c:v>
              </c:pt>
              <c:pt idx="2270">
                <c:v>5.1898007265074302</c:v>
              </c:pt>
              <c:pt idx="2271">
                <c:v>5.1035247110356998</c:v>
              </c:pt>
              <c:pt idx="2272">
                <c:v>5.0437917598237201</c:v>
              </c:pt>
              <c:pt idx="2273">
                <c:v>4.9846318334506403</c:v>
              </c:pt>
              <c:pt idx="2274">
                <c:v>4.9604070448871802</c:v>
              </c:pt>
              <c:pt idx="2275">
                <c:v>4.99839556133999</c:v>
              </c:pt>
              <c:pt idx="2276">
                <c:v>5.15596571902066</c:v>
              </c:pt>
              <c:pt idx="2277">
                <c:v>5.30918850535378</c:v>
              </c:pt>
              <c:pt idx="2278">
                <c:v>5.3154108165863097</c:v>
              </c:pt>
              <c:pt idx="2279">
                <c:v>5.2445594910715396</c:v>
              </c:pt>
              <c:pt idx="2280">
                <c:v>5.3340359943186302</c:v>
              </c:pt>
              <c:pt idx="2281">
                <c:v>5.4399320014385104</c:v>
              </c:pt>
              <c:pt idx="2282">
                <c:v>5.3008532565399902</c:v>
              </c:pt>
              <c:pt idx="2283">
                <c:v>5.2997828473445399</c:v>
              </c:pt>
              <c:pt idx="2284">
                <c:v>5.2970003666812104</c:v>
              </c:pt>
              <c:pt idx="2285">
                <c:v>5.2838312388497002</c:v>
              </c:pt>
              <c:pt idx="2286">
                <c:v>5.1389523020981498</c:v>
              </c:pt>
              <c:pt idx="2287">
                <c:v>5.1726387862009604</c:v>
              </c:pt>
              <c:pt idx="2288">
                <c:v>5.2504537774450597</c:v>
              </c:pt>
              <c:pt idx="2289">
                <c:v>5.3666942787562899</c:v>
              </c:pt>
              <c:pt idx="2290">
                <c:v>5.3570142498773601</c:v>
              </c:pt>
              <c:pt idx="2291">
                <c:v>5.37000582151963</c:v>
              </c:pt>
              <c:pt idx="2292">
                <c:v>5.3664503305299798</c:v>
              </c:pt>
              <c:pt idx="2293">
                <c:v>5.2662590507181397</c:v>
              </c:pt>
              <c:pt idx="2294">
                <c:v>5.3209729153108203</c:v>
              </c:pt>
              <c:pt idx="2295">
                <c:v>5.3282861454233998</c:v>
              </c:pt>
              <c:pt idx="2296">
                <c:v>5.4346247107278201</c:v>
              </c:pt>
              <c:pt idx="2297">
                <c:v>5.3908540026448097</c:v>
              </c:pt>
              <c:pt idx="2298">
                <c:v>5.2565749887965501</c:v>
              </c:pt>
              <c:pt idx="2299">
                <c:v>5.2315713412743401</c:v>
              </c:pt>
              <c:pt idx="2300">
                <c:v>5.0683857235801701</c:v>
              </c:pt>
              <c:pt idx="2301">
                <c:v>5.1328717049656802</c:v>
              </c:pt>
              <c:pt idx="2302">
                <c:v>5.27545798746198</c:v>
              </c:pt>
              <c:pt idx="2303">
                <c:v>5.3402807143269699</c:v>
              </c:pt>
              <c:pt idx="2304">
                <c:v>5.3644515406269697</c:v>
              </c:pt>
              <c:pt idx="2305">
                <c:v>5.3810176778509504</c:v>
              </c:pt>
              <c:pt idx="2306">
                <c:v>5.3206365624479401</c:v>
              </c:pt>
              <c:pt idx="2307">
                <c:v>5.30069801945832</c:v>
              </c:pt>
              <c:pt idx="2308">
                <c:v>5.2758146781379098</c:v>
              </c:pt>
              <c:pt idx="2309">
                <c:v>5.2935508337242902</c:v>
              </c:pt>
              <c:pt idx="2310">
                <c:v>5.2540253043555003</c:v>
              </c:pt>
              <c:pt idx="2311">
                <c:v>5.2145153112562097</c:v>
              </c:pt>
              <c:pt idx="2312">
                <c:v>5.1750208498553096</c:v>
              </c:pt>
              <c:pt idx="2313">
                <c:v>5.1151663870931499</c:v>
              </c:pt>
              <c:pt idx="2314">
                <c:v>5.12769215636109</c:v>
              </c:pt>
              <c:pt idx="2315">
                <c:v>5.1610152372835598</c:v>
              </c:pt>
              <c:pt idx="2316">
                <c:v>5.2151548194155</c:v>
              </c:pt>
              <c:pt idx="2317">
                <c:v>5.1288859874155701</c:v>
              </c:pt>
              <c:pt idx="2318">
                <c:v>5.1293709377054704</c:v>
              </c:pt>
              <c:pt idx="2319">
                <c:v>5.2078391716370502</c:v>
              </c:pt>
              <c:pt idx="2320">
                <c:v>5.2343267291019302</c:v>
              </c:pt>
              <c:pt idx="2321">
                <c:v>5.2608197176094604</c:v>
              </c:pt>
              <c:pt idx="2322">
                <c:v>5.2050377961434702</c:v>
              </c:pt>
              <c:pt idx="2323">
                <c:v>5.2107183381883599</c:v>
              </c:pt>
              <c:pt idx="2324">
                <c:v>5.0984625180441796</c:v>
              </c:pt>
              <c:pt idx="2325">
                <c:v>5.1821062372021904</c:v>
              </c:pt>
              <c:pt idx="2326">
                <c:v>5.2346005698912901</c:v>
              </c:pt>
              <c:pt idx="2327">
                <c:v>5.2500062233838998</c:v>
              </c:pt>
              <c:pt idx="2328">
                <c:v>5.2140827492606103</c:v>
              </c:pt>
              <c:pt idx="2329">
                <c:v>5.2197634981145304</c:v>
              </c:pt>
              <c:pt idx="2330">
                <c:v>5.1457519595796901</c:v>
              </c:pt>
              <c:pt idx="2331">
                <c:v>5.0700467205548199</c:v>
              </c:pt>
              <c:pt idx="2332">
                <c:v>4.9918761967170999</c:v>
              </c:pt>
              <c:pt idx="2333">
                <c:v>5.0979472092138201</c:v>
              </c:pt>
              <c:pt idx="2334">
                <c:v>5.1693485453011299</c:v>
              </c:pt>
              <c:pt idx="2335">
                <c:v>5.2269914702080902</c:v>
              </c:pt>
              <c:pt idx="2336">
                <c:v>5.2586574927983003</c:v>
              </c:pt>
              <c:pt idx="2337">
                <c:v>5.2028733141968404</c:v>
              </c:pt>
              <c:pt idx="2338">
                <c:v>5.1894102994750799</c:v>
              </c:pt>
              <c:pt idx="2339">
                <c:v>5.25250245608275</c:v>
              </c:pt>
              <c:pt idx="2340">
                <c:v>5.2565239087903199</c:v>
              </c:pt>
              <c:pt idx="2341">
                <c:v>5.2033689513795203</c:v>
              </c:pt>
              <c:pt idx="2342">
                <c:v>5.2674125818442397</c:v>
              </c:pt>
              <c:pt idx="2343">
                <c:v>5.28183341192321</c:v>
              </c:pt>
              <c:pt idx="2344">
                <c:v>5.3638762315889199</c:v>
              </c:pt>
              <c:pt idx="2345">
                <c:v>5.3470877229375899</c:v>
              </c:pt>
              <c:pt idx="2346">
                <c:v>5.3802895607744299</c:v>
              </c:pt>
              <c:pt idx="2347">
                <c:v>5.3663011213530298</c:v>
              </c:pt>
              <c:pt idx="2348">
                <c:v>5.3599063582274997</c:v>
              </c:pt>
              <c:pt idx="2349">
                <c:v>5.4909427825953401</c:v>
              </c:pt>
              <c:pt idx="2350">
                <c:v>5.5731145029760398</c:v>
              </c:pt>
              <c:pt idx="2351">
                <c:v>5.4833670109157904</c:v>
              </c:pt>
              <c:pt idx="2352">
                <c:v>5.45379046045338</c:v>
              </c:pt>
              <c:pt idx="2353">
                <c:v>5.49946341962373</c:v>
              </c:pt>
              <c:pt idx="2354">
                <c:v>5.4202080763281497</c:v>
              </c:pt>
              <c:pt idx="2355">
                <c:v>5.4190304513182399</c:v>
              </c:pt>
              <c:pt idx="2356">
                <c:v>5.4646851483005197</c:v>
              </c:pt>
              <c:pt idx="2357">
                <c:v>5.4871716498377001</c:v>
              </c:pt>
              <c:pt idx="2358">
                <c:v>5.3894404385436596</c:v>
              </c:pt>
              <c:pt idx="2359">
                <c:v>5.42237765159999</c:v>
              </c:pt>
              <c:pt idx="2360">
                <c:v>5.4372876682568796</c:v>
              </c:pt>
              <c:pt idx="2361">
                <c:v>5.4365920569636099</c:v>
              </c:pt>
              <c:pt idx="2362">
                <c:v>5.4182042203852996</c:v>
              </c:pt>
              <c:pt idx="2363">
                <c:v>5.4435189088493798</c:v>
              </c:pt>
              <c:pt idx="2364">
                <c:v>5.4324184419430201</c:v>
              </c:pt>
              <c:pt idx="2365">
                <c:v>5.5201965806484798</c:v>
              </c:pt>
              <c:pt idx="2366">
                <c:v>5.5208337325343102</c:v>
              </c:pt>
              <c:pt idx="2367">
                <c:v>5.4680704557508797</c:v>
              </c:pt>
              <c:pt idx="2368">
                <c:v>5.3970369647713401</c:v>
              </c:pt>
              <c:pt idx="2369">
                <c:v>5.3626216843240204</c:v>
              </c:pt>
              <c:pt idx="2370">
                <c:v>5.3983103682966096</c:v>
              </c:pt>
              <c:pt idx="2371">
                <c:v>5.3961811057656304</c:v>
              </c:pt>
              <c:pt idx="2372">
                <c:v>5.4188838387697196</c:v>
              </c:pt>
              <c:pt idx="2373">
                <c:v>5.4571872937416703</c:v>
              </c:pt>
              <c:pt idx="2374">
                <c:v>5.4252600121387404</c:v>
              </c:pt>
              <c:pt idx="2375">
                <c:v>5.4089450052465997</c:v>
              </c:pt>
              <c:pt idx="2376">
                <c:v>5.4588415908038099</c:v>
              </c:pt>
              <c:pt idx="2377">
                <c:v>5.4269131468606799</c:v>
              </c:pt>
              <c:pt idx="2378">
                <c:v>5.3689934619291204</c:v>
              </c:pt>
              <c:pt idx="2379">
                <c:v>5.3734833878338799</c:v>
              </c:pt>
              <c:pt idx="2380">
                <c:v>5.4012406559725603</c:v>
              </c:pt>
              <c:pt idx="2381">
                <c:v>5.4018672852399297</c:v>
              </c:pt>
              <c:pt idx="2382">
                <c:v>5.4597754715949502</c:v>
              </c:pt>
              <c:pt idx="2383">
                <c:v>5.5073039621891899</c:v>
              </c:pt>
              <c:pt idx="2384">
                <c:v>5.5600655275630997</c:v>
              </c:pt>
              <c:pt idx="2385">
                <c:v>5.5583766410840303</c:v>
              </c:pt>
              <c:pt idx="2386">
                <c:v>5.6618275614137596</c:v>
              </c:pt>
              <c:pt idx="2387">
                <c:v>5.6416526794292396</c:v>
              </c:pt>
              <c:pt idx="2388">
                <c:v>5.6162676930414701</c:v>
              </c:pt>
              <c:pt idx="2389">
                <c:v>5.7003942787086102</c:v>
              </c:pt>
              <c:pt idx="2390">
                <c:v>5.7010795911150103</c:v>
              </c:pt>
              <c:pt idx="2391">
                <c:v>5.6248968682024199</c:v>
              </c:pt>
              <c:pt idx="2392">
                <c:v>5.6412242112685398</c:v>
              </c:pt>
              <c:pt idx="2393">
                <c:v>5.6106223991818602</c:v>
              </c:pt>
              <c:pt idx="2394">
                <c:v>5.6321627734676696</c:v>
              </c:pt>
              <c:pt idx="2395">
                <c:v>5.6119894458488</c:v>
              </c:pt>
              <c:pt idx="2396">
                <c:v>5.6349003855508997</c:v>
              </c:pt>
              <c:pt idx="2397">
                <c:v>5.6095108821250896</c:v>
              </c:pt>
              <c:pt idx="2398">
                <c:v>5.56016331524987</c:v>
              </c:pt>
              <c:pt idx="2399">
                <c:v>5.5035149977430597</c:v>
              </c:pt>
              <c:pt idx="2400">
                <c:v>5.5198113016450501</c:v>
              </c:pt>
              <c:pt idx="2401">
                <c:v>5.5197875599563897</c:v>
              </c:pt>
              <c:pt idx="2402">
                <c:v>5.5003724900899202</c:v>
              </c:pt>
              <c:pt idx="2403">
                <c:v>5.4581025565468</c:v>
              </c:pt>
              <c:pt idx="2404">
                <c:v>5.4991686591226099</c:v>
              </c:pt>
              <c:pt idx="2405">
                <c:v>5.6132381543804</c:v>
              </c:pt>
              <c:pt idx="2406">
                <c:v>5.6147180246104398</c:v>
              </c:pt>
              <c:pt idx="2407">
                <c:v>5.4942466151237399</c:v>
              </c:pt>
              <c:pt idx="2408">
                <c:v>5.4728235959529998</c:v>
              </c:pt>
              <c:pt idx="2409">
                <c:v>5.5053747131784201</c:v>
              </c:pt>
              <c:pt idx="2410">
                <c:v>5.5081129215022004</c:v>
              </c:pt>
              <c:pt idx="2411">
                <c:v>5.4717121678403897</c:v>
              </c:pt>
              <c:pt idx="2412">
                <c:v>5.4711103181147998</c:v>
              </c:pt>
              <c:pt idx="2413">
                <c:v>5.5155953220287</c:v>
              </c:pt>
              <c:pt idx="2414">
                <c:v>5.4907420502059896</c:v>
              </c:pt>
              <c:pt idx="2415">
                <c:v>5.4016181763292304</c:v>
              </c:pt>
              <c:pt idx="2416">
                <c:v>5.3946082382011298</c:v>
              </c:pt>
              <c:pt idx="2417">
                <c:v>5.3731898344474596</c:v>
              </c:pt>
              <c:pt idx="2418">
                <c:v>5.4194314851878902</c:v>
              </c:pt>
              <c:pt idx="2419">
                <c:v>5.40841835031594</c:v>
              </c:pt>
              <c:pt idx="2420">
                <c:v>5.3221564508417503</c:v>
              </c:pt>
              <c:pt idx="2421">
                <c:v>5.3787844134773204</c:v>
              </c:pt>
              <c:pt idx="2422">
                <c:v>5.4598971251881698</c:v>
              </c:pt>
              <c:pt idx="2423">
                <c:v>5.4421665267888804</c:v>
              </c:pt>
              <c:pt idx="2424">
                <c:v>5.4405505751851102</c:v>
              </c:pt>
              <c:pt idx="2425">
                <c:v>5.4128839438373397</c:v>
              </c:pt>
              <c:pt idx="2426">
                <c:v>5.3733137617502997</c:v>
              </c:pt>
              <c:pt idx="2427">
                <c:v>5.4534193296392797</c:v>
              </c:pt>
              <c:pt idx="2428">
                <c:v>5.4647800029841402</c:v>
              </c:pt>
              <c:pt idx="2429">
                <c:v>5.5136865170976703</c:v>
              </c:pt>
              <c:pt idx="2430">
                <c:v>5.4987205462669904</c:v>
              </c:pt>
              <c:pt idx="2431">
                <c:v>5.4293127591078099</c:v>
              </c:pt>
              <c:pt idx="2432">
                <c:v>5.4560141156191602</c:v>
              </c:pt>
              <c:pt idx="2433">
                <c:v>5.4934461430518304</c:v>
              </c:pt>
              <c:pt idx="2434">
                <c:v>5.5254333976435301</c:v>
              </c:pt>
              <c:pt idx="2435">
                <c:v>5.4767732749161997</c:v>
              </c:pt>
              <c:pt idx="2436">
                <c:v>5.5296013367374801</c:v>
              </c:pt>
              <c:pt idx="2437">
                <c:v>5.5810807808149603</c:v>
              </c:pt>
              <c:pt idx="2438">
                <c:v>5.6237007619768198</c:v>
              </c:pt>
              <c:pt idx="2439">
                <c:v>5.5861537941886503</c:v>
              </c:pt>
              <c:pt idx="2440">
                <c:v>5.6142443508883497</c:v>
              </c:pt>
              <c:pt idx="2441">
                <c:v>5.5682793499885097</c:v>
              </c:pt>
              <c:pt idx="2442">
                <c:v>5.5874781301557697</c:v>
              </c:pt>
              <c:pt idx="2443">
                <c:v>5.5961841143873796</c:v>
              </c:pt>
              <c:pt idx="2444">
                <c:v>5.5008373024638502</c:v>
              </c:pt>
              <c:pt idx="2445">
                <c:v>5.5615555660681704</c:v>
              </c:pt>
              <c:pt idx="2446">
                <c:v>5.5442481792962202</c:v>
              </c:pt>
              <c:pt idx="2447">
                <c:v>5.6119896323831897</c:v>
              </c:pt>
              <c:pt idx="2448">
                <c:v>5.4386879339709298</c:v>
              </c:pt>
              <c:pt idx="2449">
                <c:v>5.4411953363933998</c:v>
              </c:pt>
              <c:pt idx="2450">
                <c:v>5.4197205776365998</c:v>
              </c:pt>
              <c:pt idx="2451">
                <c:v>5.47518141114824</c:v>
              </c:pt>
              <c:pt idx="2452">
                <c:v>5.5948841014451096</c:v>
              </c:pt>
              <c:pt idx="2453">
                <c:v>5.61490795274646</c:v>
              </c:pt>
              <c:pt idx="2454">
                <c:v>5.5819834075612</c:v>
              </c:pt>
              <c:pt idx="2455">
                <c:v>5.64790526552241</c:v>
              </c:pt>
              <c:pt idx="2456">
                <c:v>5.5430335984447501</c:v>
              </c:pt>
              <c:pt idx="2457">
                <c:v>5.5942352442266401</c:v>
              </c:pt>
              <c:pt idx="2458">
                <c:v>5.56652707065233</c:v>
              </c:pt>
              <c:pt idx="2459">
                <c:v>5.5544225295500702</c:v>
              </c:pt>
              <c:pt idx="2460">
                <c:v>5.5675280113368002</c:v>
              </c:pt>
              <c:pt idx="2461">
                <c:v>5.5606372916706199</c:v>
              </c:pt>
              <c:pt idx="2462">
                <c:v>5.6021934417897397</c:v>
              </c:pt>
              <c:pt idx="2463">
                <c:v>5.5423005305558704</c:v>
              </c:pt>
              <c:pt idx="2464">
                <c:v>5.6338914829238602</c:v>
              </c:pt>
              <c:pt idx="2465">
                <c:v>5.7248469293105204</c:v>
              </c:pt>
              <c:pt idx="2466">
                <c:v>5.7065092476586496</c:v>
              </c:pt>
              <c:pt idx="2467">
                <c:v>5.70292065271427</c:v>
              </c:pt>
              <c:pt idx="2468">
                <c:v>5.6591976105291302</c:v>
              </c:pt>
              <c:pt idx="2469">
                <c:v>5.6460701936988897</c:v>
              </c:pt>
              <c:pt idx="2470">
                <c:v>5.6693806534759696</c:v>
              </c:pt>
              <c:pt idx="2471">
                <c:v>5.7499999448422896</c:v>
              </c:pt>
              <c:pt idx="2472">
                <c:v>5.7256908089290404</c:v>
              </c:pt>
              <c:pt idx="2473">
                <c:v>5.6870550478765702</c:v>
              </c:pt>
              <c:pt idx="2474">
                <c:v>5.6327806466232904</c:v>
              </c:pt>
              <c:pt idx="2475">
                <c:v>5.5410802221676398</c:v>
              </c:pt>
              <c:pt idx="2476">
                <c:v>5.5227584371493599</c:v>
              </c:pt>
              <c:pt idx="2477">
                <c:v>5.4938058178589202</c:v>
              </c:pt>
              <c:pt idx="2478">
                <c:v>5.5223034124092498</c:v>
              </c:pt>
              <c:pt idx="2479">
                <c:v>5.5612228469899003</c:v>
              </c:pt>
              <c:pt idx="2480">
                <c:v>5.4752596167538599</c:v>
              </c:pt>
              <c:pt idx="2481">
                <c:v>5.4044884703132103</c:v>
              </c:pt>
              <c:pt idx="2482">
                <c:v>5.3085384493893901</c:v>
              </c:pt>
              <c:pt idx="2483">
                <c:v>5.2850298427723503</c:v>
              </c:pt>
              <c:pt idx="2484">
                <c:v>5.3188070450331404</c:v>
              </c:pt>
              <c:pt idx="2485">
                <c:v>5.2328891012533001</c:v>
              </c:pt>
              <c:pt idx="2486">
                <c:v>5.2097752688592402</c:v>
              </c:pt>
              <c:pt idx="2487">
                <c:v>5.1862100253027101</c:v>
              </c:pt>
              <c:pt idx="2488">
                <c:v>5.1992084316190699</c:v>
              </c:pt>
              <c:pt idx="2489">
                <c:v>5.1397306303499803</c:v>
              </c:pt>
              <c:pt idx="2490">
                <c:v>5.1165426268933798</c:v>
              </c:pt>
              <c:pt idx="2491">
                <c:v>5.1658329603605102</c:v>
              </c:pt>
              <c:pt idx="2492">
                <c:v>5.2150366004389399</c:v>
              </c:pt>
              <c:pt idx="2493">
                <c:v>5.2176433950438303</c:v>
              </c:pt>
              <c:pt idx="2494">
                <c:v>5.2410281400880203</c:v>
              </c:pt>
              <c:pt idx="2495">
                <c:v>5.1502255546783697</c:v>
              </c:pt>
              <c:pt idx="2496">
                <c:v>5.2099072634303099</c:v>
              </c:pt>
              <c:pt idx="2497">
                <c:v>5.1709546533547996</c:v>
              </c:pt>
              <c:pt idx="2498">
                <c:v>5.2307109284443403</c:v>
              </c:pt>
              <c:pt idx="2499">
                <c:v>5.2645300408934697</c:v>
              </c:pt>
              <c:pt idx="2500">
                <c:v>5.2542371813409501</c:v>
              </c:pt>
              <c:pt idx="2501">
                <c:v>5.2049841816564504</c:v>
              </c:pt>
              <c:pt idx="2502">
                <c:v>5.09857016273103</c:v>
              </c:pt>
              <c:pt idx="2503">
                <c:v>5.0909369525192298</c:v>
              </c:pt>
              <c:pt idx="2504">
                <c:v>5.0900740192944696</c:v>
              </c:pt>
              <c:pt idx="2505">
                <c:v>5.0338996534225799</c:v>
              </c:pt>
              <c:pt idx="2506">
                <c:v>4.9984966228416203</c:v>
              </c:pt>
              <c:pt idx="2507">
                <c:v>4.9581207646691698</c:v>
              </c:pt>
              <c:pt idx="2508">
                <c:v>4.85520132741064</c:v>
              </c:pt>
              <c:pt idx="2509">
                <c:v>4.8889856900066899</c:v>
              </c:pt>
              <c:pt idx="2510">
                <c:v>4.8691693682604997</c:v>
              </c:pt>
              <c:pt idx="2511">
                <c:v>4.8703557449497197</c:v>
              </c:pt>
              <c:pt idx="2512">
                <c:v>4.8660933431590401</c:v>
              </c:pt>
              <c:pt idx="2513">
                <c:v>4.8462958359686699</c:v>
              </c:pt>
              <c:pt idx="2514">
                <c:v>4.8024529547670003</c:v>
              </c:pt>
              <c:pt idx="2515">
                <c:v>4.8758564647328804</c:v>
              </c:pt>
              <c:pt idx="2516">
                <c:v>4.8660317433934202</c:v>
              </c:pt>
              <c:pt idx="2517">
                <c:v>4.9291002809649402</c:v>
              </c:pt>
              <c:pt idx="2518">
                <c:v>4.8833749862378504</c:v>
              </c:pt>
              <c:pt idx="2519">
                <c:v>4.8662737170494399</c:v>
              </c:pt>
              <c:pt idx="2520">
                <c:v>4.8610894927120896</c:v>
              </c:pt>
              <c:pt idx="2521">
                <c:v>4.8883707729116397</c:v>
              </c:pt>
              <c:pt idx="2522">
                <c:v>4.8582126136191803</c:v>
              </c:pt>
              <c:pt idx="2523">
                <c:v>4.8384176476526903</c:v>
              </c:pt>
              <c:pt idx="2524">
                <c:v>4.8624327770628</c:v>
              </c:pt>
              <c:pt idx="2525">
                <c:v>4.8892597105593998</c:v>
              </c:pt>
              <c:pt idx="2526">
                <c:v>4.8873818195378904</c:v>
              </c:pt>
              <c:pt idx="2527">
                <c:v>4.8693719670582096</c:v>
              </c:pt>
              <c:pt idx="2528">
                <c:v>4.8415942718102096</c:v>
              </c:pt>
              <c:pt idx="2529">
                <c:v>4.7893579853757204</c:v>
              </c:pt>
              <c:pt idx="2530">
                <c:v>4.83404484912342</c:v>
              </c:pt>
              <c:pt idx="2531">
                <c:v>4.8011110846849903</c:v>
              </c:pt>
              <c:pt idx="2532">
                <c:v>4.7475045971746104</c:v>
              </c:pt>
              <c:pt idx="2533">
                <c:v>4.7663091432639701</c:v>
              </c:pt>
              <c:pt idx="2534">
                <c:v>4.7476829583967799</c:v>
              </c:pt>
              <c:pt idx="2535">
                <c:v>4.7724212932871399</c:v>
              </c:pt>
              <c:pt idx="2536">
                <c:v>4.7180548984232997</c:v>
              </c:pt>
              <c:pt idx="2537">
                <c:v>4.7988825341267001</c:v>
              </c:pt>
              <c:pt idx="2538">
                <c:v>4.8914965687228298</c:v>
              </c:pt>
              <c:pt idx="2539">
                <c:v>4.9154792099728404</c:v>
              </c:pt>
              <c:pt idx="2540">
                <c:v>4.9912566716612696</c:v>
              </c:pt>
              <c:pt idx="2541">
                <c:v>5.0308021491090003</c:v>
              </c:pt>
              <c:pt idx="2542">
                <c:v>4.7908039781951999</c:v>
              </c:pt>
              <c:pt idx="2543">
                <c:v>4.8617494398342203</c:v>
              </c:pt>
              <c:pt idx="2544">
                <c:v>4.8019947120810302</c:v>
              </c:pt>
              <c:pt idx="2545">
                <c:v>4.82173390821381</c:v>
              </c:pt>
              <c:pt idx="2546">
                <c:v>4.8094890880463304</c:v>
              </c:pt>
              <c:pt idx="2547">
                <c:v>4.7740109570664702</c:v>
              </c:pt>
              <c:pt idx="2548">
                <c:v>4.8019741711715396</c:v>
              </c:pt>
              <c:pt idx="2549">
                <c:v>4.7199842813329296</c:v>
              </c:pt>
              <c:pt idx="2550">
                <c:v>4.6318139220796297</c:v>
              </c:pt>
              <c:pt idx="2551">
                <c:v>4.6232631225211698</c:v>
              </c:pt>
              <c:pt idx="2552">
                <c:v>4.6291250007858897</c:v>
              </c:pt>
              <c:pt idx="2553">
                <c:v>4.6209000280380996</c:v>
              </c:pt>
              <c:pt idx="2554">
                <c:v>4.6565905150491602</c:v>
              </c:pt>
              <c:pt idx="2555">
                <c:v>4.67794335681055</c:v>
              </c:pt>
              <c:pt idx="2556">
                <c:v>4.6528041708069097</c:v>
              </c:pt>
              <c:pt idx="2557">
                <c:v>4.6574570484294799</c:v>
              </c:pt>
              <c:pt idx="2558">
                <c:v>4.6452352547421603</c:v>
              </c:pt>
              <c:pt idx="2559">
                <c:v>4.5632994572875498</c:v>
              </c:pt>
              <c:pt idx="2560">
                <c:v>4.5549356507106102</c:v>
              </c:pt>
              <c:pt idx="2561">
                <c:v>4.5504754528502103</c:v>
              </c:pt>
              <c:pt idx="2562">
                <c:v>4.5202084555360704</c:v>
              </c:pt>
              <c:pt idx="2563">
                <c:v>4.5003257555299196</c:v>
              </c:pt>
              <c:pt idx="2564">
                <c:v>4.4958524367279002</c:v>
              </c:pt>
              <c:pt idx="2565">
                <c:v>4.5223472462950598</c:v>
              </c:pt>
              <c:pt idx="2566">
                <c:v>4.4198406252658797</c:v>
              </c:pt>
              <c:pt idx="2567">
                <c:v>4.4205251325552402</c:v>
              </c:pt>
              <c:pt idx="2568">
                <c:v>4.3671933263507796</c:v>
              </c:pt>
              <c:pt idx="2569">
                <c:v>4.3345857145792301</c:v>
              </c:pt>
              <c:pt idx="2570">
                <c:v>4.4500720156364499</c:v>
              </c:pt>
              <c:pt idx="2571">
                <c:v>4.4624307422254299</c:v>
              </c:pt>
              <c:pt idx="2572">
                <c:v>4.38193289519615</c:v>
              </c:pt>
              <c:pt idx="2573">
                <c:v>4.4602656599700197</c:v>
              </c:pt>
              <c:pt idx="2574">
                <c:v>4.4416636689602802</c:v>
              </c:pt>
              <c:pt idx="2575">
                <c:v>4.3627434412583099</c:v>
              </c:pt>
              <c:pt idx="2576">
                <c:v>4.3425891209410503</c:v>
              </c:pt>
              <c:pt idx="2577">
                <c:v>4.3961894527048804</c:v>
              </c:pt>
              <c:pt idx="2578">
                <c:v>4.3558871489460396</c:v>
              </c:pt>
              <c:pt idx="2579">
                <c:v>4.3544199112957296</c:v>
              </c:pt>
              <c:pt idx="2580">
                <c:v>4.3805871058692798</c:v>
              </c:pt>
              <c:pt idx="2581">
                <c:v>4.3413716667170901</c:v>
              </c:pt>
              <c:pt idx="2582">
                <c:v>4.32794145357893</c:v>
              </c:pt>
              <c:pt idx="2583">
                <c:v>4.3649859274276199</c:v>
              </c:pt>
              <c:pt idx="2584">
                <c:v>4.3017514986437799</c:v>
              </c:pt>
              <c:pt idx="2585">
                <c:v>4.2917276938002802</c:v>
              </c:pt>
              <c:pt idx="2586">
                <c:v>4.3006953809875004</c:v>
              </c:pt>
              <c:pt idx="2587">
                <c:v>4.3009510955247698</c:v>
              </c:pt>
              <c:pt idx="2588">
                <c:v>4.3122116661358199</c:v>
              </c:pt>
              <c:pt idx="2589">
                <c:v>4.2678611108368996</c:v>
              </c:pt>
              <c:pt idx="2590">
                <c:v>4.2525740282939104</c:v>
              </c:pt>
              <c:pt idx="2591">
                <c:v>4.27085754895222</c:v>
              </c:pt>
              <c:pt idx="2592">
                <c:v>4.2821264946417896</c:v>
              </c:pt>
              <c:pt idx="2593">
                <c:v>4.3262511268191304</c:v>
              </c:pt>
              <c:pt idx="2594">
                <c:v>4.3375256823205097</c:v>
              </c:pt>
              <c:pt idx="2595">
                <c:v>4.2611721764683104</c:v>
              </c:pt>
              <c:pt idx="2596">
                <c:v>4.2962312191054997</c:v>
              </c:pt>
              <c:pt idx="2597">
                <c:v>4.4074677166418699</c:v>
              </c:pt>
              <c:pt idx="2598">
                <c:v>4.4949827334812804</c:v>
              </c:pt>
              <c:pt idx="2599">
                <c:v>4.5104628614642603</c:v>
              </c:pt>
              <c:pt idx="2600">
                <c:v>4.5423909750167901</c:v>
              </c:pt>
              <c:pt idx="2601">
                <c:v>4.5536593730221897</c:v>
              </c:pt>
              <c:pt idx="2602">
                <c:v>4.5566898074206996</c:v>
              </c:pt>
              <c:pt idx="2603">
                <c:v>4.5698729743314903</c:v>
              </c:pt>
              <c:pt idx="2604">
                <c:v>4.5708225848559296</c:v>
              </c:pt>
              <c:pt idx="2605">
                <c:v>4.5842742181141398</c:v>
              </c:pt>
              <c:pt idx="2606">
                <c:v>4.4900729811921503</c:v>
              </c:pt>
              <c:pt idx="2607">
                <c:v>4.4497220640052202</c:v>
              </c:pt>
              <c:pt idx="2608">
                <c:v>4.4267643718029799</c:v>
              </c:pt>
              <c:pt idx="2609">
                <c:v>4.4254653440967102</c:v>
              </c:pt>
              <c:pt idx="2610">
                <c:v>4.4028635566470999</c:v>
              </c:pt>
              <c:pt idx="2611">
                <c:v>4.4296109941096802</c:v>
              </c:pt>
              <c:pt idx="2612">
                <c:v>4.3634962017334198</c:v>
              </c:pt>
              <c:pt idx="2613">
                <c:v>4.4345450285602404</c:v>
              </c:pt>
              <c:pt idx="2614">
                <c:v>4.4668446400841999</c:v>
              </c:pt>
              <c:pt idx="2615">
                <c:v>4.52217806845265</c:v>
              </c:pt>
              <c:pt idx="2616">
                <c:v>4.5545220006768297</c:v>
              </c:pt>
              <c:pt idx="2617">
                <c:v>4.56103634756382</c:v>
              </c:pt>
              <c:pt idx="2618">
                <c:v>4.5650785021923896</c:v>
              </c:pt>
              <c:pt idx="2619">
                <c:v>4.6260119662891999</c:v>
              </c:pt>
              <c:pt idx="2620">
                <c:v>4.6842473922471299</c:v>
              </c:pt>
              <c:pt idx="2621">
                <c:v>4.61834076371703</c:v>
              </c:pt>
              <c:pt idx="2622">
                <c:v>4.6300190318869996</c:v>
              </c:pt>
              <c:pt idx="2623">
                <c:v>4.6677012426290103</c:v>
              </c:pt>
              <c:pt idx="2624">
                <c:v>4.6870995142732204</c:v>
              </c:pt>
              <c:pt idx="2625">
                <c:v>4.6496535342779799</c:v>
              </c:pt>
              <c:pt idx="2626">
                <c:v>4.6328645234829704</c:v>
              </c:pt>
              <c:pt idx="2627">
                <c:v>4.6290287873167699</c:v>
              </c:pt>
              <c:pt idx="2628">
                <c:v>4.5709843552848897</c:v>
              </c:pt>
              <c:pt idx="2629">
                <c:v>4.6033432410992097</c:v>
              </c:pt>
              <c:pt idx="2630">
                <c:v>4.59167345176854</c:v>
              </c:pt>
              <c:pt idx="2631">
                <c:v>4.6550666337340703</c:v>
              </c:pt>
              <c:pt idx="2632">
                <c:v>4.6977932246318401</c:v>
              </c:pt>
              <c:pt idx="2633">
                <c:v>4.6551883989962102</c:v>
              </c:pt>
              <c:pt idx="2634">
                <c:v>4.6955476592747996</c:v>
              </c:pt>
              <c:pt idx="2635">
                <c:v>4.6603869275123397</c:v>
              </c:pt>
              <c:pt idx="2636">
                <c:v>4.61764336971628</c:v>
              </c:pt>
              <c:pt idx="2637">
                <c:v>4.6473268998434198</c:v>
              </c:pt>
              <c:pt idx="2638">
                <c:v>4.68231615612744</c:v>
              </c:pt>
              <c:pt idx="2639">
                <c:v>4.6913247770426603</c:v>
              </c:pt>
              <c:pt idx="2640">
                <c:v>4.5555073371433199</c:v>
              </c:pt>
              <c:pt idx="2641">
                <c:v>4.8463146336477498</c:v>
              </c:pt>
              <c:pt idx="2642">
                <c:v>4.9204384606913703</c:v>
              </c:pt>
              <c:pt idx="2643">
                <c:v>5.0253582128652496</c:v>
              </c:pt>
              <c:pt idx="2644">
                <c:v>5.0291978473888204</c:v>
              </c:pt>
              <c:pt idx="2645">
                <c:v>5.0204358468669801</c:v>
              </c:pt>
              <c:pt idx="2646">
                <c:v>4.9434654313414503</c:v>
              </c:pt>
              <c:pt idx="2647">
                <c:v>5.1060423028829396</c:v>
              </c:pt>
              <c:pt idx="2648">
                <c:v>5.0812466091833901</c:v>
              </c:pt>
              <c:pt idx="2649">
                <c:v>5.06952132167571</c:v>
              </c:pt>
              <c:pt idx="2650">
                <c:v>5.1076134305979597</c:v>
              </c:pt>
              <c:pt idx="2651">
                <c:v>5.1634449225341497</c:v>
              </c:pt>
              <c:pt idx="2652">
                <c:v>5.1725133252637798</c:v>
              </c:pt>
              <c:pt idx="2653">
                <c:v>5.1186217047390503</c:v>
              </c:pt>
              <c:pt idx="2654">
                <c:v>5.1297078396739897</c:v>
              </c:pt>
              <c:pt idx="2655">
                <c:v>5.1575081243719501</c:v>
              </c:pt>
              <c:pt idx="2656">
                <c:v>5.2122138509823204</c:v>
              </c:pt>
              <c:pt idx="2657">
                <c:v>5.2961710715063104</c:v>
              </c:pt>
              <c:pt idx="2658">
                <c:v>5.2179219694191898</c:v>
              </c:pt>
              <c:pt idx="2659">
                <c:v>5.2433898196745803</c:v>
              </c:pt>
              <c:pt idx="2660">
                <c:v>5.2148997743883401</c:v>
              </c:pt>
              <c:pt idx="2661">
                <c:v>5.1429286304074404</c:v>
              </c:pt>
              <c:pt idx="2662">
                <c:v>5.2307271742820101</c:v>
              </c:pt>
              <c:pt idx="2663">
                <c:v>5.2648793592832099</c:v>
              </c:pt>
              <c:pt idx="2664">
                <c:v>5.2259796208859601</c:v>
              </c:pt>
              <c:pt idx="2665">
                <c:v>5.1904691448744202</c:v>
              </c:pt>
              <c:pt idx="2666">
                <c:v>5.26940486991088</c:v>
              </c:pt>
              <c:pt idx="2667">
                <c:v>5.2271249534921802</c:v>
              </c:pt>
              <c:pt idx="2668">
                <c:v>5.2509168125128003</c:v>
              </c:pt>
              <c:pt idx="2669">
                <c:v>5.2328376587270196</c:v>
              </c:pt>
              <c:pt idx="2670">
                <c:v>5.20436007008069</c:v>
              </c:pt>
              <c:pt idx="2671">
                <c:v>5.2122885232725302</c:v>
              </c:pt>
              <c:pt idx="2672">
                <c:v>5.2514297165149504</c:v>
              </c:pt>
              <c:pt idx="2673">
                <c:v>5.2182568586229801</c:v>
              </c:pt>
              <c:pt idx="2674">
                <c:v>5.1377922742648998</c:v>
              </c:pt>
              <c:pt idx="2675">
                <c:v>5.11972919510686</c:v>
              </c:pt>
              <c:pt idx="2676">
                <c:v>5.0987959332399404</c:v>
              </c:pt>
              <c:pt idx="2677">
                <c:v>5.1446109228516299</c:v>
              </c:pt>
              <c:pt idx="2678">
                <c:v>5.0916850594838303</c:v>
              </c:pt>
              <c:pt idx="2679">
                <c:v>5.0283998875344498</c:v>
              </c:pt>
              <c:pt idx="2680">
                <c:v>5.1123829590038499</c:v>
              </c:pt>
              <c:pt idx="2681">
                <c:v>5.0594859901220701</c:v>
              </c:pt>
              <c:pt idx="2682">
                <c:v>5.0741260762898497</c:v>
              </c:pt>
              <c:pt idx="2683">
                <c:v>5.0070801348153404</c:v>
              </c:pt>
              <c:pt idx="2684">
                <c:v>5.0306894564373001</c:v>
              </c:pt>
              <c:pt idx="2685">
                <c:v>5.0344045120647198</c:v>
              </c:pt>
              <c:pt idx="2686">
                <c:v>5.0334471557328202</c:v>
              </c:pt>
              <c:pt idx="2687">
                <c:v>5.0169120826398403</c:v>
              </c:pt>
              <c:pt idx="2688">
                <c:v>5.0977525974182303</c:v>
              </c:pt>
              <c:pt idx="2689">
                <c:v>5.1227933953788396</c:v>
              </c:pt>
              <c:pt idx="2690">
                <c:v>5.0900358940874302</c:v>
              </c:pt>
              <c:pt idx="2691">
                <c:v>5.0255080487841202</c:v>
              </c:pt>
              <c:pt idx="2692">
                <c:v>5.0609205596160702</c:v>
              </c:pt>
              <c:pt idx="2693">
                <c:v>5.1109921231591304</c:v>
              </c:pt>
              <c:pt idx="2694">
                <c:v>5.0510101802102803</c:v>
              </c:pt>
              <c:pt idx="2695">
                <c:v>5.0385408156518698</c:v>
              </c:pt>
              <c:pt idx="2696">
                <c:v>5.0526586581703103</c:v>
              </c:pt>
              <c:pt idx="2697">
                <c:v>5.0823667309667098</c:v>
              </c:pt>
              <c:pt idx="2698">
                <c:v>5.1016903550114199</c:v>
              </c:pt>
              <c:pt idx="2699">
                <c:v>5.0505351868171697</c:v>
              </c:pt>
              <c:pt idx="2700">
                <c:v>4.9722094317360597</c:v>
              </c:pt>
              <c:pt idx="2701">
                <c:v>4.9655392677614696</c:v>
              </c:pt>
              <c:pt idx="2702">
                <c:v>4.9017816483068399</c:v>
              </c:pt>
              <c:pt idx="2703">
                <c:v>4.9521995760028998</c:v>
              </c:pt>
              <c:pt idx="2704">
                <c:v>4.9425732521896997</c:v>
              </c:pt>
              <c:pt idx="2705">
                <c:v>4.9679930118245101</c:v>
              </c:pt>
              <c:pt idx="2706">
                <c:v>5.0132449286884002</c:v>
              </c:pt>
              <c:pt idx="2707">
                <c:v>5.0169492897200296</c:v>
              </c:pt>
              <c:pt idx="2708">
                <c:v>5.0206542440429196</c:v>
              </c:pt>
              <c:pt idx="2709">
                <c:v>4.98501316482003</c:v>
              </c:pt>
              <c:pt idx="2710">
                <c:v>4.98871732708335</c:v>
              </c:pt>
              <c:pt idx="2711">
                <c:v>5.01840053462064</c:v>
              </c:pt>
              <c:pt idx="2712">
                <c:v>4.9597659142323502</c:v>
              </c:pt>
              <c:pt idx="2713">
                <c:v>4.8967660153772696</c:v>
              </c:pt>
              <c:pt idx="2714">
                <c:v>4.8559194876346004</c:v>
              </c:pt>
              <c:pt idx="2715">
                <c:v>4.8596030888114203</c:v>
              </c:pt>
              <c:pt idx="2716">
                <c:v>4.9432057273033303</c:v>
              </c:pt>
              <c:pt idx="2717">
                <c:v>4.9281637966525498</c:v>
              </c:pt>
              <c:pt idx="2718">
                <c:v>4.9494751604865401</c:v>
              </c:pt>
              <c:pt idx="2719">
                <c:v>4.9510886990572498</c:v>
              </c:pt>
              <c:pt idx="2720">
                <c:v>4.9672096349451698</c:v>
              </c:pt>
              <c:pt idx="2721">
                <c:v>5.0145108055580403</c:v>
              </c:pt>
              <c:pt idx="2722">
                <c:v>5.0832453873360199</c:v>
              </c:pt>
              <c:pt idx="2723">
                <c:v>5.1351883024106897</c:v>
              </c:pt>
              <c:pt idx="2724">
                <c:v>5.0899864620298301</c:v>
              </c:pt>
              <c:pt idx="2725">
                <c:v>5.0749236061631304</c:v>
              </c:pt>
              <c:pt idx="2726">
                <c:v>5.07440760951767</c:v>
              </c:pt>
              <c:pt idx="2727">
                <c:v>4.9663436804188601</c:v>
              </c:pt>
              <c:pt idx="2728">
                <c:v>5.01315957294588</c:v>
              </c:pt>
              <c:pt idx="2729">
                <c:v>4.9737470157503996</c:v>
              </c:pt>
              <c:pt idx="2730">
                <c:v>4.9587154395449398</c:v>
              </c:pt>
              <c:pt idx="2731">
                <c:v>4.9073382824755196</c:v>
              </c:pt>
              <c:pt idx="2732">
                <c:v>4.9126694906247703</c:v>
              </c:pt>
              <c:pt idx="2733">
                <c:v>4.90804387291828</c:v>
              </c:pt>
              <c:pt idx="2734">
                <c:v>4.8630273038779297</c:v>
              </c:pt>
              <c:pt idx="2735">
                <c:v>4.8535561528138196</c:v>
              </c:pt>
              <c:pt idx="2736">
                <c:v>4.8800558259453304</c:v>
              </c:pt>
              <c:pt idx="2737">
                <c:v>4.8442822297780399</c:v>
              </c:pt>
              <c:pt idx="2738">
                <c:v>4.8500225368999903</c:v>
              </c:pt>
              <c:pt idx="2739">
                <c:v>4.8297190180755596</c:v>
              </c:pt>
              <c:pt idx="2740">
                <c:v>4.7575071680328298</c:v>
              </c:pt>
              <c:pt idx="2741">
                <c:v>4.7576426347640099</c:v>
              </c:pt>
              <c:pt idx="2742">
                <c:v>4.7316474789252503</c:v>
              </c:pt>
              <c:pt idx="2743">
                <c:v>4.7009031658286302</c:v>
              </c:pt>
              <c:pt idx="2744">
                <c:v>4.7272194219277504</c:v>
              </c:pt>
              <c:pt idx="2745">
                <c:v>4.6807212530838997</c:v>
              </c:pt>
              <c:pt idx="2746">
                <c:v>4.6548302905392802</c:v>
              </c:pt>
              <c:pt idx="2747">
                <c:v>4.6240233834403703</c:v>
              </c:pt>
              <c:pt idx="2748">
                <c:v>4.6401911959279296</c:v>
              </c:pt>
              <c:pt idx="2749">
                <c:v>4.6040984232266702</c:v>
              </c:pt>
              <c:pt idx="2750">
                <c:v>4.6560264585013398</c:v>
              </c:pt>
              <c:pt idx="2751">
                <c:v>4.6924362787720098</c:v>
              </c:pt>
              <c:pt idx="2752">
                <c:v>4.7503671154903104</c:v>
              </c:pt>
              <c:pt idx="2753">
                <c:v>4.7872769075751904</c:v>
              </c:pt>
              <c:pt idx="2754">
                <c:v>4.7669902000446998</c:v>
              </c:pt>
              <c:pt idx="2755">
                <c:v>4.7308670720617796</c:v>
              </c:pt>
              <c:pt idx="2756">
                <c:v>4.7315068700475704</c:v>
              </c:pt>
              <c:pt idx="2757">
                <c:v>4.7626320376316498</c:v>
              </c:pt>
              <c:pt idx="2758">
                <c:v>4.7471031774980004</c:v>
              </c:pt>
              <c:pt idx="2759">
                <c:v>4.8041623344914397</c:v>
              </c:pt>
              <c:pt idx="2760">
                <c:v>4.8093723143222098</c:v>
              </c:pt>
              <c:pt idx="2761">
                <c:v>4.8353795068777803</c:v>
              </c:pt>
              <c:pt idx="2762">
                <c:v>4.8457795654459801</c:v>
              </c:pt>
              <c:pt idx="2763">
                <c:v>4.8146760503921202</c:v>
              </c:pt>
              <c:pt idx="2764">
                <c:v>4.8095124883340299</c:v>
              </c:pt>
              <c:pt idx="2765">
                <c:v>4.7887906462282102</c:v>
              </c:pt>
              <c:pt idx="2766">
                <c:v>4.7421986928803896</c:v>
              </c:pt>
              <c:pt idx="2767">
                <c:v>4.7370385620821001</c:v>
              </c:pt>
              <c:pt idx="2768">
                <c:v>4.6800613560195901</c:v>
              </c:pt>
              <c:pt idx="2769">
                <c:v>4.6535319725919697</c:v>
              </c:pt>
              <c:pt idx="2770">
                <c:v>4.6283157985760104</c:v>
              </c:pt>
              <c:pt idx="2771">
                <c:v>4.6431697933304399</c:v>
              </c:pt>
              <c:pt idx="2772">
                <c:v>4.5973450674647198</c:v>
              </c:pt>
              <c:pt idx="2773">
                <c:v>4.6379890472755303</c:v>
              </c:pt>
              <c:pt idx="2774">
                <c:v>4.5913924512123598</c:v>
              </c:pt>
              <c:pt idx="2775">
                <c:v>4.5603390956157996</c:v>
              </c:pt>
              <c:pt idx="2776">
                <c:v>4.5664291166733797</c:v>
              </c:pt>
              <c:pt idx="2777">
                <c:v>4.5405806558454804</c:v>
              </c:pt>
              <c:pt idx="2778">
                <c:v>4.5354300660204601</c:v>
              </c:pt>
              <c:pt idx="2779">
                <c:v>4.5432758808232796</c:v>
              </c:pt>
              <c:pt idx="2780">
                <c:v>4.5562969769790396</c:v>
              </c:pt>
              <c:pt idx="2781">
                <c:v>4.5280966739842397</c:v>
              </c:pt>
              <c:pt idx="2782">
                <c:v>4.5049040987450901</c:v>
              </c:pt>
              <c:pt idx="2783">
                <c:v>4.5167848433333999</c:v>
              </c:pt>
              <c:pt idx="2784">
                <c:v>4.53495319403532</c:v>
              </c:pt>
              <c:pt idx="2785">
                <c:v>4.5272539141806298</c:v>
              </c:pt>
              <c:pt idx="2786">
                <c:v>4.5158710730775997</c:v>
              </c:pt>
              <c:pt idx="2787">
                <c:v>4.5146270090066398</c:v>
              </c:pt>
              <c:pt idx="2788">
                <c:v>4.4693945299294704</c:v>
              </c:pt>
              <c:pt idx="2789">
                <c:v>4.51339602466836</c:v>
              </c:pt>
              <c:pt idx="2790">
                <c:v>4.50574779309596</c:v>
              </c:pt>
              <c:pt idx="2791">
                <c:v>4.5135453536262702</c:v>
              </c:pt>
              <c:pt idx="2792">
                <c:v>4.4851308551982401</c:v>
              </c:pt>
              <c:pt idx="2793">
                <c:v>4.4655676488168501</c:v>
              </c:pt>
              <c:pt idx="2794">
                <c:v>4.4578232947702503</c:v>
              </c:pt>
              <c:pt idx="2795">
                <c:v>4.4568704695676002</c:v>
              </c:pt>
              <c:pt idx="2796">
                <c:v>4.4320199469359203</c:v>
              </c:pt>
              <c:pt idx="2797">
                <c:v>4.5345450482684901</c:v>
              </c:pt>
              <c:pt idx="2798">
                <c:v>4.5837606963642799</c:v>
              </c:pt>
              <c:pt idx="2799">
                <c:v>4.6761467130936696</c:v>
              </c:pt>
              <c:pt idx="2800">
                <c:v>4.6803442826734303</c:v>
              </c:pt>
              <c:pt idx="2801">
                <c:v>4.6316537162076399</c:v>
              </c:pt>
              <c:pt idx="2802">
                <c:v>4.6399596056449397</c:v>
              </c:pt>
              <c:pt idx="2803">
                <c:v>4.6482663653113701</c:v>
              </c:pt>
              <c:pt idx="2804">
                <c:v>4.7395169080589596</c:v>
              </c:pt>
              <c:pt idx="2805">
                <c:v>4.74372001763148</c:v>
              </c:pt>
              <c:pt idx="2806">
                <c:v>4.7532971148072498</c:v>
              </c:pt>
              <c:pt idx="2807">
                <c:v>4.7220625828238401</c:v>
              </c:pt>
              <c:pt idx="2808">
                <c:v>4.6836908571396396</c:v>
              </c:pt>
              <c:pt idx="2809">
                <c:v>4.7127165005715002</c:v>
              </c:pt>
              <c:pt idx="2810">
                <c:v>4.72203139331857</c:v>
              </c:pt>
              <c:pt idx="2811">
                <c:v>4.7355090616760398</c:v>
              </c:pt>
              <c:pt idx="2812">
                <c:v>4.7105285512351696</c:v>
              </c:pt>
              <c:pt idx="2813">
                <c:v>4.7239807333614001</c:v>
              </c:pt>
              <c:pt idx="2814">
                <c:v>4.6803968862271903</c:v>
              </c:pt>
              <c:pt idx="2815">
                <c:v>4.6533511965168204</c:v>
              </c:pt>
              <c:pt idx="2816">
                <c:v>4.6667962898636599</c:v>
              </c:pt>
              <c:pt idx="2817">
                <c:v>4.7009820937210103</c:v>
              </c:pt>
              <c:pt idx="2818">
                <c:v>4.6574047820545399</c:v>
              </c:pt>
              <c:pt idx="2819">
                <c:v>4.6501178040651698</c:v>
              </c:pt>
              <c:pt idx="2820">
                <c:v>4.6386233457588402</c:v>
              </c:pt>
              <c:pt idx="2821">
                <c:v>4.67441244901958</c:v>
              </c:pt>
              <c:pt idx="2822">
                <c:v>4.6635507672330201</c:v>
              </c:pt>
              <c:pt idx="2823">
                <c:v>4.6241141327019202</c:v>
              </c:pt>
              <c:pt idx="2824">
                <c:v>4.5770194708578202</c:v>
              </c:pt>
              <c:pt idx="2825">
                <c:v>4.5963304871655204</c:v>
              </c:pt>
              <c:pt idx="2826">
                <c:v>4.5828622831942196</c:v>
              </c:pt>
              <c:pt idx="2827">
                <c:v>4.5979089885333204</c:v>
              </c:pt>
              <c:pt idx="2828">
                <c:v>4.6129579629863304</c:v>
              </c:pt>
              <c:pt idx="2829">
                <c:v>4.5399512087980902</c:v>
              </c:pt>
              <c:pt idx="2830">
                <c:v>4.5695408650509002</c:v>
              </c:pt>
              <c:pt idx="2831">
                <c:v>4.6001270503844802</c:v>
              </c:pt>
              <c:pt idx="2832">
                <c:v>4.6151766831365304</c:v>
              </c:pt>
              <c:pt idx="2833">
                <c:v>4.5939589152575797</c:v>
              </c:pt>
              <c:pt idx="2834">
                <c:v>4.56756597082504</c:v>
              </c:pt>
              <c:pt idx="2835">
                <c:v>4.5868035814698302</c:v>
              </c:pt>
              <c:pt idx="2836">
                <c:v>4.5914901664089003</c:v>
              </c:pt>
              <c:pt idx="2837">
                <c:v>4.6220837159538499</c:v>
              </c:pt>
              <c:pt idx="2838">
                <c:v>4.5801423069889298</c:v>
              </c:pt>
              <c:pt idx="2839">
                <c:v>4.5900089344344002</c:v>
              </c:pt>
              <c:pt idx="2840">
                <c:v>4.6144329978417904</c:v>
              </c:pt>
              <c:pt idx="2841">
                <c:v>4.5724939016896098</c:v>
              </c:pt>
              <c:pt idx="2842">
                <c:v>4.6258192810381997</c:v>
              </c:pt>
              <c:pt idx="2843">
                <c:v>4.6627948240392403</c:v>
              </c:pt>
              <c:pt idx="2844">
                <c:v>4.6035353857069001</c:v>
              </c:pt>
              <c:pt idx="2845">
                <c:v>4.5624136000053097</c:v>
              </c:pt>
              <c:pt idx="2846">
                <c:v>4.6119470250246097</c:v>
              </c:pt>
              <c:pt idx="2847">
                <c:v>4.5319738808097503</c:v>
              </c:pt>
              <c:pt idx="2848">
                <c:v>4.5711331924547203</c:v>
              </c:pt>
              <c:pt idx="2849">
                <c:v>4.50671846314816</c:v>
              </c:pt>
              <c:pt idx="2850">
                <c:v>4.5257877866145204</c:v>
              </c:pt>
              <c:pt idx="2851">
                <c:v>4.5597672870658199</c:v>
              </c:pt>
              <c:pt idx="2852">
                <c:v>4.5885772496915704</c:v>
              </c:pt>
              <c:pt idx="2853">
                <c:v>4.6484970688597702</c:v>
              </c:pt>
              <c:pt idx="2854">
                <c:v>4.6565921271759301</c:v>
              </c:pt>
              <c:pt idx="2855">
                <c:v>4.7120039311095097</c:v>
              </c:pt>
              <c:pt idx="2856">
                <c:v>4.72010515955348</c:v>
              </c:pt>
              <c:pt idx="2857">
                <c:v>4.7333959823237803</c:v>
              </c:pt>
              <c:pt idx="2858">
                <c:v>4.7311212130669098</c:v>
              </c:pt>
              <c:pt idx="2859">
                <c:v>4.69253134355667</c:v>
              </c:pt>
              <c:pt idx="2860">
                <c:v>4.6960824841491897</c:v>
              </c:pt>
              <c:pt idx="2861">
                <c:v>4.6626889731756798</c:v>
              </c:pt>
              <c:pt idx="2862">
                <c:v>4.6759731623063203</c:v>
              </c:pt>
              <c:pt idx="2863">
                <c:v>4.7502144186682997</c:v>
              </c:pt>
              <c:pt idx="2864">
                <c:v>4.7272052071398996</c:v>
              </c:pt>
              <c:pt idx="2865">
                <c:v>4.7518717675097699</c:v>
              </c:pt>
              <c:pt idx="2866">
                <c:v>4.7198106337421599</c:v>
              </c:pt>
              <c:pt idx="2867">
                <c:v>4.6813592874694896</c:v>
              </c:pt>
              <c:pt idx="2868">
                <c:v>4.6532923260771399</c:v>
              </c:pt>
              <c:pt idx="2869">
                <c:v>4.6874647074634597</c:v>
              </c:pt>
              <c:pt idx="2870">
                <c:v>4.6862483276047104</c:v>
              </c:pt>
              <c:pt idx="2871">
                <c:v>4.6944894781136597</c:v>
              </c:pt>
              <c:pt idx="2872">
                <c:v>4.6767915801016402</c:v>
              </c:pt>
              <c:pt idx="2873">
                <c:v>4.6590962934056401</c:v>
              </c:pt>
              <c:pt idx="2874">
                <c:v>4.6465894544022204</c:v>
              </c:pt>
              <c:pt idx="2875">
                <c:v>4.5935246431708201</c:v>
              </c:pt>
              <c:pt idx="2876">
                <c:v>4.6077903079273099</c:v>
              </c:pt>
              <c:pt idx="2877">
                <c:v>4.5641665009930499</c:v>
              </c:pt>
              <c:pt idx="2878">
                <c:v>4.6034740421301699</c:v>
              </c:pt>
              <c:pt idx="2879">
                <c:v>4.6168695067592802</c:v>
              </c:pt>
              <c:pt idx="2880">
                <c:v>4.6311360078000501</c:v>
              </c:pt>
              <c:pt idx="2881">
                <c:v>4.6030521725664197</c:v>
              </c:pt>
              <c:pt idx="2882">
                <c:v>4.5853420163349599</c:v>
              </c:pt>
              <c:pt idx="2883">
                <c:v>4.5780006364694703</c:v>
              </c:pt>
              <c:pt idx="2884">
                <c:v>4.6011567598946099</c:v>
              </c:pt>
              <c:pt idx="2885">
                <c:v>4.5481061268476601</c:v>
              </c:pt>
              <c:pt idx="2886">
                <c:v>4.4791360415905599</c:v>
              </c:pt>
            </c:numLit>
          </c:val>
          <c:smooth val="0"/>
          <c:extLst>
            <c:ext xmlns:c16="http://schemas.microsoft.com/office/drawing/2014/chart" uri="{C3380CC4-5D6E-409C-BE32-E72D297353CC}">
              <c16:uniqueId val="{00000001-4557-4156-8111-616AB5FB2C46}"/>
            </c:ext>
          </c:extLst>
        </c:ser>
        <c:ser>
          <c:idx val="1"/>
          <c:order val="1"/>
          <c:spPr>
            <a:ln w="28575" cap="rnd">
              <a:solidFill>
                <a:schemeClr val="bg1">
                  <a:lumMod val="65000"/>
                </a:schemeClr>
              </a:solidFill>
              <a:prstDash val="dash"/>
              <a:round/>
            </a:ln>
            <a:effectLst/>
          </c:spPr>
          <c:marker>
            <c:symbol val="none"/>
          </c:marker>
          <c:dPt>
            <c:idx val="786"/>
            <c:marker>
              <c:symbol val="circle"/>
              <c:size val="6"/>
              <c:spPr>
                <a:solidFill>
                  <a:schemeClr val="tx1"/>
                </a:solidFill>
                <a:ln w="9525">
                  <a:solidFill>
                    <a:schemeClr val="bg1">
                      <a:lumMod val="65000"/>
                    </a:schemeClr>
                  </a:solidFill>
                  <a:prstDash val="dash"/>
                </a:ln>
                <a:effectLst/>
              </c:spPr>
            </c:marker>
            <c:bubble3D val="0"/>
            <c:extLst>
              <c:ext xmlns:c16="http://schemas.microsoft.com/office/drawing/2014/chart" uri="{C3380CC4-5D6E-409C-BE32-E72D297353CC}">
                <c16:uniqueId val="{00000002-4557-4156-8111-616AB5FB2C46}"/>
              </c:ext>
            </c:extLst>
          </c:dPt>
          <c:dLbls>
            <c:dLbl>
              <c:idx val="1009"/>
              <c:layout>
                <c:manualLayout>
                  <c:x val="-6.9021390596577442E-2"/>
                  <c:y val="2.2666561679789927E-2"/>
                </c:manualLayout>
              </c:layout>
              <c:tx>
                <c:rich>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r>
                      <a:rPr lang="en-US" b="1">
                        <a:solidFill>
                          <a:schemeClr val="tx2"/>
                        </a:solidFill>
                      </a:rPr>
                      <a:t>Proposal</a:t>
                    </a:r>
                    <a:r>
                      <a:rPr lang="en-US" b="1" baseline="0">
                        <a:solidFill>
                          <a:schemeClr val="tx2"/>
                        </a:solidFill>
                      </a:rPr>
                      <a:t> (</a:t>
                    </a:r>
                    <a:fld id="{F4BE824C-063B-43E7-9162-09BC622337FE}" type="VALUE">
                      <a:rPr lang="en-US" b="1">
                        <a:solidFill>
                          <a:schemeClr val="tx2"/>
                        </a:solidFill>
                      </a:rPr>
                      <a:pPr>
                        <a:defRPr b="1">
                          <a:solidFill>
                            <a:schemeClr val="tx2"/>
                          </a:solidFill>
                        </a:defRPr>
                      </a:pPr>
                      <a:t>[VALUE]</a:t>
                    </a:fld>
                    <a:r>
                      <a:rPr lang="en-US" b="1">
                        <a:solidFill>
                          <a:schemeClr val="tx2"/>
                        </a:solidFill>
                      </a:rPr>
                      <a:t>%, average from July 2009)</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752822401462911"/>
                      <c:h val="4.2586666666666662E-2"/>
                    </c:manualLayout>
                  </c15:layout>
                  <c15:dlblFieldTable/>
                  <c15:showDataLabelsRange val="0"/>
                </c:ext>
                <c:ext xmlns:c16="http://schemas.microsoft.com/office/drawing/2014/chart" uri="{C3380CC4-5D6E-409C-BE32-E72D297353CC}">
                  <c16:uniqueId val="{00000003-4557-4156-8111-616AB5FB2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887"/>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38533</c:v>
              </c:pt>
              <c:pt idx="22">
                <c:v>38534</c:v>
              </c:pt>
              <c:pt idx="23">
                <c:v>38537</c:v>
              </c:pt>
              <c:pt idx="24">
                <c:v>38538</c:v>
              </c:pt>
              <c:pt idx="25">
                <c:v>38539</c:v>
              </c:pt>
              <c:pt idx="26">
                <c:v>38540</c:v>
              </c:pt>
              <c:pt idx="27">
                <c:v>38541</c:v>
              </c:pt>
              <c:pt idx="28">
                <c:v>38544</c:v>
              </c:pt>
              <c:pt idx="29">
                <c:v>38545</c:v>
              </c:pt>
              <c:pt idx="30">
                <c:v>38546</c:v>
              </c:pt>
              <c:pt idx="31">
                <c:v>38547</c:v>
              </c:pt>
              <c:pt idx="32">
                <c:v>38548</c:v>
              </c:pt>
              <c:pt idx="33">
                <c:v>38551</c:v>
              </c:pt>
              <c:pt idx="34">
                <c:v>38552</c:v>
              </c:pt>
              <c:pt idx="35">
                <c:v>38553</c:v>
              </c:pt>
              <c:pt idx="36">
                <c:v>38554</c:v>
              </c:pt>
              <c:pt idx="37">
                <c:v>38555</c:v>
              </c:pt>
              <c:pt idx="38">
                <c:v>38558</c:v>
              </c:pt>
              <c:pt idx="39">
                <c:v>38559</c:v>
              </c:pt>
              <c:pt idx="40">
                <c:v>38560</c:v>
              </c:pt>
              <c:pt idx="41">
                <c:v>38561</c:v>
              </c:pt>
              <c:pt idx="42">
                <c:v>38562</c:v>
              </c:pt>
              <c:pt idx="43">
                <c:v>38625</c:v>
              </c:pt>
              <c:pt idx="44">
                <c:v>38628</c:v>
              </c:pt>
              <c:pt idx="45">
                <c:v>38629</c:v>
              </c:pt>
              <c:pt idx="46">
                <c:v>38630</c:v>
              </c:pt>
              <c:pt idx="47">
                <c:v>38631</c:v>
              </c:pt>
              <c:pt idx="48">
                <c:v>38632</c:v>
              </c:pt>
              <c:pt idx="49">
                <c:v>38635</c:v>
              </c:pt>
              <c:pt idx="50">
                <c:v>38636</c:v>
              </c:pt>
              <c:pt idx="51">
                <c:v>38637</c:v>
              </c:pt>
              <c:pt idx="52">
                <c:v>38638</c:v>
              </c:pt>
              <c:pt idx="53">
                <c:v>38639</c:v>
              </c:pt>
              <c:pt idx="54">
                <c:v>38642</c:v>
              </c:pt>
              <c:pt idx="55">
                <c:v>38643</c:v>
              </c:pt>
              <c:pt idx="56">
                <c:v>38644</c:v>
              </c:pt>
              <c:pt idx="57">
                <c:v>38645</c:v>
              </c:pt>
              <c:pt idx="58">
                <c:v>38646</c:v>
              </c:pt>
              <c:pt idx="59">
                <c:v>38649</c:v>
              </c:pt>
              <c:pt idx="60">
                <c:v>38650</c:v>
              </c:pt>
              <c:pt idx="61">
                <c:v>38651</c:v>
              </c:pt>
              <c:pt idx="62">
                <c:v>38652</c:v>
              </c:pt>
              <c:pt idx="63">
                <c:v>38653</c:v>
              </c:pt>
              <c:pt idx="64">
                <c:v>38656</c:v>
              </c:pt>
              <c:pt idx="65">
                <c:v>38657</c:v>
              </c:pt>
              <c:pt idx="66">
                <c:v>38658</c:v>
              </c:pt>
              <c:pt idx="67">
                <c:v>38659</c:v>
              </c:pt>
              <c:pt idx="68">
                <c:v>38660</c:v>
              </c:pt>
              <c:pt idx="69">
                <c:v>38663</c:v>
              </c:pt>
              <c:pt idx="70">
                <c:v>38664</c:v>
              </c:pt>
              <c:pt idx="71">
                <c:v>38665</c:v>
              </c:pt>
              <c:pt idx="72">
                <c:v>38666</c:v>
              </c:pt>
              <c:pt idx="73">
                <c:v>38667</c:v>
              </c:pt>
              <c:pt idx="74">
                <c:v>38670</c:v>
              </c:pt>
              <c:pt idx="75">
                <c:v>38671</c:v>
              </c:pt>
              <c:pt idx="76">
                <c:v>38672</c:v>
              </c:pt>
              <c:pt idx="77">
                <c:v>38673</c:v>
              </c:pt>
              <c:pt idx="78">
                <c:v>38674</c:v>
              </c:pt>
              <c:pt idx="79">
                <c:v>38677</c:v>
              </c:pt>
              <c:pt idx="80">
                <c:v>38678</c:v>
              </c:pt>
              <c:pt idx="81">
                <c:v>38679</c:v>
              </c:pt>
              <c:pt idx="82">
                <c:v>38680</c:v>
              </c:pt>
              <c:pt idx="83">
                <c:v>38681</c:v>
              </c:pt>
              <c:pt idx="84">
                <c:v>38684</c:v>
              </c:pt>
              <c:pt idx="85">
                <c:v>38685</c:v>
              </c:pt>
              <c:pt idx="86">
                <c:v>38686</c:v>
              </c:pt>
              <c:pt idx="87">
                <c:v>38687</c:v>
              </c:pt>
              <c:pt idx="88">
                <c:v>38688</c:v>
              </c:pt>
              <c:pt idx="89">
                <c:v>38691</c:v>
              </c:pt>
              <c:pt idx="90">
                <c:v>38692</c:v>
              </c:pt>
              <c:pt idx="91">
                <c:v>38693</c:v>
              </c:pt>
              <c:pt idx="92">
                <c:v>38694</c:v>
              </c:pt>
              <c:pt idx="93">
                <c:v>38695</c:v>
              </c:pt>
              <c:pt idx="94">
                <c:v>38698</c:v>
              </c:pt>
              <c:pt idx="95">
                <c:v>38699</c:v>
              </c:pt>
              <c:pt idx="96">
                <c:v>38700</c:v>
              </c:pt>
              <c:pt idx="97">
                <c:v>38701</c:v>
              </c:pt>
              <c:pt idx="98">
                <c:v>38702</c:v>
              </c:pt>
              <c:pt idx="99">
                <c:v>38705</c:v>
              </c:pt>
              <c:pt idx="100">
                <c:v>38706</c:v>
              </c:pt>
              <c:pt idx="101">
                <c:v>38707</c:v>
              </c:pt>
              <c:pt idx="102">
                <c:v>38708</c:v>
              </c:pt>
              <c:pt idx="103">
                <c:v>38709</c:v>
              </c:pt>
              <c:pt idx="104">
                <c:v>38714</c:v>
              </c:pt>
              <c:pt idx="105">
                <c:v>38715</c:v>
              </c:pt>
              <c:pt idx="106">
                <c:v>38716</c:v>
              </c:pt>
              <c:pt idx="107">
                <c:v>38720</c:v>
              </c:pt>
              <c:pt idx="108">
                <c:v>38721</c:v>
              </c:pt>
              <c:pt idx="109">
                <c:v>38722</c:v>
              </c:pt>
              <c:pt idx="110">
                <c:v>38723</c:v>
              </c:pt>
              <c:pt idx="111">
                <c:v>38726</c:v>
              </c:pt>
              <c:pt idx="112">
                <c:v>38727</c:v>
              </c:pt>
              <c:pt idx="113">
                <c:v>38728</c:v>
              </c:pt>
              <c:pt idx="114">
                <c:v>38729</c:v>
              </c:pt>
              <c:pt idx="115">
                <c:v>38730</c:v>
              </c:pt>
              <c:pt idx="116">
                <c:v>38733</c:v>
              </c:pt>
              <c:pt idx="117">
                <c:v>38734</c:v>
              </c:pt>
              <c:pt idx="118">
                <c:v>38735</c:v>
              </c:pt>
              <c:pt idx="119">
                <c:v>38736</c:v>
              </c:pt>
              <c:pt idx="120">
                <c:v>38737</c:v>
              </c:pt>
              <c:pt idx="121">
                <c:v>38740</c:v>
              </c:pt>
              <c:pt idx="122">
                <c:v>38741</c:v>
              </c:pt>
              <c:pt idx="123">
                <c:v>38742</c:v>
              </c:pt>
              <c:pt idx="124">
                <c:v>38744</c:v>
              </c:pt>
              <c:pt idx="125">
                <c:v>38747</c:v>
              </c:pt>
              <c:pt idx="126">
                <c:v>38748</c:v>
              </c:pt>
              <c:pt idx="127">
                <c:v>38749</c:v>
              </c:pt>
              <c:pt idx="128">
                <c:v>38750</c:v>
              </c:pt>
              <c:pt idx="129">
                <c:v>38751</c:v>
              </c:pt>
              <c:pt idx="130">
                <c:v>38754</c:v>
              </c:pt>
              <c:pt idx="131">
                <c:v>38755</c:v>
              </c:pt>
              <c:pt idx="132">
                <c:v>38756</c:v>
              </c:pt>
              <c:pt idx="133">
                <c:v>38757</c:v>
              </c:pt>
              <c:pt idx="134">
                <c:v>38758</c:v>
              </c:pt>
              <c:pt idx="135">
                <c:v>38761</c:v>
              </c:pt>
              <c:pt idx="136">
                <c:v>38762</c:v>
              </c:pt>
              <c:pt idx="137">
                <c:v>38763</c:v>
              </c:pt>
              <c:pt idx="138">
                <c:v>38764</c:v>
              </c:pt>
              <c:pt idx="139">
                <c:v>38765</c:v>
              </c:pt>
              <c:pt idx="140">
                <c:v>38768</c:v>
              </c:pt>
              <c:pt idx="141">
                <c:v>38769</c:v>
              </c:pt>
              <c:pt idx="142">
                <c:v>38770</c:v>
              </c:pt>
              <c:pt idx="143">
                <c:v>38771</c:v>
              </c:pt>
              <c:pt idx="144">
                <c:v>38772</c:v>
              </c:pt>
              <c:pt idx="145">
                <c:v>38775</c:v>
              </c:pt>
              <c:pt idx="146">
                <c:v>38776</c:v>
              </c:pt>
              <c:pt idx="147">
                <c:v>38777</c:v>
              </c:pt>
              <c:pt idx="148">
                <c:v>38778</c:v>
              </c:pt>
              <c:pt idx="149">
                <c:v>38779</c:v>
              </c:pt>
              <c:pt idx="150">
                <c:v>38782</c:v>
              </c:pt>
              <c:pt idx="151">
                <c:v>38783</c:v>
              </c:pt>
              <c:pt idx="152">
                <c:v>38784</c:v>
              </c:pt>
              <c:pt idx="153">
                <c:v>38785</c:v>
              </c:pt>
              <c:pt idx="154">
                <c:v>38786</c:v>
              </c:pt>
              <c:pt idx="155">
                <c:v>38789</c:v>
              </c:pt>
              <c:pt idx="156">
                <c:v>38790</c:v>
              </c:pt>
              <c:pt idx="157">
                <c:v>38791</c:v>
              </c:pt>
              <c:pt idx="158">
                <c:v>38792</c:v>
              </c:pt>
              <c:pt idx="159">
                <c:v>38793</c:v>
              </c:pt>
              <c:pt idx="160">
                <c:v>38796</c:v>
              </c:pt>
              <c:pt idx="161">
                <c:v>38797</c:v>
              </c:pt>
              <c:pt idx="162">
                <c:v>38798</c:v>
              </c:pt>
              <c:pt idx="163">
                <c:v>38799</c:v>
              </c:pt>
              <c:pt idx="164">
                <c:v>38800</c:v>
              </c:pt>
              <c:pt idx="165">
                <c:v>38803</c:v>
              </c:pt>
              <c:pt idx="166">
                <c:v>38804</c:v>
              </c:pt>
              <c:pt idx="167">
                <c:v>38805</c:v>
              </c:pt>
              <c:pt idx="168">
                <c:v>38806</c:v>
              </c:pt>
              <c:pt idx="169">
                <c:v>38807</c:v>
              </c:pt>
              <c:pt idx="170">
                <c:v>38810</c:v>
              </c:pt>
              <c:pt idx="171">
                <c:v>38811</c:v>
              </c:pt>
              <c:pt idx="172">
                <c:v>38812</c:v>
              </c:pt>
              <c:pt idx="173">
                <c:v>38813</c:v>
              </c:pt>
              <c:pt idx="174">
                <c:v>38814</c:v>
              </c:pt>
              <c:pt idx="175">
                <c:v>38817</c:v>
              </c:pt>
              <c:pt idx="176">
                <c:v>38818</c:v>
              </c:pt>
              <c:pt idx="177">
                <c:v>38819</c:v>
              </c:pt>
              <c:pt idx="178">
                <c:v>38820</c:v>
              </c:pt>
              <c:pt idx="179">
                <c:v>38825</c:v>
              </c:pt>
              <c:pt idx="180">
                <c:v>38826</c:v>
              </c:pt>
              <c:pt idx="181">
                <c:v>38827</c:v>
              </c:pt>
              <c:pt idx="182">
                <c:v>38828</c:v>
              </c:pt>
              <c:pt idx="183">
                <c:v>38831</c:v>
              </c:pt>
              <c:pt idx="184">
                <c:v>38833</c:v>
              </c:pt>
              <c:pt idx="185">
                <c:v>38834</c:v>
              </c:pt>
              <c:pt idx="186">
                <c:v>38835</c:v>
              </c:pt>
              <c:pt idx="187">
                <c:v>38838</c:v>
              </c:pt>
              <c:pt idx="188">
                <c:v>38839</c:v>
              </c:pt>
              <c:pt idx="189">
                <c:v>38840</c:v>
              </c:pt>
              <c:pt idx="190">
                <c:v>38841</c:v>
              </c:pt>
              <c:pt idx="191">
                <c:v>38842</c:v>
              </c:pt>
              <c:pt idx="192">
                <c:v>38845</c:v>
              </c:pt>
              <c:pt idx="193">
                <c:v>38846</c:v>
              </c:pt>
              <c:pt idx="194">
                <c:v>38847</c:v>
              </c:pt>
              <c:pt idx="195">
                <c:v>38848</c:v>
              </c:pt>
              <c:pt idx="196">
                <c:v>38849</c:v>
              </c:pt>
              <c:pt idx="197">
                <c:v>38852</c:v>
              </c:pt>
              <c:pt idx="198">
                <c:v>38853</c:v>
              </c:pt>
              <c:pt idx="199">
                <c:v>38854</c:v>
              </c:pt>
              <c:pt idx="200">
                <c:v>38855</c:v>
              </c:pt>
              <c:pt idx="201">
                <c:v>38856</c:v>
              </c:pt>
              <c:pt idx="202">
                <c:v>38859</c:v>
              </c:pt>
              <c:pt idx="203">
                <c:v>38860</c:v>
              </c:pt>
              <c:pt idx="204">
                <c:v>38861</c:v>
              </c:pt>
              <c:pt idx="205">
                <c:v>38862</c:v>
              </c:pt>
              <c:pt idx="206">
                <c:v>38863</c:v>
              </c:pt>
              <c:pt idx="207">
                <c:v>38866</c:v>
              </c:pt>
              <c:pt idx="208">
                <c:v>38867</c:v>
              </c:pt>
              <c:pt idx="209">
                <c:v>38868</c:v>
              </c:pt>
              <c:pt idx="210">
                <c:v>38869</c:v>
              </c:pt>
              <c:pt idx="211">
                <c:v>38870</c:v>
              </c:pt>
              <c:pt idx="212">
                <c:v>38873</c:v>
              </c:pt>
              <c:pt idx="213">
                <c:v>38874</c:v>
              </c:pt>
              <c:pt idx="214">
                <c:v>38875</c:v>
              </c:pt>
              <c:pt idx="215">
                <c:v>38876</c:v>
              </c:pt>
              <c:pt idx="216">
                <c:v>38877</c:v>
              </c:pt>
              <c:pt idx="217">
                <c:v>38881</c:v>
              </c:pt>
              <c:pt idx="218">
                <c:v>38882</c:v>
              </c:pt>
              <c:pt idx="219">
                <c:v>38883</c:v>
              </c:pt>
              <c:pt idx="220">
                <c:v>38884</c:v>
              </c:pt>
              <c:pt idx="221">
                <c:v>38887</c:v>
              </c:pt>
              <c:pt idx="222">
                <c:v>38888</c:v>
              </c:pt>
              <c:pt idx="223">
                <c:v>38889</c:v>
              </c:pt>
              <c:pt idx="224">
                <c:v>38890</c:v>
              </c:pt>
              <c:pt idx="225">
                <c:v>38891</c:v>
              </c:pt>
              <c:pt idx="226">
                <c:v>38894</c:v>
              </c:pt>
              <c:pt idx="227">
                <c:v>38895</c:v>
              </c:pt>
              <c:pt idx="228">
                <c:v>38896</c:v>
              </c:pt>
              <c:pt idx="229">
                <c:v>38897</c:v>
              </c:pt>
              <c:pt idx="230">
                <c:v>38898</c:v>
              </c:pt>
              <c:pt idx="231">
                <c:v>38901</c:v>
              </c:pt>
              <c:pt idx="232">
                <c:v>38902</c:v>
              </c:pt>
              <c:pt idx="233">
                <c:v>38903</c:v>
              </c:pt>
              <c:pt idx="234">
                <c:v>38904</c:v>
              </c:pt>
              <c:pt idx="235">
                <c:v>38905</c:v>
              </c:pt>
              <c:pt idx="236">
                <c:v>38908</c:v>
              </c:pt>
              <c:pt idx="237">
                <c:v>38909</c:v>
              </c:pt>
              <c:pt idx="238">
                <c:v>38910</c:v>
              </c:pt>
              <c:pt idx="239">
                <c:v>38911</c:v>
              </c:pt>
              <c:pt idx="240">
                <c:v>38912</c:v>
              </c:pt>
              <c:pt idx="241">
                <c:v>38915</c:v>
              </c:pt>
              <c:pt idx="242">
                <c:v>38916</c:v>
              </c:pt>
              <c:pt idx="243">
                <c:v>38917</c:v>
              </c:pt>
              <c:pt idx="244">
                <c:v>38918</c:v>
              </c:pt>
              <c:pt idx="245">
                <c:v>38919</c:v>
              </c:pt>
              <c:pt idx="246">
                <c:v>38922</c:v>
              </c:pt>
              <c:pt idx="247">
                <c:v>38923</c:v>
              </c:pt>
              <c:pt idx="248">
                <c:v>38924</c:v>
              </c:pt>
              <c:pt idx="249">
                <c:v>38925</c:v>
              </c:pt>
              <c:pt idx="250">
                <c:v>38926</c:v>
              </c:pt>
              <c:pt idx="251">
                <c:v>38929</c:v>
              </c:pt>
              <c:pt idx="252">
                <c:v>38930</c:v>
              </c:pt>
              <c:pt idx="253">
                <c:v>38931</c:v>
              </c:pt>
              <c:pt idx="254">
                <c:v>38932</c:v>
              </c:pt>
              <c:pt idx="255">
                <c:v>38933</c:v>
              </c:pt>
              <c:pt idx="256">
                <c:v>38936</c:v>
              </c:pt>
              <c:pt idx="257">
                <c:v>38937</c:v>
              </c:pt>
              <c:pt idx="258">
                <c:v>38938</c:v>
              </c:pt>
              <c:pt idx="259">
                <c:v>38939</c:v>
              </c:pt>
              <c:pt idx="260">
                <c:v>38940</c:v>
              </c:pt>
              <c:pt idx="261">
                <c:v>38943</c:v>
              </c:pt>
              <c:pt idx="262">
                <c:v>38944</c:v>
              </c:pt>
              <c:pt idx="263">
                <c:v>38945</c:v>
              </c:pt>
              <c:pt idx="264">
                <c:v>38946</c:v>
              </c:pt>
              <c:pt idx="265">
                <c:v>38947</c:v>
              </c:pt>
              <c:pt idx="266">
                <c:v>38950</c:v>
              </c:pt>
              <c:pt idx="267">
                <c:v>38951</c:v>
              </c:pt>
              <c:pt idx="268">
                <c:v>38952</c:v>
              </c:pt>
              <c:pt idx="269">
                <c:v>38953</c:v>
              </c:pt>
              <c:pt idx="270">
                <c:v>38954</c:v>
              </c:pt>
              <c:pt idx="271">
                <c:v>38957</c:v>
              </c:pt>
              <c:pt idx="272">
                <c:v>38958</c:v>
              </c:pt>
              <c:pt idx="273">
                <c:v>38959</c:v>
              </c:pt>
              <c:pt idx="274">
                <c:v>38960</c:v>
              </c:pt>
              <c:pt idx="275">
                <c:v>38961</c:v>
              </c:pt>
              <c:pt idx="276">
                <c:v>38964</c:v>
              </c:pt>
              <c:pt idx="277">
                <c:v>38965</c:v>
              </c:pt>
              <c:pt idx="278">
                <c:v>38966</c:v>
              </c:pt>
              <c:pt idx="279">
                <c:v>38967</c:v>
              </c:pt>
              <c:pt idx="280">
                <c:v>38968</c:v>
              </c:pt>
              <c:pt idx="281">
                <c:v>38971</c:v>
              </c:pt>
              <c:pt idx="282">
                <c:v>38972</c:v>
              </c:pt>
              <c:pt idx="283">
                <c:v>38973</c:v>
              </c:pt>
              <c:pt idx="284">
                <c:v>38974</c:v>
              </c:pt>
              <c:pt idx="285">
                <c:v>38975</c:v>
              </c:pt>
              <c:pt idx="286">
                <c:v>38978</c:v>
              </c:pt>
              <c:pt idx="287">
                <c:v>38979</c:v>
              </c:pt>
              <c:pt idx="288">
                <c:v>38980</c:v>
              </c:pt>
              <c:pt idx="289">
                <c:v>38981</c:v>
              </c:pt>
              <c:pt idx="290">
                <c:v>38982</c:v>
              </c:pt>
              <c:pt idx="291">
                <c:v>38985</c:v>
              </c:pt>
              <c:pt idx="292">
                <c:v>38986</c:v>
              </c:pt>
              <c:pt idx="293">
                <c:v>38987</c:v>
              </c:pt>
              <c:pt idx="294">
                <c:v>38988</c:v>
              </c:pt>
              <c:pt idx="295">
                <c:v>38989</c:v>
              </c:pt>
              <c:pt idx="296">
                <c:v>38992</c:v>
              </c:pt>
              <c:pt idx="297">
                <c:v>38993</c:v>
              </c:pt>
              <c:pt idx="298">
                <c:v>38994</c:v>
              </c:pt>
              <c:pt idx="299">
                <c:v>38995</c:v>
              </c:pt>
              <c:pt idx="300">
                <c:v>38996</c:v>
              </c:pt>
              <c:pt idx="301">
                <c:v>38999</c:v>
              </c:pt>
              <c:pt idx="302">
                <c:v>39000</c:v>
              </c:pt>
              <c:pt idx="303">
                <c:v>39001</c:v>
              </c:pt>
              <c:pt idx="304">
                <c:v>39002</c:v>
              </c:pt>
              <c:pt idx="305">
                <c:v>39003</c:v>
              </c:pt>
              <c:pt idx="306">
                <c:v>39006</c:v>
              </c:pt>
              <c:pt idx="307">
                <c:v>39007</c:v>
              </c:pt>
              <c:pt idx="308">
                <c:v>39008</c:v>
              </c:pt>
              <c:pt idx="309">
                <c:v>39009</c:v>
              </c:pt>
              <c:pt idx="310">
                <c:v>39010</c:v>
              </c:pt>
              <c:pt idx="311">
                <c:v>39013</c:v>
              </c:pt>
              <c:pt idx="312">
                <c:v>39014</c:v>
              </c:pt>
              <c:pt idx="313">
                <c:v>39015</c:v>
              </c:pt>
              <c:pt idx="314">
                <c:v>39016</c:v>
              </c:pt>
              <c:pt idx="315">
                <c:v>39017</c:v>
              </c:pt>
              <c:pt idx="316">
                <c:v>39020</c:v>
              </c:pt>
              <c:pt idx="317">
                <c:v>39021</c:v>
              </c:pt>
              <c:pt idx="318">
                <c:v>39022</c:v>
              </c:pt>
              <c:pt idx="319">
                <c:v>39023</c:v>
              </c:pt>
              <c:pt idx="320">
                <c:v>39024</c:v>
              </c:pt>
              <c:pt idx="321">
                <c:v>39027</c:v>
              </c:pt>
              <c:pt idx="322">
                <c:v>39028</c:v>
              </c:pt>
              <c:pt idx="323">
                <c:v>39029</c:v>
              </c:pt>
              <c:pt idx="324">
                <c:v>39030</c:v>
              </c:pt>
              <c:pt idx="325">
                <c:v>39031</c:v>
              </c:pt>
              <c:pt idx="326">
                <c:v>39034</c:v>
              </c:pt>
              <c:pt idx="327">
                <c:v>39035</c:v>
              </c:pt>
              <c:pt idx="328">
                <c:v>39036</c:v>
              </c:pt>
              <c:pt idx="329">
                <c:v>39037</c:v>
              </c:pt>
              <c:pt idx="330">
                <c:v>39038</c:v>
              </c:pt>
              <c:pt idx="331">
                <c:v>39041</c:v>
              </c:pt>
              <c:pt idx="332">
                <c:v>39042</c:v>
              </c:pt>
              <c:pt idx="333">
                <c:v>39043</c:v>
              </c:pt>
              <c:pt idx="334">
                <c:v>39044</c:v>
              </c:pt>
              <c:pt idx="335">
                <c:v>39045</c:v>
              </c:pt>
              <c:pt idx="336">
                <c:v>39048</c:v>
              </c:pt>
              <c:pt idx="337">
                <c:v>39049</c:v>
              </c:pt>
              <c:pt idx="338">
                <c:v>39050</c:v>
              </c:pt>
              <c:pt idx="339">
                <c:v>39051</c:v>
              </c:pt>
              <c:pt idx="340">
                <c:v>39052</c:v>
              </c:pt>
              <c:pt idx="341">
                <c:v>39055</c:v>
              </c:pt>
              <c:pt idx="342">
                <c:v>39056</c:v>
              </c:pt>
              <c:pt idx="343">
                <c:v>39057</c:v>
              </c:pt>
              <c:pt idx="344">
                <c:v>39058</c:v>
              </c:pt>
              <c:pt idx="345">
                <c:v>39059</c:v>
              </c:pt>
              <c:pt idx="346">
                <c:v>39062</c:v>
              </c:pt>
              <c:pt idx="347">
                <c:v>39063</c:v>
              </c:pt>
              <c:pt idx="348">
                <c:v>39064</c:v>
              </c:pt>
              <c:pt idx="349">
                <c:v>39065</c:v>
              </c:pt>
              <c:pt idx="350">
                <c:v>39066</c:v>
              </c:pt>
              <c:pt idx="351">
                <c:v>39069</c:v>
              </c:pt>
              <c:pt idx="352">
                <c:v>39070</c:v>
              </c:pt>
              <c:pt idx="353">
                <c:v>39071</c:v>
              </c:pt>
              <c:pt idx="354">
                <c:v>39072</c:v>
              </c:pt>
              <c:pt idx="355">
                <c:v>39073</c:v>
              </c:pt>
              <c:pt idx="356">
                <c:v>39078</c:v>
              </c:pt>
              <c:pt idx="357">
                <c:v>39079</c:v>
              </c:pt>
              <c:pt idx="358">
                <c:v>39080</c:v>
              </c:pt>
              <c:pt idx="359">
                <c:v>39084</c:v>
              </c:pt>
              <c:pt idx="360">
                <c:v>39085</c:v>
              </c:pt>
              <c:pt idx="361">
                <c:v>39086</c:v>
              </c:pt>
              <c:pt idx="362">
                <c:v>39087</c:v>
              </c:pt>
              <c:pt idx="363">
                <c:v>39090</c:v>
              </c:pt>
              <c:pt idx="364">
                <c:v>39091</c:v>
              </c:pt>
              <c:pt idx="365">
                <c:v>39092</c:v>
              </c:pt>
              <c:pt idx="366">
                <c:v>39093</c:v>
              </c:pt>
              <c:pt idx="367">
                <c:v>39094</c:v>
              </c:pt>
              <c:pt idx="368">
                <c:v>39097</c:v>
              </c:pt>
              <c:pt idx="369">
                <c:v>39098</c:v>
              </c:pt>
              <c:pt idx="370">
                <c:v>39099</c:v>
              </c:pt>
              <c:pt idx="371">
                <c:v>39100</c:v>
              </c:pt>
              <c:pt idx="372">
                <c:v>39101</c:v>
              </c:pt>
              <c:pt idx="373">
                <c:v>39104</c:v>
              </c:pt>
              <c:pt idx="374">
                <c:v>39105</c:v>
              </c:pt>
              <c:pt idx="375">
                <c:v>39106</c:v>
              </c:pt>
              <c:pt idx="376">
                <c:v>39107</c:v>
              </c:pt>
              <c:pt idx="377">
                <c:v>39111</c:v>
              </c:pt>
              <c:pt idx="378">
                <c:v>39112</c:v>
              </c:pt>
              <c:pt idx="379">
                <c:v>39113</c:v>
              </c:pt>
              <c:pt idx="380">
                <c:v>39114</c:v>
              </c:pt>
              <c:pt idx="381">
                <c:v>39115</c:v>
              </c:pt>
              <c:pt idx="382">
                <c:v>39118</c:v>
              </c:pt>
              <c:pt idx="383">
                <c:v>39119</c:v>
              </c:pt>
              <c:pt idx="384">
                <c:v>39120</c:v>
              </c:pt>
              <c:pt idx="385">
                <c:v>39121</c:v>
              </c:pt>
              <c:pt idx="386">
                <c:v>39122</c:v>
              </c:pt>
              <c:pt idx="387">
                <c:v>39125</c:v>
              </c:pt>
              <c:pt idx="388">
                <c:v>39126</c:v>
              </c:pt>
              <c:pt idx="389">
                <c:v>39127</c:v>
              </c:pt>
              <c:pt idx="390">
                <c:v>39128</c:v>
              </c:pt>
              <c:pt idx="391">
                <c:v>39129</c:v>
              </c:pt>
              <c:pt idx="392">
                <c:v>39132</c:v>
              </c:pt>
              <c:pt idx="393">
                <c:v>39133</c:v>
              </c:pt>
              <c:pt idx="394">
                <c:v>39134</c:v>
              </c:pt>
              <c:pt idx="395">
                <c:v>39135</c:v>
              </c:pt>
              <c:pt idx="396">
                <c:v>39136</c:v>
              </c:pt>
              <c:pt idx="397">
                <c:v>39139</c:v>
              </c:pt>
              <c:pt idx="398">
                <c:v>39140</c:v>
              </c:pt>
              <c:pt idx="399">
                <c:v>39141</c:v>
              </c:pt>
              <c:pt idx="400">
                <c:v>39142</c:v>
              </c:pt>
              <c:pt idx="401">
                <c:v>39143</c:v>
              </c:pt>
              <c:pt idx="402">
                <c:v>39146</c:v>
              </c:pt>
              <c:pt idx="403">
                <c:v>39147</c:v>
              </c:pt>
              <c:pt idx="404">
                <c:v>39148</c:v>
              </c:pt>
              <c:pt idx="405">
                <c:v>39149</c:v>
              </c:pt>
              <c:pt idx="406">
                <c:v>39150</c:v>
              </c:pt>
              <c:pt idx="407">
                <c:v>39153</c:v>
              </c:pt>
              <c:pt idx="408">
                <c:v>39154</c:v>
              </c:pt>
              <c:pt idx="409">
                <c:v>39155</c:v>
              </c:pt>
              <c:pt idx="410">
                <c:v>39156</c:v>
              </c:pt>
              <c:pt idx="411">
                <c:v>39157</c:v>
              </c:pt>
              <c:pt idx="412">
                <c:v>39160</c:v>
              </c:pt>
              <c:pt idx="413">
                <c:v>39161</c:v>
              </c:pt>
              <c:pt idx="414">
                <c:v>39162</c:v>
              </c:pt>
              <c:pt idx="415">
                <c:v>39163</c:v>
              </c:pt>
              <c:pt idx="416">
                <c:v>39164</c:v>
              </c:pt>
              <c:pt idx="417">
                <c:v>39167</c:v>
              </c:pt>
              <c:pt idx="418">
                <c:v>39168</c:v>
              </c:pt>
              <c:pt idx="419">
                <c:v>39169</c:v>
              </c:pt>
              <c:pt idx="420">
                <c:v>39170</c:v>
              </c:pt>
              <c:pt idx="421">
                <c:v>39171</c:v>
              </c:pt>
              <c:pt idx="422">
                <c:v>39174</c:v>
              </c:pt>
              <c:pt idx="423">
                <c:v>39175</c:v>
              </c:pt>
              <c:pt idx="424">
                <c:v>39176</c:v>
              </c:pt>
              <c:pt idx="425">
                <c:v>39177</c:v>
              </c:pt>
              <c:pt idx="426">
                <c:v>39182</c:v>
              </c:pt>
              <c:pt idx="427">
                <c:v>39183</c:v>
              </c:pt>
              <c:pt idx="428">
                <c:v>39184</c:v>
              </c:pt>
              <c:pt idx="429">
                <c:v>39185</c:v>
              </c:pt>
              <c:pt idx="430">
                <c:v>39188</c:v>
              </c:pt>
              <c:pt idx="431">
                <c:v>39189</c:v>
              </c:pt>
              <c:pt idx="432">
                <c:v>39190</c:v>
              </c:pt>
              <c:pt idx="433">
                <c:v>39191</c:v>
              </c:pt>
              <c:pt idx="434">
                <c:v>39192</c:v>
              </c:pt>
              <c:pt idx="435">
                <c:v>39195</c:v>
              </c:pt>
              <c:pt idx="436">
                <c:v>39196</c:v>
              </c:pt>
              <c:pt idx="437">
                <c:v>39198</c:v>
              </c:pt>
              <c:pt idx="438">
                <c:v>39199</c:v>
              </c:pt>
              <c:pt idx="439">
                <c:v>39202</c:v>
              </c:pt>
              <c:pt idx="440">
                <c:v>39203</c:v>
              </c:pt>
              <c:pt idx="441">
                <c:v>39204</c:v>
              </c:pt>
              <c:pt idx="442">
                <c:v>39205</c:v>
              </c:pt>
              <c:pt idx="443">
                <c:v>39206</c:v>
              </c:pt>
              <c:pt idx="444">
                <c:v>39209</c:v>
              </c:pt>
              <c:pt idx="445">
                <c:v>39210</c:v>
              </c:pt>
              <c:pt idx="446">
                <c:v>39211</c:v>
              </c:pt>
              <c:pt idx="447">
                <c:v>39212</c:v>
              </c:pt>
              <c:pt idx="448">
                <c:v>39213</c:v>
              </c:pt>
              <c:pt idx="449">
                <c:v>39216</c:v>
              </c:pt>
              <c:pt idx="450">
                <c:v>39217</c:v>
              </c:pt>
              <c:pt idx="451">
                <c:v>39218</c:v>
              </c:pt>
              <c:pt idx="452">
                <c:v>39219</c:v>
              </c:pt>
              <c:pt idx="453">
                <c:v>39220</c:v>
              </c:pt>
              <c:pt idx="454">
                <c:v>39223</c:v>
              </c:pt>
              <c:pt idx="455">
                <c:v>39224</c:v>
              </c:pt>
              <c:pt idx="456">
                <c:v>39225</c:v>
              </c:pt>
              <c:pt idx="457">
                <c:v>39226</c:v>
              </c:pt>
              <c:pt idx="458">
                <c:v>39227</c:v>
              </c:pt>
              <c:pt idx="459">
                <c:v>39230</c:v>
              </c:pt>
              <c:pt idx="460">
                <c:v>39231</c:v>
              </c:pt>
              <c:pt idx="461">
                <c:v>39232</c:v>
              </c:pt>
              <c:pt idx="462">
                <c:v>39233</c:v>
              </c:pt>
              <c:pt idx="463">
                <c:v>39234</c:v>
              </c:pt>
              <c:pt idx="464">
                <c:v>39237</c:v>
              </c:pt>
              <c:pt idx="465">
                <c:v>39238</c:v>
              </c:pt>
              <c:pt idx="466">
                <c:v>39239</c:v>
              </c:pt>
              <c:pt idx="467">
                <c:v>39240</c:v>
              </c:pt>
              <c:pt idx="468">
                <c:v>39241</c:v>
              </c:pt>
              <c:pt idx="469">
                <c:v>39245</c:v>
              </c:pt>
              <c:pt idx="470">
                <c:v>39246</c:v>
              </c:pt>
              <c:pt idx="471">
                <c:v>39247</c:v>
              </c:pt>
              <c:pt idx="472">
                <c:v>39248</c:v>
              </c:pt>
              <c:pt idx="473">
                <c:v>39251</c:v>
              </c:pt>
              <c:pt idx="474">
                <c:v>39252</c:v>
              </c:pt>
              <c:pt idx="475">
                <c:v>39253</c:v>
              </c:pt>
              <c:pt idx="476">
                <c:v>39254</c:v>
              </c:pt>
              <c:pt idx="477">
                <c:v>39255</c:v>
              </c:pt>
              <c:pt idx="478">
                <c:v>39258</c:v>
              </c:pt>
              <c:pt idx="479">
                <c:v>39259</c:v>
              </c:pt>
              <c:pt idx="480">
                <c:v>39260</c:v>
              </c:pt>
              <c:pt idx="481">
                <c:v>39261</c:v>
              </c:pt>
              <c:pt idx="482">
                <c:v>39262</c:v>
              </c:pt>
              <c:pt idx="483">
                <c:v>39265</c:v>
              </c:pt>
              <c:pt idx="484">
                <c:v>39266</c:v>
              </c:pt>
              <c:pt idx="485">
                <c:v>39267</c:v>
              </c:pt>
              <c:pt idx="486">
                <c:v>39268</c:v>
              </c:pt>
              <c:pt idx="487">
                <c:v>39269</c:v>
              </c:pt>
              <c:pt idx="488">
                <c:v>39272</c:v>
              </c:pt>
              <c:pt idx="489">
                <c:v>39273</c:v>
              </c:pt>
              <c:pt idx="490">
                <c:v>39274</c:v>
              </c:pt>
              <c:pt idx="491">
                <c:v>39275</c:v>
              </c:pt>
              <c:pt idx="492">
                <c:v>39276</c:v>
              </c:pt>
              <c:pt idx="493">
                <c:v>39279</c:v>
              </c:pt>
              <c:pt idx="494">
                <c:v>39280</c:v>
              </c:pt>
              <c:pt idx="495">
                <c:v>39281</c:v>
              </c:pt>
              <c:pt idx="496">
                <c:v>39282</c:v>
              </c:pt>
              <c:pt idx="497">
                <c:v>39283</c:v>
              </c:pt>
              <c:pt idx="498">
                <c:v>39286</c:v>
              </c:pt>
              <c:pt idx="499">
                <c:v>39287</c:v>
              </c:pt>
              <c:pt idx="500">
                <c:v>39288</c:v>
              </c:pt>
              <c:pt idx="501">
                <c:v>39289</c:v>
              </c:pt>
              <c:pt idx="502">
                <c:v>39290</c:v>
              </c:pt>
              <c:pt idx="503">
                <c:v>39293</c:v>
              </c:pt>
              <c:pt idx="504">
                <c:v>39294</c:v>
              </c:pt>
              <c:pt idx="505">
                <c:v>39295</c:v>
              </c:pt>
              <c:pt idx="506">
                <c:v>39296</c:v>
              </c:pt>
              <c:pt idx="507">
                <c:v>39297</c:v>
              </c:pt>
              <c:pt idx="508">
                <c:v>39300</c:v>
              </c:pt>
              <c:pt idx="509">
                <c:v>39301</c:v>
              </c:pt>
              <c:pt idx="510">
                <c:v>39302</c:v>
              </c:pt>
              <c:pt idx="511">
                <c:v>39303</c:v>
              </c:pt>
              <c:pt idx="512">
                <c:v>39304</c:v>
              </c:pt>
              <c:pt idx="513">
                <c:v>39307</c:v>
              </c:pt>
              <c:pt idx="514">
                <c:v>39308</c:v>
              </c:pt>
              <c:pt idx="515">
                <c:v>39309</c:v>
              </c:pt>
              <c:pt idx="516">
                <c:v>39310</c:v>
              </c:pt>
              <c:pt idx="517">
                <c:v>39311</c:v>
              </c:pt>
              <c:pt idx="518">
                <c:v>39314</c:v>
              </c:pt>
              <c:pt idx="519">
                <c:v>39315</c:v>
              </c:pt>
              <c:pt idx="520">
                <c:v>39316</c:v>
              </c:pt>
              <c:pt idx="521">
                <c:v>39317</c:v>
              </c:pt>
              <c:pt idx="522">
                <c:v>39318</c:v>
              </c:pt>
              <c:pt idx="523">
                <c:v>39321</c:v>
              </c:pt>
              <c:pt idx="524">
                <c:v>39322</c:v>
              </c:pt>
              <c:pt idx="525">
                <c:v>39323</c:v>
              </c:pt>
              <c:pt idx="526">
                <c:v>39324</c:v>
              </c:pt>
              <c:pt idx="527">
                <c:v>39325</c:v>
              </c:pt>
              <c:pt idx="528">
                <c:v>39568</c:v>
              </c:pt>
              <c:pt idx="529">
                <c:v>39569</c:v>
              </c:pt>
              <c:pt idx="530">
                <c:v>39570</c:v>
              </c:pt>
              <c:pt idx="531">
                <c:v>39573</c:v>
              </c:pt>
              <c:pt idx="532">
                <c:v>39574</c:v>
              </c:pt>
              <c:pt idx="533">
                <c:v>39575</c:v>
              </c:pt>
              <c:pt idx="534">
                <c:v>39576</c:v>
              </c:pt>
              <c:pt idx="535">
                <c:v>39577</c:v>
              </c:pt>
              <c:pt idx="536">
                <c:v>39580</c:v>
              </c:pt>
              <c:pt idx="537">
                <c:v>39581</c:v>
              </c:pt>
              <c:pt idx="538">
                <c:v>39582</c:v>
              </c:pt>
              <c:pt idx="539">
                <c:v>39583</c:v>
              </c:pt>
              <c:pt idx="540">
                <c:v>39584</c:v>
              </c:pt>
              <c:pt idx="541">
                <c:v>39587</c:v>
              </c:pt>
              <c:pt idx="542">
                <c:v>39588</c:v>
              </c:pt>
              <c:pt idx="543">
                <c:v>39589</c:v>
              </c:pt>
              <c:pt idx="544">
                <c:v>39590</c:v>
              </c:pt>
              <c:pt idx="545">
                <c:v>39591</c:v>
              </c:pt>
              <c:pt idx="546">
                <c:v>39594</c:v>
              </c:pt>
              <c:pt idx="547">
                <c:v>39595</c:v>
              </c:pt>
              <c:pt idx="548">
                <c:v>39596</c:v>
              </c:pt>
              <c:pt idx="549">
                <c:v>39597</c:v>
              </c:pt>
              <c:pt idx="550">
                <c:v>39598</c:v>
              </c:pt>
              <c:pt idx="551">
                <c:v>39660</c:v>
              </c:pt>
              <c:pt idx="552">
                <c:v>39661</c:v>
              </c:pt>
              <c:pt idx="553">
                <c:v>39664</c:v>
              </c:pt>
              <c:pt idx="554">
                <c:v>39665</c:v>
              </c:pt>
              <c:pt idx="555">
                <c:v>39666</c:v>
              </c:pt>
              <c:pt idx="556">
                <c:v>39667</c:v>
              </c:pt>
              <c:pt idx="557">
                <c:v>39668</c:v>
              </c:pt>
              <c:pt idx="558">
                <c:v>39671</c:v>
              </c:pt>
              <c:pt idx="559">
                <c:v>39672</c:v>
              </c:pt>
              <c:pt idx="560">
                <c:v>39673</c:v>
              </c:pt>
              <c:pt idx="561">
                <c:v>39674</c:v>
              </c:pt>
              <c:pt idx="562">
                <c:v>39675</c:v>
              </c:pt>
              <c:pt idx="563">
                <c:v>39678</c:v>
              </c:pt>
              <c:pt idx="564">
                <c:v>39679</c:v>
              </c:pt>
              <c:pt idx="565">
                <c:v>39680</c:v>
              </c:pt>
              <c:pt idx="566">
                <c:v>39681</c:v>
              </c:pt>
              <c:pt idx="567">
                <c:v>39682</c:v>
              </c:pt>
              <c:pt idx="568">
                <c:v>39685</c:v>
              </c:pt>
              <c:pt idx="569">
                <c:v>39686</c:v>
              </c:pt>
              <c:pt idx="570">
                <c:v>39687</c:v>
              </c:pt>
              <c:pt idx="571">
                <c:v>39688</c:v>
              </c:pt>
              <c:pt idx="572">
                <c:v>39689</c:v>
              </c:pt>
              <c:pt idx="573">
                <c:v>39692</c:v>
              </c:pt>
              <c:pt idx="574">
                <c:v>39693</c:v>
              </c:pt>
              <c:pt idx="575">
                <c:v>39694</c:v>
              </c:pt>
              <c:pt idx="576">
                <c:v>39695</c:v>
              </c:pt>
              <c:pt idx="577">
                <c:v>39696</c:v>
              </c:pt>
              <c:pt idx="578">
                <c:v>39699</c:v>
              </c:pt>
              <c:pt idx="579">
                <c:v>39700</c:v>
              </c:pt>
              <c:pt idx="580">
                <c:v>39701</c:v>
              </c:pt>
              <c:pt idx="581">
                <c:v>39702</c:v>
              </c:pt>
              <c:pt idx="582">
                <c:v>39703</c:v>
              </c:pt>
              <c:pt idx="583">
                <c:v>39706</c:v>
              </c:pt>
              <c:pt idx="584">
                <c:v>39707</c:v>
              </c:pt>
              <c:pt idx="585">
                <c:v>39708</c:v>
              </c:pt>
              <c:pt idx="586">
                <c:v>39709</c:v>
              </c:pt>
              <c:pt idx="587">
                <c:v>39710</c:v>
              </c:pt>
              <c:pt idx="588">
                <c:v>39713</c:v>
              </c:pt>
              <c:pt idx="589">
                <c:v>39714</c:v>
              </c:pt>
              <c:pt idx="590">
                <c:v>39715</c:v>
              </c:pt>
              <c:pt idx="591">
                <c:v>39716</c:v>
              </c:pt>
              <c:pt idx="592">
                <c:v>39717</c:v>
              </c:pt>
              <c:pt idx="593">
                <c:v>39720</c:v>
              </c:pt>
              <c:pt idx="594">
                <c:v>39721</c:v>
              </c:pt>
              <c:pt idx="595">
                <c:v>39722</c:v>
              </c:pt>
              <c:pt idx="596">
                <c:v>39723</c:v>
              </c:pt>
              <c:pt idx="597">
                <c:v>39724</c:v>
              </c:pt>
              <c:pt idx="598">
                <c:v>39727</c:v>
              </c:pt>
              <c:pt idx="599">
                <c:v>39728</c:v>
              </c:pt>
              <c:pt idx="600">
                <c:v>39729</c:v>
              </c:pt>
              <c:pt idx="601">
                <c:v>39730</c:v>
              </c:pt>
              <c:pt idx="602">
                <c:v>39731</c:v>
              </c:pt>
              <c:pt idx="603">
                <c:v>39734</c:v>
              </c:pt>
              <c:pt idx="604">
                <c:v>39735</c:v>
              </c:pt>
              <c:pt idx="605">
                <c:v>39736</c:v>
              </c:pt>
              <c:pt idx="606">
                <c:v>39737</c:v>
              </c:pt>
              <c:pt idx="607">
                <c:v>39738</c:v>
              </c:pt>
              <c:pt idx="608">
                <c:v>39741</c:v>
              </c:pt>
              <c:pt idx="609">
                <c:v>39742</c:v>
              </c:pt>
              <c:pt idx="610">
                <c:v>39743</c:v>
              </c:pt>
              <c:pt idx="611">
                <c:v>39744</c:v>
              </c:pt>
              <c:pt idx="612">
                <c:v>39745</c:v>
              </c:pt>
              <c:pt idx="613">
                <c:v>39748</c:v>
              </c:pt>
              <c:pt idx="614">
                <c:v>39749</c:v>
              </c:pt>
              <c:pt idx="615">
                <c:v>39750</c:v>
              </c:pt>
              <c:pt idx="616">
                <c:v>39751</c:v>
              </c:pt>
              <c:pt idx="617">
                <c:v>39752</c:v>
              </c:pt>
              <c:pt idx="618">
                <c:v>39755</c:v>
              </c:pt>
              <c:pt idx="619">
                <c:v>39756</c:v>
              </c:pt>
              <c:pt idx="620">
                <c:v>39757</c:v>
              </c:pt>
              <c:pt idx="621">
                <c:v>39758</c:v>
              </c:pt>
              <c:pt idx="622">
                <c:v>39759</c:v>
              </c:pt>
              <c:pt idx="623">
                <c:v>39762</c:v>
              </c:pt>
              <c:pt idx="624">
                <c:v>39763</c:v>
              </c:pt>
              <c:pt idx="625">
                <c:v>39764</c:v>
              </c:pt>
              <c:pt idx="626">
                <c:v>39765</c:v>
              </c:pt>
              <c:pt idx="627">
                <c:v>39766</c:v>
              </c:pt>
              <c:pt idx="628">
                <c:v>39769</c:v>
              </c:pt>
              <c:pt idx="629">
                <c:v>39770</c:v>
              </c:pt>
              <c:pt idx="630">
                <c:v>39771</c:v>
              </c:pt>
              <c:pt idx="631">
                <c:v>39772</c:v>
              </c:pt>
              <c:pt idx="632">
                <c:v>39773</c:v>
              </c:pt>
              <c:pt idx="633">
                <c:v>39776</c:v>
              </c:pt>
              <c:pt idx="634">
                <c:v>39777</c:v>
              </c:pt>
              <c:pt idx="635">
                <c:v>39778</c:v>
              </c:pt>
              <c:pt idx="636">
                <c:v>39779</c:v>
              </c:pt>
              <c:pt idx="637">
                <c:v>39780</c:v>
              </c:pt>
              <c:pt idx="638">
                <c:v>39783</c:v>
              </c:pt>
              <c:pt idx="639">
                <c:v>39784</c:v>
              </c:pt>
              <c:pt idx="640">
                <c:v>39785</c:v>
              </c:pt>
              <c:pt idx="641">
                <c:v>39786</c:v>
              </c:pt>
              <c:pt idx="642">
                <c:v>39787</c:v>
              </c:pt>
              <c:pt idx="643">
                <c:v>39790</c:v>
              </c:pt>
              <c:pt idx="644">
                <c:v>39791</c:v>
              </c:pt>
              <c:pt idx="645">
                <c:v>39792</c:v>
              </c:pt>
              <c:pt idx="646">
                <c:v>39793</c:v>
              </c:pt>
              <c:pt idx="647">
                <c:v>39794</c:v>
              </c:pt>
              <c:pt idx="648">
                <c:v>39797</c:v>
              </c:pt>
              <c:pt idx="649">
                <c:v>39798</c:v>
              </c:pt>
              <c:pt idx="650">
                <c:v>39799</c:v>
              </c:pt>
              <c:pt idx="651">
                <c:v>39800</c:v>
              </c:pt>
              <c:pt idx="652">
                <c:v>39801</c:v>
              </c:pt>
              <c:pt idx="653">
                <c:v>39804</c:v>
              </c:pt>
              <c:pt idx="654">
                <c:v>39805</c:v>
              </c:pt>
              <c:pt idx="655">
                <c:v>39806</c:v>
              </c:pt>
              <c:pt idx="656">
                <c:v>39811</c:v>
              </c:pt>
              <c:pt idx="657">
                <c:v>39812</c:v>
              </c:pt>
              <c:pt idx="658">
                <c:v>39813</c:v>
              </c:pt>
              <c:pt idx="659">
                <c:v>39815</c:v>
              </c:pt>
              <c:pt idx="660">
                <c:v>39818</c:v>
              </c:pt>
              <c:pt idx="661">
                <c:v>39819</c:v>
              </c:pt>
              <c:pt idx="662">
                <c:v>39820</c:v>
              </c:pt>
              <c:pt idx="663">
                <c:v>39821</c:v>
              </c:pt>
              <c:pt idx="664">
                <c:v>39822</c:v>
              </c:pt>
              <c:pt idx="665">
                <c:v>39825</c:v>
              </c:pt>
              <c:pt idx="666">
                <c:v>39826</c:v>
              </c:pt>
              <c:pt idx="667">
                <c:v>39827</c:v>
              </c:pt>
              <c:pt idx="668">
                <c:v>39828</c:v>
              </c:pt>
              <c:pt idx="669">
                <c:v>39829</c:v>
              </c:pt>
              <c:pt idx="670">
                <c:v>39832</c:v>
              </c:pt>
              <c:pt idx="671">
                <c:v>39833</c:v>
              </c:pt>
              <c:pt idx="672">
                <c:v>39834</c:v>
              </c:pt>
              <c:pt idx="673">
                <c:v>39835</c:v>
              </c:pt>
              <c:pt idx="674">
                <c:v>39836</c:v>
              </c:pt>
              <c:pt idx="675">
                <c:v>39840</c:v>
              </c:pt>
              <c:pt idx="676">
                <c:v>39841</c:v>
              </c:pt>
              <c:pt idx="677">
                <c:v>39842</c:v>
              </c:pt>
              <c:pt idx="678">
                <c:v>39843</c:v>
              </c:pt>
              <c:pt idx="679">
                <c:v>39846</c:v>
              </c:pt>
              <c:pt idx="680">
                <c:v>39847</c:v>
              </c:pt>
              <c:pt idx="681">
                <c:v>39848</c:v>
              </c:pt>
              <c:pt idx="682">
                <c:v>39849</c:v>
              </c:pt>
              <c:pt idx="683">
                <c:v>39850</c:v>
              </c:pt>
              <c:pt idx="684">
                <c:v>39853</c:v>
              </c:pt>
              <c:pt idx="685">
                <c:v>39854</c:v>
              </c:pt>
              <c:pt idx="686">
                <c:v>39855</c:v>
              </c:pt>
              <c:pt idx="687">
                <c:v>39856</c:v>
              </c:pt>
              <c:pt idx="688">
                <c:v>39857</c:v>
              </c:pt>
              <c:pt idx="689">
                <c:v>39860</c:v>
              </c:pt>
              <c:pt idx="690">
                <c:v>39861</c:v>
              </c:pt>
              <c:pt idx="691">
                <c:v>39862</c:v>
              </c:pt>
              <c:pt idx="692">
                <c:v>39863</c:v>
              </c:pt>
              <c:pt idx="693">
                <c:v>39864</c:v>
              </c:pt>
              <c:pt idx="694">
                <c:v>39867</c:v>
              </c:pt>
              <c:pt idx="695">
                <c:v>39868</c:v>
              </c:pt>
              <c:pt idx="696">
                <c:v>39869</c:v>
              </c:pt>
              <c:pt idx="697">
                <c:v>39870</c:v>
              </c:pt>
              <c:pt idx="698">
                <c:v>39871</c:v>
              </c:pt>
              <c:pt idx="699">
                <c:v>39874</c:v>
              </c:pt>
              <c:pt idx="700">
                <c:v>39875</c:v>
              </c:pt>
              <c:pt idx="701">
                <c:v>39876</c:v>
              </c:pt>
              <c:pt idx="702">
                <c:v>39877</c:v>
              </c:pt>
              <c:pt idx="703">
                <c:v>39878</c:v>
              </c:pt>
              <c:pt idx="704">
                <c:v>39881</c:v>
              </c:pt>
              <c:pt idx="705">
                <c:v>39882</c:v>
              </c:pt>
              <c:pt idx="706">
                <c:v>39883</c:v>
              </c:pt>
              <c:pt idx="707">
                <c:v>39884</c:v>
              </c:pt>
              <c:pt idx="708">
                <c:v>39885</c:v>
              </c:pt>
              <c:pt idx="709">
                <c:v>39888</c:v>
              </c:pt>
              <c:pt idx="710">
                <c:v>39889</c:v>
              </c:pt>
              <c:pt idx="711">
                <c:v>39890</c:v>
              </c:pt>
              <c:pt idx="712">
                <c:v>39891</c:v>
              </c:pt>
              <c:pt idx="713">
                <c:v>39892</c:v>
              </c:pt>
              <c:pt idx="714">
                <c:v>39895</c:v>
              </c:pt>
              <c:pt idx="715">
                <c:v>39896</c:v>
              </c:pt>
              <c:pt idx="716">
                <c:v>39897</c:v>
              </c:pt>
              <c:pt idx="717">
                <c:v>39898</c:v>
              </c:pt>
              <c:pt idx="718">
                <c:v>39899</c:v>
              </c:pt>
              <c:pt idx="719">
                <c:v>39902</c:v>
              </c:pt>
              <c:pt idx="720">
                <c:v>39903</c:v>
              </c:pt>
              <c:pt idx="721">
                <c:v>39904</c:v>
              </c:pt>
              <c:pt idx="722">
                <c:v>39905</c:v>
              </c:pt>
              <c:pt idx="723">
                <c:v>39906</c:v>
              </c:pt>
              <c:pt idx="724">
                <c:v>39909</c:v>
              </c:pt>
              <c:pt idx="725">
                <c:v>39910</c:v>
              </c:pt>
              <c:pt idx="726">
                <c:v>39911</c:v>
              </c:pt>
              <c:pt idx="727">
                <c:v>39912</c:v>
              </c:pt>
              <c:pt idx="728">
                <c:v>39917</c:v>
              </c:pt>
              <c:pt idx="729">
                <c:v>39918</c:v>
              </c:pt>
              <c:pt idx="730">
                <c:v>39919</c:v>
              </c:pt>
              <c:pt idx="731">
                <c:v>39920</c:v>
              </c:pt>
              <c:pt idx="732">
                <c:v>39923</c:v>
              </c:pt>
              <c:pt idx="733">
                <c:v>39924</c:v>
              </c:pt>
              <c:pt idx="734">
                <c:v>39925</c:v>
              </c:pt>
              <c:pt idx="735">
                <c:v>39926</c:v>
              </c:pt>
              <c:pt idx="736">
                <c:v>39927</c:v>
              </c:pt>
              <c:pt idx="737">
                <c:v>39930</c:v>
              </c:pt>
              <c:pt idx="738">
                <c:v>39931</c:v>
              </c:pt>
              <c:pt idx="739">
                <c:v>39932</c:v>
              </c:pt>
              <c:pt idx="740">
                <c:v>39933</c:v>
              </c:pt>
              <c:pt idx="741">
                <c:v>39934</c:v>
              </c:pt>
              <c:pt idx="742">
                <c:v>39937</c:v>
              </c:pt>
              <c:pt idx="743">
                <c:v>39938</c:v>
              </c:pt>
              <c:pt idx="744">
                <c:v>39939</c:v>
              </c:pt>
              <c:pt idx="745">
                <c:v>39940</c:v>
              </c:pt>
              <c:pt idx="746">
                <c:v>39941</c:v>
              </c:pt>
              <c:pt idx="747">
                <c:v>39944</c:v>
              </c:pt>
              <c:pt idx="748">
                <c:v>39945</c:v>
              </c:pt>
              <c:pt idx="749">
                <c:v>39946</c:v>
              </c:pt>
              <c:pt idx="750">
                <c:v>39947</c:v>
              </c:pt>
              <c:pt idx="751">
                <c:v>39948</c:v>
              </c:pt>
              <c:pt idx="752">
                <c:v>39951</c:v>
              </c:pt>
              <c:pt idx="753">
                <c:v>39952</c:v>
              </c:pt>
              <c:pt idx="754">
                <c:v>39953</c:v>
              </c:pt>
              <c:pt idx="755">
                <c:v>39954</c:v>
              </c:pt>
              <c:pt idx="756">
                <c:v>39955</c:v>
              </c:pt>
              <c:pt idx="757">
                <c:v>39958</c:v>
              </c:pt>
              <c:pt idx="758">
                <c:v>39959</c:v>
              </c:pt>
              <c:pt idx="759">
                <c:v>39960</c:v>
              </c:pt>
              <c:pt idx="760">
                <c:v>39961</c:v>
              </c:pt>
              <c:pt idx="761">
                <c:v>39962</c:v>
              </c:pt>
              <c:pt idx="762">
                <c:v>39965</c:v>
              </c:pt>
              <c:pt idx="763">
                <c:v>39966</c:v>
              </c:pt>
              <c:pt idx="764">
                <c:v>39967</c:v>
              </c:pt>
              <c:pt idx="765">
                <c:v>39968</c:v>
              </c:pt>
              <c:pt idx="766">
                <c:v>39969</c:v>
              </c:pt>
              <c:pt idx="767">
                <c:v>39973</c:v>
              </c:pt>
              <c:pt idx="768">
                <c:v>39974</c:v>
              </c:pt>
              <c:pt idx="769">
                <c:v>39975</c:v>
              </c:pt>
              <c:pt idx="770">
                <c:v>39976</c:v>
              </c:pt>
              <c:pt idx="771">
                <c:v>39979</c:v>
              </c:pt>
              <c:pt idx="772">
                <c:v>39980</c:v>
              </c:pt>
              <c:pt idx="773">
                <c:v>39981</c:v>
              </c:pt>
              <c:pt idx="774">
                <c:v>39982</c:v>
              </c:pt>
              <c:pt idx="775">
                <c:v>39983</c:v>
              </c:pt>
              <c:pt idx="776">
                <c:v>39986</c:v>
              </c:pt>
              <c:pt idx="777">
                <c:v>39987</c:v>
              </c:pt>
              <c:pt idx="778">
                <c:v>39988</c:v>
              </c:pt>
              <c:pt idx="779">
                <c:v>39989</c:v>
              </c:pt>
              <c:pt idx="780">
                <c:v>39990</c:v>
              </c:pt>
              <c:pt idx="781">
                <c:v>39993</c:v>
              </c:pt>
              <c:pt idx="782">
                <c:v>39994</c:v>
              </c:pt>
              <c:pt idx="783">
                <c:v>39995</c:v>
              </c:pt>
              <c:pt idx="784">
                <c:v>39996</c:v>
              </c:pt>
              <c:pt idx="785">
                <c:v>39997</c:v>
              </c:pt>
              <c:pt idx="786">
                <c:v>40000</c:v>
              </c:pt>
              <c:pt idx="787">
                <c:v>40001</c:v>
              </c:pt>
              <c:pt idx="788">
                <c:v>40002</c:v>
              </c:pt>
              <c:pt idx="789">
                <c:v>40003</c:v>
              </c:pt>
              <c:pt idx="790">
                <c:v>40004</c:v>
              </c:pt>
              <c:pt idx="791">
                <c:v>40007</c:v>
              </c:pt>
              <c:pt idx="792">
                <c:v>40008</c:v>
              </c:pt>
              <c:pt idx="793">
                <c:v>40009</c:v>
              </c:pt>
              <c:pt idx="794">
                <c:v>40010</c:v>
              </c:pt>
              <c:pt idx="795">
                <c:v>40011</c:v>
              </c:pt>
              <c:pt idx="796">
                <c:v>40014</c:v>
              </c:pt>
              <c:pt idx="797">
                <c:v>40015</c:v>
              </c:pt>
              <c:pt idx="798">
                <c:v>40016</c:v>
              </c:pt>
              <c:pt idx="799">
                <c:v>40017</c:v>
              </c:pt>
              <c:pt idx="800">
                <c:v>40018</c:v>
              </c:pt>
              <c:pt idx="801">
                <c:v>40021</c:v>
              </c:pt>
              <c:pt idx="802">
                <c:v>40022</c:v>
              </c:pt>
              <c:pt idx="803">
                <c:v>40023</c:v>
              </c:pt>
              <c:pt idx="804">
                <c:v>40024</c:v>
              </c:pt>
              <c:pt idx="805">
                <c:v>40025</c:v>
              </c:pt>
              <c:pt idx="806">
                <c:v>40028</c:v>
              </c:pt>
              <c:pt idx="807">
                <c:v>40029</c:v>
              </c:pt>
              <c:pt idx="808">
                <c:v>40030</c:v>
              </c:pt>
              <c:pt idx="809">
                <c:v>40031</c:v>
              </c:pt>
              <c:pt idx="810">
                <c:v>40032</c:v>
              </c:pt>
              <c:pt idx="811">
                <c:v>40035</c:v>
              </c:pt>
              <c:pt idx="812">
                <c:v>40036</c:v>
              </c:pt>
              <c:pt idx="813">
                <c:v>40037</c:v>
              </c:pt>
              <c:pt idx="814">
                <c:v>40038</c:v>
              </c:pt>
              <c:pt idx="815">
                <c:v>40039</c:v>
              </c:pt>
              <c:pt idx="816">
                <c:v>40042</c:v>
              </c:pt>
              <c:pt idx="817">
                <c:v>40043</c:v>
              </c:pt>
              <c:pt idx="818">
                <c:v>40044</c:v>
              </c:pt>
              <c:pt idx="819">
                <c:v>40045</c:v>
              </c:pt>
              <c:pt idx="820">
                <c:v>40046</c:v>
              </c:pt>
              <c:pt idx="821">
                <c:v>40049</c:v>
              </c:pt>
              <c:pt idx="822">
                <c:v>40050</c:v>
              </c:pt>
              <c:pt idx="823">
                <c:v>40051</c:v>
              </c:pt>
              <c:pt idx="824">
                <c:v>40052</c:v>
              </c:pt>
              <c:pt idx="825">
                <c:v>40053</c:v>
              </c:pt>
              <c:pt idx="826">
                <c:v>40056</c:v>
              </c:pt>
              <c:pt idx="827">
                <c:v>40057</c:v>
              </c:pt>
              <c:pt idx="828">
                <c:v>40058</c:v>
              </c:pt>
              <c:pt idx="829">
                <c:v>40059</c:v>
              </c:pt>
              <c:pt idx="830">
                <c:v>40060</c:v>
              </c:pt>
              <c:pt idx="831">
                <c:v>40063</c:v>
              </c:pt>
              <c:pt idx="832">
                <c:v>40064</c:v>
              </c:pt>
              <c:pt idx="833">
                <c:v>40065</c:v>
              </c:pt>
              <c:pt idx="834">
                <c:v>40066</c:v>
              </c:pt>
              <c:pt idx="835">
                <c:v>40067</c:v>
              </c:pt>
              <c:pt idx="836">
                <c:v>40070</c:v>
              </c:pt>
              <c:pt idx="837">
                <c:v>40071</c:v>
              </c:pt>
              <c:pt idx="838">
                <c:v>40072</c:v>
              </c:pt>
              <c:pt idx="839">
                <c:v>40073</c:v>
              </c:pt>
              <c:pt idx="840">
                <c:v>40074</c:v>
              </c:pt>
              <c:pt idx="841">
                <c:v>40077</c:v>
              </c:pt>
              <c:pt idx="842">
                <c:v>40078</c:v>
              </c:pt>
              <c:pt idx="843">
                <c:v>40079</c:v>
              </c:pt>
              <c:pt idx="844">
                <c:v>40080</c:v>
              </c:pt>
              <c:pt idx="845">
                <c:v>40081</c:v>
              </c:pt>
              <c:pt idx="846">
                <c:v>40084</c:v>
              </c:pt>
              <c:pt idx="847">
                <c:v>40085</c:v>
              </c:pt>
              <c:pt idx="848">
                <c:v>40086</c:v>
              </c:pt>
              <c:pt idx="849">
                <c:v>40087</c:v>
              </c:pt>
              <c:pt idx="850">
                <c:v>40088</c:v>
              </c:pt>
              <c:pt idx="851">
                <c:v>40091</c:v>
              </c:pt>
              <c:pt idx="852">
                <c:v>40092</c:v>
              </c:pt>
              <c:pt idx="853">
                <c:v>40093</c:v>
              </c:pt>
              <c:pt idx="854">
                <c:v>40094</c:v>
              </c:pt>
              <c:pt idx="855">
                <c:v>40095</c:v>
              </c:pt>
              <c:pt idx="856">
                <c:v>40098</c:v>
              </c:pt>
              <c:pt idx="857">
                <c:v>40099</c:v>
              </c:pt>
              <c:pt idx="858">
                <c:v>40100</c:v>
              </c:pt>
              <c:pt idx="859">
                <c:v>40101</c:v>
              </c:pt>
              <c:pt idx="860">
                <c:v>40102</c:v>
              </c:pt>
              <c:pt idx="861">
                <c:v>40105</c:v>
              </c:pt>
              <c:pt idx="862">
                <c:v>40106</c:v>
              </c:pt>
              <c:pt idx="863">
                <c:v>40107</c:v>
              </c:pt>
              <c:pt idx="864">
                <c:v>40108</c:v>
              </c:pt>
              <c:pt idx="865">
                <c:v>40109</c:v>
              </c:pt>
              <c:pt idx="866">
                <c:v>40112</c:v>
              </c:pt>
              <c:pt idx="867">
                <c:v>40113</c:v>
              </c:pt>
              <c:pt idx="868">
                <c:v>40114</c:v>
              </c:pt>
              <c:pt idx="869">
                <c:v>40115</c:v>
              </c:pt>
              <c:pt idx="870">
                <c:v>40116</c:v>
              </c:pt>
              <c:pt idx="871">
                <c:v>40119</c:v>
              </c:pt>
              <c:pt idx="872">
                <c:v>40120</c:v>
              </c:pt>
              <c:pt idx="873">
                <c:v>40121</c:v>
              </c:pt>
              <c:pt idx="874">
                <c:v>40122</c:v>
              </c:pt>
              <c:pt idx="875">
                <c:v>40123</c:v>
              </c:pt>
              <c:pt idx="876">
                <c:v>40126</c:v>
              </c:pt>
              <c:pt idx="877">
                <c:v>40127</c:v>
              </c:pt>
              <c:pt idx="878">
                <c:v>40128</c:v>
              </c:pt>
              <c:pt idx="879">
                <c:v>40129</c:v>
              </c:pt>
              <c:pt idx="880">
                <c:v>40130</c:v>
              </c:pt>
              <c:pt idx="881">
                <c:v>40133</c:v>
              </c:pt>
              <c:pt idx="882">
                <c:v>40134</c:v>
              </c:pt>
              <c:pt idx="883">
                <c:v>40135</c:v>
              </c:pt>
              <c:pt idx="884">
                <c:v>40136</c:v>
              </c:pt>
              <c:pt idx="885">
                <c:v>40137</c:v>
              </c:pt>
              <c:pt idx="886">
                <c:v>40140</c:v>
              </c:pt>
              <c:pt idx="887">
                <c:v>40141</c:v>
              </c:pt>
              <c:pt idx="888">
                <c:v>40142</c:v>
              </c:pt>
              <c:pt idx="889">
                <c:v>40143</c:v>
              </c:pt>
              <c:pt idx="890">
                <c:v>40144</c:v>
              </c:pt>
              <c:pt idx="891">
                <c:v>40147</c:v>
              </c:pt>
              <c:pt idx="892">
                <c:v>40148</c:v>
              </c:pt>
              <c:pt idx="893">
                <c:v>40149</c:v>
              </c:pt>
              <c:pt idx="894">
                <c:v>40150</c:v>
              </c:pt>
              <c:pt idx="895">
                <c:v>40151</c:v>
              </c:pt>
              <c:pt idx="896">
                <c:v>40154</c:v>
              </c:pt>
              <c:pt idx="897">
                <c:v>40155</c:v>
              </c:pt>
              <c:pt idx="898">
                <c:v>40156</c:v>
              </c:pt>
              <c:pt idx="899">
                <c:v>40157</c:v>
              </c:pt>
              <c:pt idx="900">
                <c:v>40158</c:v>
              </c:pt>
              <c:pt idx="901">
                <c:v>40161</c:v>
              </c:pt>
              <c:pt idx="902">
                <c:v>40162</c:v>
              </c:pt>
              <c:pt idx="903">
                <c:v>40163</c:v>
              </c:pt>
              <c:pt idx="904">
                <c:v>40164</c:v>
              </c:pt>
              <c:pt idx="905">
                <c:v>40165</c:v>
              </c:pt>
              <c:pt idx="906">
                <c:v>40168</c:v>
              </c:pt>
              <c:pt idx="907">
                <c:v>40169</c:v>
              </c:pt>
              <c:pt idx="908">
                <c:v>40170</c:v>
              </c:pt>
              <c:pt idx="909">
                <c:v>40171</c:v>
              </c:pt>
              <c:pt idx="910">
                <c:v>40176</c:v>
              </c:pt>
              <c:pt idx="911">
                <c:v>40177</c:v>
              </c:pt>
              <c:pt idx="912">
                <c:v>40178</c:v>
              </c:pt>
              <c:pt idx="913">
                <c:v>40182</c:v>
              </c:pt>
              <c:pt idx="914">
                <c:v>40183</c:v>
              </c:pt>
              <c:pt idx="915">
                <c:v>40184</c:v>
              </c:pt>
              <c:pt idx="916">
                <c:v>40185</c:v>
              </c:pt>
              <c:pt idx="917">
                <c:v>40186</c:v>
              </c:pt>
              <c:pt idx="918">
                <c:v>40189</c:v>
              </c:pt>
              <c:pt idx="919">
                <c:v>40190</c:v>
              </c:pt>
              <c:pt idx="920">
                <c:v>40191</c:v>
              </c:pt>
              <c:pt idx="921">
                <c:v>40192</c:v>
              </c:pt>
              <c:pt idx="922">
                <c:v>40193</c:v>
              </c:pt>
              <c:pt idx="923">
                <c:v>40196</c:v>
              </c:pt>
              <c:pt idx="924">
                <c:v>40197</c:v>
              </c:pt>
              <c:pt idx="925">
                <c:v>40198</c:v>
              </c:pt>
              <c:pt idx="926">
                <c:v>40199</c:v>
              </c:pt>
              <c:pt idx="927">
                <c:v>40200</c:v>
              </c:pt>
              <c:pt idx="928">
                <c:v>40203</c:v>
              </c:pt>
              <c:pt idx="929">
                <c:v>40205</c:v>
              </c:pt>
              <c:pt idx="930">
                <c:v>40206</c:v>
              </c:pt>
              <c:pt idx="931">
                <c:v>40207</c:v>
              </c:pt>
              <c:pt idx="932">
                <c:v>40210</c:v>
              </c:pt>
              <c:pt idx="933">
                <c:v>40211</c:v>
              </c:pt>
              <c:pt idx="934">
                <c:v>40212</c:v>
              </c:pt>
              <c:pt idx="935">
                <c:v>40213</c:v>
              </c:pt>
              <c:pt idx="936">
                <c:v>40214</c:v>
              </c:pt>
              <c:pt idx="937">
                <c:v>40217</c:v>
              </c:pt>
              <c:pt idx="938">
                <c:v>40218</c:v>
              </c:pt>
              <c:pt idx="939">
                <c:v>40219</c:v>
              </c:pt>
              <c:pt idx="940">
                <c:v>40220</c:v>
              </c:pt>
              <c:pt idx="941">
                <c:v>40221</c:v>
              </c:pt>
              <c:pt idx="942">
                <c:v>40224</c:v>
              </c:pt>
              <c:pt idx="943">
                <c:v>40225</c:v>
              </c:pt>
              <c:pt idx="944">
                <c:v>40226</c:v>
              </c:pt>
              <c:pt idx="945">
                <c:v>40227</c:v>
              </c:pt>
              <c:pt idx="946">
                <c:v>40228</c:v>
              </c:pt>
              <c:pt idx="947">
                <c:v>40231</c:v>
              </c:pt>
              <c:pt idx="948">
                <c:v>40232</c:v>
              </c:pt>
              <c:pt idx="949">
                <c:v>40233</c:v>
              </c:pt>
              <c:pt idx="950">
                <c:v>40234</c:v>
              </c:pt>
              <c:pt idx="951">
                <c:v>40235</c:v>
              </c:pt>
              <c:pt idx="952">
                <c:v>40238</c:v>
              </c:pt>
              <c:pt idx="953">
                <c:v>40239</c:v>
              </c:pt>
              <c:pt idx="954">
                <c:v>40240</c:v>
              </c:pt>
              <c:pt idx="955">
                <c:v>40241</c:v>
              </c:pt>
              <c:pt idx="956">
                <c:v>40242</c:v>
              </c:pt>
              <c:pt idx="957">
                <c:v>40245</c:v>
              </c:pt>
              <c:pt idx="958">
                <c:v>40246</c:v>
              </c:pt>
              <c:pt idx="959">
                <c:v>40247</c:v>
              </c:pt>
              <c:pt idx="960">
                <c:v>40248</c:v>
              </c:pt>
              <c:pt idx="961">
                <c:v>40249</c:v>
              </c:pt>
              <c:pt idx="962">
                <c:v>40252</c:v>
              </c:pt>
              <c:pt idx="963">
                <c:v>40253</c:v>
              </c:pt>
              <c:pt idx="964">
                <c:v>40254</c:v>
              </c:pt>
              <c:pt idx="965">
                <c:v>40255</c:v>
              </c:pt>
              <c:pt idx="966">
                <c:v>40256</c:v>
              </c:pt>
              <c:pt idx="967">
                <c:v>40259</c:v>
              </c:pt>
              <c:pt idx="968">
                <c:v>40260</c:v>
              </c:pt>
              <c:pt idx="969">
                <c:v>40261</c:v>
              </c:pt>
              <c:pt idx="970">
                <c:v>40262</c:v>
              </c:pt>
              <c:pt idx="971">
                <c:v>40263</c:v>
              </c:pt>
              <c:pt idx="972">
                <c:v>40266</c:v>
              </c:pt>
              <c:pt idx="973">
                <c:v>40267</c:v>
              </c:pt>
              <c:pt idx="974">
                <c:v>40268</c:v>
              </c:pt>
              <c:pt idx="975">
                <c:v>40269</c:v>
              </c:pt>
              <c:pt idx="976">
                <c:v>40274</c:v>
              </c:pt>
              <c:pt idx="977">
                <c:v>40275</c:v>
              </c:pt>
              <c:pt idx="978">
                <c:v>40276</c:v>
              </c:pt>
              <c:pt idx="979">
                <c:v>40277</c:v>
              </c:pt>
              <c:pt idx="980">
                <c:v>40280</c:v>
              </c:pt>
              <c:pt idx="981">
                <c:v>40281</c:v>
              </c:pt>
              <c:pt idx="982">
                <c:v>40282</c:v>
              </c:pt>
              <c:pt idx="983">
                <c:v>40283</c:v>
              </c:pt>
              <c:pt idx="984">
                <c:v>40284</c:v>
              </c:pt>
              <c:pt idx="985">
                <c:v>40287</c:v>
              </c:pt>
              <c:pt idx="986">
                <c:v>40288</c:v>
              </c:pt>
              <c:pt idx="987">
                <c:v>40289</c:v>
              </c:pt>
              <c:pt idx="988">
                <c:v>40290</c:v>
              </c:pt>
              <c:pt idx="989">
                <c:v>40291</c:v>
              </c:pt>
              <c:pt idx="990">
                <c:v>40295</c:v>
              </c:pt>
              <c:pt idx="991">
                <c:v>40296</c:v>
              </c:pt>
              <c:pt idx="992">
                <c:v>40297</c:v>
              </c:pt>
              <c:pt idx="993">
                <c:v>40298</c:v>
              </c:pt>
              <c:pt idx="994">
                <c:v>40301</c:v>
              </c:pt>
              <c:pt idx="995">
                <c:v>40302</c:v>
              </c:pt>
              <c:pt idx="996">
                <c:v>40303</c:v>
              </c:pt>
              <c:pt idx="997">
                <c:v>40304</c:v>
              </c:pt>
              <c:pt idx="998">
                <c:v>40305</c:v>
              </c:pt>
              <c:pt idx="999">
                <c:v>40308</c:v>
              </c:pt>
              <c:pt idx="1000">
                <c:v>40309</c:v>
              </c:pt>
              <c:pt idx="1001">
                <c:v>40310</c:v>
              </c:pt>
              <c:pt idx="1002">
                <c:v>40311</c:v>
              </c:pt>
              <c:pt idx="1003">
                <c:v>40312</c:v>
              </c:pt>
              <c:pt idx="1004">
                <c:v>40315</c:v>
              </c:pt>
              <c:pt idx="1005">
                <c:v>40316</c:v>
              </c:pt>
              <c:pt idx="1006">
                <c:v>40317</c:v>
              </c:pt>
              <c:pt idx="1007">
                <c:v>40318</c:v>
              </c:pt>
              <c:pt idx="1008">
                <c:v>40319</c:v>
              </c:pt>
              <c:pt idx="1009">
                <c:v>40322</c:v>
              </c:pt>
              <c:pt idx="1010">
                <c:v>40323</c:v>
              </c:pt>
              <c:pt idx="1011">
                <c:v>40324</c:v>
              </c:pt>
              <c:pt idx="1012">
                <c:v>40325</c:v>
              </c:pt>
              <c:pt idx="1013">
                <c:v>40326</c:v>
              </c:pt>
              <c:pt idx="1014">
                <c:v>40329</c:v>
              </c:pt>
              <c:pt idx="1015">
                <c:v>40330</c:v>
              </c:pt>
              <c:pt idx="1016">
                <c:v>40331</c:v>
              </c:pt>
              <c:pt idx="1017">
                <c:v>40332</c:v>
              </c:pt>
              <c:pt idx="1018">
                <c:v>40333</c:v>
              </c:pt>
              <c:pt idx="1019">
                <c:v>40336</c:v>
              </c:pt>
              <c:pt idx="1020">
                <c:v>40337</c:v>
              </c:pt>
              <c:pt idx="1021">
                <c:v>40338</c:v>
              </c:pt>
              <c:pt idx="1022">
                <c:v>40339</c:v>
              </c:pt>
              <c:pt idx="1023">
                <c:v>40340</c:v>
              </c:pt>
              <c:pt idx="1024">
                <c:v>40344</c:v>
              </c:pt>
              <c:pt idx="1025">
                <c:v>40345</c:v>
              </c:pt>
              <c:pt idx="1026">
                <c:v>40346</c:v>
              </c:pt>
              <c:pt idx="1027">
                <c:v>40347</c:v>
              </c:pt>
              <c:pt idx="1028">
                <c:v>40350</c:v>
              </c:pt>
              <c:pt idx="1029">
                <c:v>40351</c:v>
              </c:pt>
              <c:pt idx="1030">
                <c:v>40352</c:v>
              </c:pt>
              <c:pt idx="1031">
                <c:v>40353</c:v>
              </c:pt>
              <c:pt idx="1032">
                <c:v>40354</c:v>
              </c:pt>
              <c:pt idx="1033">
                <c:v>40357</c:v>
              </c:pt>
              <c:pt idx="1034">
                <c:v>40358</c:v>
              </c:pt>
              <c:pt idx="1035">
                <c:v>40359</c:v>
              </c:pt>
              <c:pt idx="1036">
                <c:v>40360</c:v>
              </c:pt>
              <c:pt idx="1037">
                <c:v>40361</c:v>
              </c:pt>
              <c:pt idx="1038">
                <c:v>40364</c:v>
              </c:pt>
              <c:pt idx="1039">
                <c:v>40365</c:v>
              </c:pt>
              <c:pt idx="1040">
                <c:v>40366</c:v>
              </c:pt>
              <c:pt idx="1041">
                <c:v>40367</c:v>
              </c:pt>
              <c:pt idx="1042">
                <c:v>40368</c:v>
              </c:pt>
              <c:pt idx="1043">
                <c:v>40371</c:v>
              </c:pt>
              <c:pt idx="1044">
                <c:v>40372</c:v>
              </c:pt>
              <c:pt idx="1045">
                <c:v>40373</c:v>
              </c:pt>
              <c:pt idx="1046">
                <c:v>40374</c:v>
              </c:pt>
              <c:pt idx="1047">
                <c:v>40375</c:v>
              </c:pt>
              <c:pt idx="1048">
                <c:v>40378</c:v>
              </c:pt>
              <c:pt idx="1049">
                <c:v>40379</c:v>
              </c:pt>
              <c:pt idx="1050">
                <c:v>40380</c:v>
              </c:pt>
              <c:pt idx="1051">
                <c:v>40381</c:v>
              </c:pt>
              <c:pt idx="1052">
                <c:v>40382</c:v>
              </c:pt>
              <c:pt idx="1053">
                <c:v>40385</c:v>
              </c:pt>
              <c:pt idx="1054">
                <c:v>40386</c:v>
              </c:pt>
              <c:pt idx="1055">
                <c:v>40387</c:v>
              </c:pt>
              <c:pt idx="1056">
                <c:v>40388</c:v>
              </c:pt>
              <c:pt idx="1057">
                <c:v>40389</c:v>
              </c:pt>
              <c:pt idx="1058">
                <c:v>40392</c:v>
              </c:pt>
              <c:pt idx="1059">
                <c:v>40393</c:v>
              </c:pt>
              <c:pt idx="1060">
                <c:v>40394</c:v>
              </c:pt>
              <c:pt idx="1061">
                <c:v>40395</c:v>
              </c:pt>
              <c:pt idx="1062">
                <c:v>40396</c:v>
              </c:pt>
              <c:pt idx="1063">
                <c:v>40399</c:v>
              </c:pt>
              <c:pt idx="1064">
                <c:v>40400</c:v>
              </c:pt>
              <c:pt idx="1065">
                <c:v>40401</c:v>
              </c:pt>
              <c:pt idx="1066">
                <c:v>40402</c:v>
              </c:pt>
              <c:pt idx="1067">
                <c:v>40403</c:v>
              </c:pt>
              <c:pt idx="1068">
                <c:v>40406</c:v>
              </c:pt>
              <c:pt idx="1069">
                <c:v>40407</c:v>
              </c:pt>
              <c:pt idx="1070">
                <c:v>40408</c:v>
              </c:pt>
              <c:pt idx="1071">
                <c:v>40409</c:v>
              </c:pt>
              <c:pt idx="1072">
                <c:v>40410</c:v>
              </c:pt>
              <c:pt idx="1073">
                <c:v>40413</c:v>
              </c:pt>
              <c:pt idx="1074">
                <c:v>40414</c:v>
              </c:pt>
              <c:pt idx="1075">
                <c:v>40415</c:v>
              </c:pt>
              <c:pt idx="1076">
                <c:v>40416</c:v>
              </c:pt>
              <c:pt idx="1077">
                <c:v>40417</c:v>
              </c:pt>
              <c:pt idx="1078">
                <c:v>40420</c:v>
              </c:pt>
              <c:pt idx="1079">
                <c:v>40421</c:v>
              </c:pt>
              <c:pt idx="1080">
                <c:v>40422</c:v>
              </c:pt>
              <c:pt idx="1081">
                <c:v>40423</c:v>
              </c:pt>
              <c:pt idx="1082">
                <c:v>40424</c:v>
              </c:pt>
              <c:pt idx="1083">
                <c:v>40427</c:v>
              </c:pt>
              <c:pt idx="1084">
                <c:v>40428</c:v>
              </c:pt>
              <c:pt idx="1085">
                <c:v>40429</c:v>
              </c:pt>
              <c:pt idx="1086">
                <c:v>40430</c:v>
              </c:pt>
              <c:pt idx="1087">
                <c:v>40431</c:v>
              </c:pt>
              <c:pt idx="1088">
                <c:v>40434</c:v>
              </c:pt>
              <c:pt idx="1089">
                <c:v>40435</c:v>
              </c:pt>
              <c:pt idx="1090">
                <c:v>40436</c:v>
              </c:pt>
              <c:pt idx="1091">
                <c:v>40437</c:v>
              </c:pt>
              <c:pt idx="1092">
                <c:v>40438</c:v>
              </c:pt>
              <c:pt idx="1093">
                <c:v>40441</c:v>
              </c:pt>
              <c:pt idx="1094">
                <c:v>40442</c:v>
              </c:pt>
              <c:pt idx="1095">
                <c:v>40443</c:v>
              </c:pt>
              <c:pt idx="1096">
                <c:v>40444</c:v>
              </c:pt>
              <c:pt idx="1097">
                <c:v>40445</c:v>
              </c:pt>
              <c:pt idx="1098">
                <c:v>40448</c:v>
              </c:pt>
              <c:pt idx="1099">
                <c:v>40449</c:v>
              </c:pt>
              <c:pt idx="1100">
                <c:v>40450</c:v>
              </c:pt>
              <c:pt idx="1101">
                <c:v>40451</c:v>
              </c:pt>
              <c:pt idx="1102">
                <c:v>40452</c:v>
              </c:pt>
              <c:pt idx="1103">
                <c:v>40455</c:v>
              </c:pt>
              <c:pt idx="1104">
                <c:v>40456</c:v>
              </c:pt>
              <c:pt idx="1105">
                <c:v>40457</c:v>
              </c:pt>
              <c:pt idx="1106">
                <c:v>40458</c:v>
              </c:pt>
              <c:pt idx="1107">
                <c:v>40459</c:v>
              </c:pt>
              <c:pt idx="1108">
                <c:v>40462</c:v>
              </c:pt>
              <c:pt idx="1109">
                <c:v>40463</c:v>
              </c:pt>
              <c:pt idx="1110">
                <c:v>40464</c:v>
              </c:pt>
              <c:pt idx="1111">
                <c:v>40465</c:v>
              </c:pt>
              <c:pt idx="1112">
                <c:v>40466</c:v>
              </c:pt>
              <c:pt idx="1113">
                <c:v>40469</c:v>
              </c:pt>
              <c:pt idx="1114">
                <c:v>40470</c:v>
              </c:pt>
              <c:pt idx="1115">
                <c:v>40471</c:v>
              </c:pt>
              <c:pt idx="1116">
                <c:v>40472</c:v>
              </c:pt>
              <c:pt idx="1117">
                <c:v>40473</c:v>
              </c:pt>
              <c:pt idx="1118">
                <c:v>40476</c:v>
              </c:pt>
              <c:pt idx="1119">
                <c:v>40477</c:v>
              </c:pt>
              <c:pt idx="1120">
                <c:v>40478</c:v>
              </c:pt>
              <c:pt idx="1121">
                <c:v>40479</c:v>
              </c:pt>
              <c:pt idx="1122">
                <c:v>40480</c:v>
              </c:pt>
              <c:pt idx="1123">
                <c:v>40483</c:v>
              </c:pt>
              <c:pt idx="1124">
                <c:v>40484</c:v>
              </c:pt>
              <c:pt idx="1125">
                <c:v>40485</c:v>
              </c:pt>
              <c:pt idx="1126">
                <c:v>40486</c:v>
              </c:pt>
              <c:pt idx="1127">
                <c:v>40487</c:v>
              </c:pt>
              <c:pt idx="1128">
                <c:v>40490</c:v>
              </c:pt>
              <c:pt idx="1129">
                <c:v>40491</c:v>
              </c:pt>
              <c:pt idx="1130">
                <c:v>40492</c:v>
              </c:pt>
              <c:pt idx="1131">
                <c:v>40493</c:v>
              </c:pt>
              <c:pt idx="1132">
                <c:v>40494</c:v>
              </c:pt>
              <c:pt idx="1133">
                <c:v>40497</c:v>
              </c:pt>
              <c:pt idx="1134">
                <c:v>40498</c:v>
              </c:pt>
              <c:pt idx="1135">
                <c:v>40499</c:v>
              </c:pt>
              <c:pt idx="1136">
                <c:v>40500</c:v>
              </c:pt>
              <c:pt idx="1137">
                <c:v>40501</c:v>
              </c:pt>
              <c:pt idx="1138">
                <c:v>40504</c:v>
              </c:pt>
              <c:pt idx="1139">
                <c:v>40505</c:v>
              </c:pt>
              <c:pt idx="1140">
                <c:v>40506</c:v>
              </c:pt>
              <c:pt idx="1141">
                <c:v>40507</c:v>
              </c:pt>
              <c:pt idx="1142">
                <c:v>40508</c:v>
              </c:pt>
              <c:pt idx="1143">
                <c:v>40511</c:v>
              </c:pt>
              <c:pt idx="1144">
                <c:v>40512</c:v>
              </c:pt>
              <c:pt idx="1145">
                <c:v>40513</c:v>
              </c:pt>
              <c:pt idx="1146">
                <c:v>40514</c:v>
              </c:pt>
              <c:pt idx="1147">
                <c:v>40515</c:v>
              </c:pt>
              <c:pt idx="1148">
                <c:v>40518</c:v>
              </c:pt>
              <c:pt idx="1149">
                <c:v>40519</c:v>
              </c:pt>
              <c:pt idx="1150">
                <c:v>40520</c:v>
              </c:pt>
              <c:pt idx="1151">
                <c:v>40521</c:v>
              </c:pt>
              <c:pt idx="1152">
                <c:v>40522</c:v>
              </c:pt>
              <c:pt idx="1153">
                <c:v>40525</c:v>
              </c:pt>
              <c:pt idx="1154">
                <c:v>40526</c:v>
              </c:pt>
              <c:pt idx="1155">
                <c:v>40527</c:v>
              </c:pt>
              <c:pt idx="1156">
                <c:v>40528</c:v>
              </c:pt>
              <c:pt idx="1157">
                <c:v>40529</c:v>
              </c:pt>
              <c:pt idx="1158">
                <c:v>40532</c:v>
              </c:pt>
              <c:pt idx="1159">
                <c:v>40533</c:v>
              </c:pt>
              <c:pt idx="1160">
                <c:v>40534</c:v>
              </c:pt>
              <c:pt idx="1161">
                <c:v>40535</c:v>
              </c:pt>
              <c:pt idx="1162">
                <c:v>40536</c:v>
              </c:pt>
              <c:pt idx="1163">
                <c:v>40541</c:v>
              </c:pt>
              <c:pt idx="1164">
                <c:v>40542</c:v>
              </c:pt>
              <c:pt idx="1165">
                <c:v>40543</c:v>
              </c:pt>
              <c:pt idx="1166">
                <c:v>40547</c:v>
              </c:pt>
              <c:pt idx="1167">
                <c:v>40548</c:v>
              </c:pt>
              <c:pt idx="1168">
                <c:v>40549</c:v>
              </c:pt>
              <c:pt idx="1169">
                <c:v>40550</c:v>
              </c:pt>
              <c:pt idx="1170">
                <c:v>40553</c:v>
              </c:pt>
              <c:pt idx="1171">
                <c:v>40554</c:v>
              </c:pt>
              <c:pt idx="1172">
                <c:v>40555</c:v>
              </c:pt>
              <c:pt idx="1173">
                <c:v>40556</c:v>
              </c:pt>
              <c:pt idx="1174">
                <c:v>40557</c:v>
              </c:pt>
              <c:pt idx="1175">
                <c:v>40560</c:v>
              </c:pt>
              <c:pt idx="1176">
                <c:v>40561</c:v>
              </c:pt>
              <c:pt idx="1177">
                <c:v>40562</c:v>
              </c:pt>
              <c:pt idx="1178">
                <c:v>40563</c:v>
              </c:pt>
              <c:pt idx="1179">
                <c:v>40564</c:v>
              </c:pt>
              <c:pt idx="1180">
                <c:v>40567</c:v>
              </c:pt>
              <c:pt idx="1181">
                <c:v>40568</c:v>
              </c:pt>
              <c:pt idx="1182">
                <c:v>40570</c:v>
              </c:pt>
              <c:pt idx="1183">
                <c:v>40571</c:v>
              </c:pt>
              <c:pt idx="1184">
                <c:v>40574</c:v>
              </c:pt>
              <c:pt idx="1185">
                <c:v>40575</c:v>
              </c:pt>
              <c:pt idx="1186">
                <c:v>40576</c:v>
              </c:pt>
              <c:pt idx="1187">
                <c:v>40577</c:v>
              </c:pt>
              <c:pt idx="1188">
                <c:v>40578</c:v>
              </c:pt>
              <c:pt idx="1189">
                <c:v>40581</c:v>
              </c:pt>
              <c:pt idx="1190">
                <c:v>40582</c:v>
              </c:pt>
              <c:pt idx="1191">
                <c:v>40583</c:v>
              </c:pt>
              <c:pt idx="1192">
                <c:v>40584</c:v>
              </c:pt>
              <c:pt idx="1193">
                <c:v>40585</c:v>
              </c:pt>
              <c:pt idx="1194">
                <c:v>40588</c:v>
              </c:pt>
              <c:pt idx="1195">
                <c:v>40589</c:v>
              </c:pt>
              <c:pt idx="1196">
                <c:v>40590</c:v>
              </c:pt>
              <c:pt idx="1197">
                <c:v>40591</c:v>
              </c:pt>
              <c:pt idx="1198">
                <c:v>40592</c:v>
              </c:pt>
              <c:pt idx="1199">
                <c:v>40595</c:v>
              </c:pt>
              <c:pt idx="1200">
                <c:v>40596</c:v>
              </c:pt>
              <c:pt idx="1201">
                <c:v>40597</c:v>
              </c:pt>
              <c:pt idx="1202">
                <c:v>40598</c:v>
              </c:pt>
              <c:pt idx="1203">
                <c:v>40599</c:v>
              </c:pt>
              <c:pt idx="1204">
                <c:v>40602</c:v>
              </c:pt>
              <c:pt idx="1205">
                <c:v>40603</c:v>
              </c:pt>
              <c:pt idx="1206">
                <c:v>40604</c:v>
              </c:pt>
              <c:pt idx="1207">
                <c:v>40605</c:v>
              </c:pt>
              <c:pt idx="1208">
                <c:v>40606</c:v>
              </c:pt>
              <c:pt idx="1209">
                <c:v>40609</c:v>
              </c:pt>
              <c:pt idx="1210">
                <c:v>40610</c:v>
              </c:pt>
              <c:pt idx="1211">
                <c:v>40611</c:v>
              </c:pt>
              <c:pt idx="1212">
                <c:v>40612</c:v>
              </c:pt>
              <c:pt idx="1213">
                <c:v>40613</c:v>
              </c:pt>
              <c:pt idx="1214">
                <c:v>40616</c:v>
              </c:pt>
              <c:pt idx="1215">
                <c:v>40617</c:v>
              </c:pt>
              <c:pt idx="1216">
                <c:v>40618</c:v>
              </c:pt>
              <c:pt idx="1217">
                <c:v>40619</c:v>
              </c:pt>
              <c:pt idx="1218">
                <c:v>40620</c:v>
              </c:pt>
              <c:pt idx="1219">
                <c:v>40623</c:v>
              </c:pt>
              <c:pt idx="1220">
                <c:v>40624</c:v>
              </c:pt>
              <c:pt idx="1221">
                <c:v>40625</c:v>
              </c:pt>
              <c:pt idx="1222">
                <c:v>40626</c:v>
              </c:pt>
              <c:pt idx="1223">
                <c:v>40627</c:v>
              </c:pt>
              <c:pt idx="1224">
                <c:v>40630</c:v>
              </c:pt>
              <c:pt idx="1225">
                <c:v>40631</c:v>
              </c:pt>
              <c:pt idx="1226">
                <c:v>40632</c:v>
              </c:pt>
              <c:pt idx="1227">
                <c:v>40633</c:v>
              </c:pt>
              <c:pt idx="1228">
                <c:v>40634</c:v>
              </c:pt>
              <c:pt idx="1229">
                <c:v>40637</c:v>
              </c:pt>
              <c:pt idx="1230">
                <c:v>40638</c:v>
              </c:pt>
              <c:pt idx="1231">
                <c:v>40639</c:v>
              </c:pt>
              <c:pt idx="1232">
                <c:v>40640</c:v>
              </c:pt>
              <c:pt idx="1233">
                <c:v>40641</c:v>
              </c:pt>
              <c:pt idx="1234">
                <c:v>40644</c:v>
              </c:pt>
              <c:pt idx="1235">
                <c:v>40645</c:v>
              </c:pt>
              <c:pt idx="1236">
                <c:v>40646</c:v>
              </c:pt>
              <c:pt idx="1237">
                <c:v>40647</c:v>
              </c:pt>
              <c:pt idx="1238">
                <c:v>40648</c:v>
              </c:pt>
              <c:pt idx="1239">
                <c:v>40651</c:v>
              </c:pt>
              <c:pt idx="1240">
                <c:v>40652</c:v>
              </c:pt>
              <c:pt idx="1241">
                <c:v>40653</c:v>
              </c:pt>
              <c:pt idx="1242">
                <c:v>40654</c:v>
              </c:pt>
              <c:pt idx="1243">
                <c:v>40660</c:v>
              </c:pt>
              <c:pt idx="1244">
                <c:v>40661</c:v>
              </c:pt>
              <c:pt idx="1245">
                <c:v>40662</c:v>
              </c:pt>
              <c:pt idx="1246">
                <c:v>40665</c:v>
              </c:pt>
              <c:pt idx="1247">
                <c:v>40666</c:v>
              </c:pt>
              <c:pt idx="1248">
                <c:v>40667</c:v>
              </c:pt>
              <c:pt idx="1249">
                <c:v>40668</c:v>
              </c:pt>
              <c:pt idx="1250">
                <c:v>40669</c:v>
              </c:pt>
              <c:pt idx="1251">
                <c:v>40672</c:v>
              </c:pt>
              <c:pt idx="1252">
                <c:v>40673</c:v>
              </c:pt>
              <c:pt idx="1253">
                <c:v>40674</c:v>
              </c:pt>
              <c:pt idx="1254">
                <c:v>40675</c:v>
              </c:pt>
              <c:pt idx="1255">
                <c:v>40676</c:v>
              </c:pt>
              <c:pt idx="1256">
                <c:v>40679</c:v>
              </c:pt>
              <c:pt idx="1257">
                <c:v>40680</c:v>
              </c:pt>
              <c:pt idx="1258">
                <c:v>40681</c:v>
              </c:pt>
              <c:pt idx="1259">
                <c:v>40682</c:v>
              </c:pt>
              <c:pt idx="1260">
                <c:v>40683</c:v>
              </c:pt>
              <c:pt idx="1261">
                <c:v>40686</c:v>
              </c:pt>
              <c:pt idx="1262">
                <c:v>40687</c:v>
              </c:pt>
              <c:pt idx="1263">
                <c:v>40688</c:v>
              </c:pt>
              <c:pt idx="1264">
                <c:v>40689</c:v>
              </c:pt>
              <c:pt idx="1265">
                <c:v>40690</c:v>
              </c:pt>
              <c:pt idx="1266">
                <c:v>40693</c:v>
              </c:pt>
              <c:pt idx="1267">
                <c:v>40694</c:v>
              </c:pt>
              <c:pt idx="1268">
                <c:v>40695</c:v>
              </c:pt>
              <c:pt idx="1269">
                <c:v>40696</c:v>
              </c:pt>
              <c:pt idx="1270">
                <c:v>40697</c:v>
              </c:pt>
              <c:pt idx="1271">
                <c:v>40700</c:v>
              </c:pt>
              <c:pt idx="1272">
                <c:v>40701</c:v>
              </c:pt>
              <c:pt idx="1273">
                <c:v>40702</c:v>
              </c:pt>
              <c:pt idx="1274">
                <c:v>40703</c:v>
              </c:pt>
              <c:pt idx="1275">
                <c:v>40704</c:v>
              </c:pt>
              <c:pt idx="1276">
                <c:v>40708</c:v>
              </c:pt>
              <c:pt idx="1277">
                <c:v>40709</c:v>
              </c:pt>
              <c:pt idx="1278">
                <c:v>40710</c:v>
              </c:pt>
              <c:pt idx="1279">
                <c:v>40711</c:v>
              </c:pt>
              <c:pt idx="1280">
                <c:v>40714</c:v>
              </c:pt>
              <c:pt idx="1281">
                <c:v>40715</c:v>
              </c:pt>
              <c:pt idx="1282">
                <c:v>40716</c:v>
              </c:pt>
              <c:pt idx="1283">
                <c:v>40717</c:v>
              </c:pt>
              <c:pt idx="1284">
                <c:v>40718</c:v>
              </c:pt>
              <c:pt idx="1285">
                <c:v>40721</c:v>
              </c:pt>
              <c:pt idx="1286">
                <c:v>40722</c:v>
              </c:pt>
              <c:pt idx="1287">
                <c:v>40723</c:v>
              </c:pt>
              <c:pt idx="1288">
                <c:v>40724</c:v>
              </c:pt>
              <c:pt idx="1289">
                <c:v>40725</c:v>
              </c:pt>
              <c:pt idx="1290">
                <c:v>40728</c:v>
              </c:pt>
              <c:pt idx="1291">
                <c:v>40729</c:v>
              </c:pt>
              <c:pt idx="1292">
                <c:v>40730</c:v>
              </c:pt>
              <c:pt idx="1293">
                <c:v>40731</c:v>
              </c:pt>
              <c:pt idx="1294">
                <c:v>40732</c:v>
              </c:pt>
              <c:pt idx="1295">
                <c:v>40735</c:v>
              </c:pt>
              <c:pt idx="1296">
                <c:v>40736</c:v>
              </c:pt>
              <c:pt idx="1297">
                <c:v>40737</c:v>
              </c:pt>
              <c:pt idx="1298">
                <c:v>40738</c:v>
              </c:pt>
              <c:pt idx="1299">
                <c:v>40739</c:v>
              </c:pt>
              <c:pt idx="1300">
                <c:v>40742</c:v>
              </c:pt>
              <c:pt idx="1301">
                <c:v>40743</c:v>
              </c:pt>
              <c:pt idx="1302">
                <c:v>40744</c:v>
              </c:pt>
              <c:pt idx="1303">
                <c:v>40745</c:v>
              </c:pt>
              <c:pt idx="1304">
                <c:v>40746</c:v>
              </c:pt>
              <c:pt idx="1305">
                <c:v>40749</c:v>
              </c:pt>
              <c:pt idx="1306">
                <c:v>40750</c:v>
              </c:pt>
              <c:pt idx="1307">
                <c:v>40751</c:v>
              </c:pt>
              <c:pt idx="1308">
                <c:v>40752</c:v>
              </c:pt>
              <c:pt idx="1309">
                <c:v>40753</c:v>
              </c:pt>
              <c:pt idx="1310">
                <c:v>40757</c:v>
              </c:pt>
              <c:pt idx="1311">
                <c:v>40758</c:v>
              </c:pt>
              <c:pt idx="1312">
                <c:v>40759</c:v>
              </c:pt>
              <c:pt idx="1313">
                <c:v>40760</c:v>
              </c:pt>
              <c:pt idx="1314">
                <c:v>40763</c:v>
              </c:pt>
              <c:pt idx="1315">
                <c:v>40764</c:v>
              </c:pt>
              <c:pt idx="1316">
                <c:v>40765</c:v>
              </c:pt>
              <c:pt idx="1317">
                <c:v>40766</c:v>
              </c:pt>
              <c:pt idx="1318">
                <c:v>40767</c:v>
              </c:pt>
              <c:pt idx="1319">
                <c:v>40770</c:v>
              </c:pt>
              <c:pt idx="1320">
                <c:v>40771</c:v>
              </c:pt>
              <c:pt idx="1321">
                <c:v>40772</c:v>
              </c:pt>
              <c:pt idx="1322">
                <c:v>40773</c:v>
              </c:pt>
              <c:pt idx="1323">
                <c:v>40774</c:v>
              </c:pt>
              <c:pt idx="1324">
                <c:v>40777</c:v>
              </c:pt>
              <c:pt idx="1325">
                <c:v>40778</c:v>
              </c:pt>
              <c:pt idx="1326">
                <c:v>40779</c:v>
              </c:pt>
              <c:pt idx="1327">
                <c:v>40780</c:v>
              </c:pt>
              <c:pt idx="1328">
                <c:v>40781</c:v>
              </c:pt>
              <c:pt idx="1329">
                <c:v>40784</c:v>
              </c:pt>
              <c:pt idx="1330">
                <c:v>40785</c:v>
              </c:pt>
              <c:pt idx="1331">
                <c:v>40786</c:v>
              </c:pt>
              <c:pt idx="1332">
                <c:v>40787</c:v>
              </c:pt>
              <c:pt idx="1333">
                <c:v>40788</c:v>
              </c:pt>
              <c:pt idx="1334">
                <c:v>40791</c:v>
              </c:pt>
              <c:pt idx="1335">
                <c:v>40792</c:v>
              </c:pt>
              <c:pt idx="1336">
                <c:v>40793</c:v>
              </c:pt>
              <c:pt idx="1337">
                <c:v>40794</c:v>
              </c:pt>
              <c:pt idx="1338">
                <c:v>40795</c:v>
              </c:pt>
              <c:pt idx="1339">
                <c:v>40798</c:v>
              </c:pt>
              <c:pt idx="1340">
                <c:v>40799</c:v>
              </c:pt>
              <c:pt idx="1341">
                <c:v>40800</c:v>
              </c:pt>
              <c:pt idx="1342">
                <c:v>40801</c:v>
              </c:pt>
              <c:pt idx="1343">
                <c:v>40802</c:v>
              </c:pt>
              <c:pt idx="1344">
                <c:v>40805</c:v>
              </c:pt>
              <c:pt idx="1345">
                <c:v>40806</c:v>
              </c:pt>
              <c:pt idx="1346">
                <c:v>40807</c:v>
              </c:pt>
              <c:pt idx="1347">
                <c:v>40808</c:v>
              </c:pt>
              <c:pt idx="1348">
                <c:v>40809</c:v>
              </c:pt>
              <c:pt idx="1349">
                <c:v>40812</c:v>
              </c:pt>
              <c:pt idx="1350">
                <c:v>40813</c:v>
              </c:pt>
              <c:pt idx="1351">
                <c:v>40814</c:v>
              </c:pt>
              <c:pt idx="1352">
                <c:v>40815</c:v>
              </c:pt>
              <c:pt idx="1353">
                <c:v>40816</c:v>
              </c:pt>
              <c:pt idx="1354">
                <c:v>40820</c:v>
              </c:pt>
              <c:pt idx="1355">
                <c:v>40821</c:v>
              </c:pt>
              <c:pt idx="1356">
                <c:v>40822</c:v>
              </c:pt>
              <c:pt idx="1357">
                <c:v>40823</c:v>
              </c:pt>
              <c:pt idx="1358">
                <c:v>40826</c:v>
              </c:pt>
              <c:pt idx="1359">
                <c:v>40827</c:v>
              </c:pt>
              <c:pt idx="1360">
                <c:v>40828</c:v>
              </c:pt>
              <c:pt idx="1361">
                <c:v>40829</c:v>
              </c:pt>
              <c:pt idx="1362">
                <c:v>40830</c:v>
              </c:pt>
              <c:pt idx="1363">
                <c:v>40833</c:v>
              </c:pt>
              <c:pt idx="1364">
                <c:v>40834</c:v>
              </c:pt>
              <c:pt idx="1365">
                <c:v>40835</c:v>
              </c:pt>
              <c:pt idx="1366">
                <c:v>40836</c:v>
              </c:pt>
              <c:pt idx="1367">
                <c:v>40837</c:v>
              </c:pt>
              <c:pt idx="1368">
                <c:v>40840</c:v>
              </c:pt>
              <c:pt idx="1369">
                <c:v>40841</c:v>
              </c:pt>
              <c:pt idx="1370">
                <c:v>40842</c:v>
              </c:pt>
              <c:pt idx="1371">
                <c:v>40843</c:v>
              </c:pt>
              <c:pt idx="1372">
                <c:v>40844</c:v>
              </c:pt>
              <c:pt idx="1373">
                <c:v>40847</c:v>
              </c:pt>
              <c:pt idx="1374">
                <c:v>40848</c:v>
              </c:pt>
              <c:pt idx="1375">
                <c:v>40849</c:v>
              </c:pt>
              <c:pt idx="1376">
                <c:v>40850</c:v>
              </c:pt>
              <c:pt idx="1377">
                <c:v>40851</c:v>
              </c:pt>
              <c:pt idx="1378">
                <c:v>40854</c:v>
              </c:pt>
              <c:pt idx="1379">
                <c:v>40855</c:v>
              </c:pt>
              <c:pt idx="1380">
                <c:v>40856</c:v>
              </c:pt>
              <c:pt idx="1381">
                <c:v>40857</c:v>
              </c:pt>
              <c:pt idx="1382">
                <c:v>40858</c:v>
              </c:pt>
              <c:pt idx="1383">
                <c:v>40861</c:v>
              </c:pt>
              <c:pt idx="1384">
                <c:v>40862</c:v>
              </c:pt>
              <c:pt idx="1385">
                <c:v>40863</c:v>
              </c:pt>
              <c:pt idx="1386">
                <c:v>40864</c:v>
              </c:pt>
              <c:pt idx="1387">
                <c:v>40865</c:v>
              </c:pt>
              <c:pt idx="1388">
                <c:v>40868</c:v>
              </c:pt>
              <c:pt idx="1389">
                <c:v>40869</c:v>
              </c:pt>
              <c:pt idx="1390">
                <c:v>40870</c:v>
              </c:pt>
              <c:pt idx="1391">
                <c:v>40871</c:v>
              </c:pt>
              <c:pt idx="1392">
                <c:v>40872</c:v>
              </c:pt>
              <c:pt idx="1393">
                <c:v>40875</c:v>
              </c:pt>
              <c:pt idx="1394">
                <c:v>40876</c:v>
              </c:pt>
              <c:pt idx="1395">
                <c:v>40877</c:v>
              </c:pt>
              <c:pt idx="1396">
                <c:v>40878</c:v>
              </c:pt>
              <c:pt idx="1397">
                <c:v>40879</c:v>
              </c:pt>
              <c:pt idx="1398">
                <c:v>40882</c:v>
              </c:pt>
              <c:pt idx="1399">
                <c:v>40883</c:v>
              </c:pt>
              <c:pt idx="1400">
                <c:v>40884</c:v>
              </c:pt>
              <c:pt idx="1401">
                <c:v>40885</c:v>
              </c:pt>
              <c:pt idx="1402">
                <c:v>40886</c:v>
              </c:pt>
              <c:pt idx="1403">
                <c:v>40889</c:v>
              </c:pt>
              <c:pt idx="1404">
                <c:v>40890</c:v>
              </c:pt>
              <c:pt idx="1405">
                <c:v>40891</c:v>
              </c:pt>
              <c:pt idx="1406">
                <c:v>40892</c:v>
              </c:pt>
              <c:pt idx="1407">
                <c:v>40893</c:v>
              </c:pt>
              <c:pt idx="1408">
                <c:v>40896</c:v>
              </c:pt>
              <c:pt idx="1409">
                <c:v>40897</c:v>
              </c:pt>
              <c:pt idx="1410">
                <c:v>40898</c:v>
              </c:pt>
              <c:pt idx="1411">
                <c:v>40899</c:v>
              </c:pt>
              <c:pt idx="1412">
                <c:v>40900</c:v>
              </c:pt>
              <c:pt idx="1413">
                <c:v>40905</c:v>
              </c:pt>
              <c:pt idx="1414">
                <c:v>40906</c:v>
              </c:pt>
              <c:pt idx="1415">
                <c:v>40907</c:v>
              </c:pt>
              <c:pt idx="1416">
                <c:v>40911</c:v>
              </c:pt>
              <c:pt idx="1417">
                <c:v>40912</c:v>
              </c:pt>
              <c:pt idx="1418">
                <c:v>40913</c:v>
              </c:pt>
              <c:pt idx="1419">
                <c:v>40914</c:v>
              </c:pt>
              <c:pt idx="1420">
                <c:v>40917</c:v>
              </c:pt>
              <c:pt idx="1421">
                <c:v>40918</c:v>
              </c:pt>
              <c:pt idx="1422">
                <c:v>40919</c:v>
              </c:pt>
              <c:pt idx="1423">
                <c:v>40920</c:v>
              </c:pt>
              <c:pt idx="1424">
                <c:v>40921</c:v>
              </c:pt>
              <c:pt idx="1425">
                <c:v>40924</c:v>
              </c:pt>
              <c:pt idx="1426">
                <c:v>40925</c:v>
              </c:pt>
              <c:pt idx="1427">
                <c:v>40926</c:v>
              </c:pt>
              <c:pt idx="1428">
                <c:v>40927</c:v>
              </c:pt>
              <c:pt idx="1429">
                <c:v>40928</c:v>
              </c:pt>
              <c:pt idx="1430">
                <c:v>40931</c:v>
              </c:pt>
              <c:pt idx="1431">
                <c:v>40932</c:v>
              </c:pt>
              <c:pt idx="1432">
                <c:v>40933</c:v>
              </c:pt>
              <c:pt idx="1433">
                <c:v>40935</c:v>
              </c:pt>
              <c:pt idx="1434">
                <c:v>40938</c:v>
              </c:pt>
              <c:pt idx="1435">
                <c:v>40939</c:v>
              </c:pt>
              <c:pt idx="1436">
                <c:v>40940</c:v>
              </c:pt>
              <c:pt idx="1437">
                <c:v>40941</c:v>
              </c:pt>
              <c:pt idx="1438">
                <c:v>40942</c:v>
              </c:pt>
              <c:pt idx="1439">
                <c:v>40945</c:v>
              </c:pt>
              <c:pt idx="1440">
                <c:v>40946</c:v>
              </c:pt>
              <c:pt idx="1441">
                <c:v>40947</c:v>
              </c:pt>
              <c:pt idx="1442">
                <c:v>40948</c:v>
              </c:pt>
              <c:pt idx="1443">
                <c:v>40949</c:v>
              </c:pt>
              <c:pt idx="1444">
                <c:v>40952</c:v>
              </c:pt>
              <c:pt idx="1445">
                <c:v>40953</c:v>
              </c:pt>
              <c:pt idx="1446">
                <c:v>40954</c:v>
              </c:pt>
              <c:pt idx="1447">
                <c:v>40955</c:v>
              </c:pt>
              <c:pt idx="1448">
                <c:v>40956</c:v>
              </c:pt>
              <c:pt idx="1449">
                <c:v>40959</c:v>
              </c:pt>
              <c:pt idx="1450">
                <c:v>40960</c:v>
              </c:pt>
              <c:pt idx="1451">
                <c:v>40961</c:v>
              </c:pt>
              <c:pt idx="1452">
                <c:v>40962</c:v>
              </c:pt>
              <c:pt idx="1453">
                <c:v>40963</c:v>
              </c:pt>
              <c:pt idx="1454">
                <c:v>40966</c:v>
              </c:pt>
              <c:pt idx="1455">
                <c:v>40967</c:v>
              </c:pt>
              <c:pt idx="1456">
                <c:v>40968</c:v>
              </c:pt>
              <c:pt idx="1457">
                <c:v>40969</c:v>
              </c:pt>
              <c:pt idx="1458">
                <c:v>40970</c:v>
              </c:pt>
              <c:pt idx="1459">
                <c:v>40973</c:v>
              </c:pt>
              <c:pt idx="1460">
                <c:v>40974</c:v>
              </c:pt>
              <c:pt idx="1461">
                <c:v>40975</c:v>
              </c:pt>
              <c:pt idx="1462">
                <c:v>40976</c:v>
              </c:pt>
              <c:pt idx="1463">
                <c:v>40977</c:v>
              </c:pt>
              <c:pt idx="1464">
                <c:v>40980</c:v>
              </c:pt>
              <c:pt idx="1465">
                <c:v>40981</c:v>
              </c:pt>
              <c:pt idx="1466">
                <c:v>40982</c:v>
              </c:pt>
              <c:pt idx="1467">
                <c:v>40983</c:v>
              </c:pt>
              <c:pt idx="1468">
                <c:v>40984</c:v>
              </c:pt>
              <c:pt idx="1469">
                <c:v>40987</c:v>
              </c:pt>
              <c:pt idx="1470">
                <c:v>40988</c:v>
              </c:pt>
              <c:pt idx="1471">
                <c:v>40989</c:v>
              </c:pt>
              <c:pt idx="1472">
                <c:v>40990</c:v>
              </c:pt>
              <c:pt idx="1473">
                <c:v>40991</c:v>
              </c:pt>
              <c:pt idx="1474">
                <c:v>40994</c:v>
              </c:pt>
              <c:pt idx="1475">
                <c:v>40995</c:v>
              </c:pt>
              <c:pt idx="1476">
                <c:v>40996</c:v>
              </c:pt>
              <c:pt idx="1477">
                <c:v>40997</c:v>
              </c:pt>
              <c:pt idx="1478">
                <c:v>40998</c:v>
              </c:pt>
              <c:pt idx="1479">
                <c:v>41001</c:v>
              </c:pt>
              <c:pt idx="1480">
                <c:v>41002</c:v>
              </c:pt>
              <c:pt idx="1481">
                <c:v>41003</c:v>
              </c:pt>
              <c:pt idx="1482">
                <c:v>41004</c:v>
              </c:pt>
              <c:pt idx="1483">
                <c:v>41009</c:v>
              </c:pt>
              <c:pt idx="1484">
                <c:v>41010</c:v>
              </c:pt>
              <c:pt idx="1485">
                <c:v>41011</c:v>
              </c:pt>
              <c:pt idx="1486">
                <c:v>41012</c:v>
              </c:pt>
              <c:pt idx="1487">
                <c:v>41015</c:v>
              </c:pt>
              <c:pt idx="1488">
                <c:v>41016</c:v>
              </c:pt>
              <c:pt idx="1489">
                <c:v>41017</c:v>
              </c:pt>
              <c:pt idx="1490">
                <c:v>41018</c:v>
              </c:pt>
              <c:pt idx="1491">
                <c:v>41019</c:v>
              </c:pt>
              <c:pt idx="1492">
                <c:v>41022</c:v>
              </c:pt>
              <c:pt idx="1493">
                <c:v>41023</c:v>
              </c:pt>
              <c:pt idx="1494">
                <c:v>41025</c:v>
              </c:pt>
              <c:pt idx="1495">
                <c:v>41026</c:v>
              </c:pt>
              <c:pt idx="1496">
                <c:v>41029</c:v>
              </c:pt>
              <c:pt idx="1497">
                <c:v>41030</c:v>
              </c:pt>
              <c:pt idx="1498">
                <c:v>41031</c:v>
              </c:pt>
              <c:pt idx="1499">
                <c:v>41032</c:v>
              </c:pt>
              <c:pt idx="1500">
                <c:v>41033</c:v>
              </c:pt>
              <c:pt idx="1501">
                <c:v>41036</c:v>
              </c:pt>
              <c:pt idx="1502">
                <c:v>41037</c:v>
              </c:pt>
              <c:pt idx="1503">
                <c:v>41038</c:v>
              </c:pt>
              <c:pt idx="1504">
                <c:v>41039</c:v>
              </c:pt>
              <c:pt idx="1505">
                <c:v>41040</c:v>
              </c:pt>
              <c:pt idx="1506">
                <c:v>41043</c:v>
              </c:pt>
              <c:pt idx="1507">
                <c:v>41044</c:v>
              </c:pt>
              <c:pt idx="1508">
                <c:v>41045</c:v>
              </c:pt>
              <c:pt idx="1509">
                <c:v>41046</c:v>
              </c:pt>
              <c:pt idx="1510">
                <c:v>41047</c:v>
              </c:pt>
              <c:pt idx="1511">
                <c:v>41050</c:v>
              </c:pt>
              <c:pt idx="1512">
                <c:v>41051</c:v>
              </c:pt>
              <c:pt idx="1513">
                <c:v>41052</c:v>
              </c:pt>
              <c:pt idx="1514">
                <c:v>41053</c:v>
              </c:pt>
              <c:pt idx="1515">
                <c:v>41054</c:v>
              </c:pt>
              <c:pt idx="1516">
                <c:v>41057</c:v>
              </c:pt>
              <c:pt idx="1517">
                <c:v>41058</c:v>
              </c:pt>
              <c:pt idx="1518">
                <c:v>41059</c:v>
              </c:pt>
              <c:pt idx="1519">
                <c:v>41060</c:v>
              </c:pt>
              <c:pt idx="1520">
                <c:v>41061</c:v>
              </c:pt>
              <c:pt idx="1521">
                <c:v>41064</c:v>
              </c:pt>
              <c:pt idx="1522">
                <c:v>41065</c:v>
              </c:pt>
              <c:pt idx="1523">
                <c:v>41066</c:v>
              </c:pt>
              <c:pt idx="1524">
                <c:v>41067</c:v>
              </c:pt>
              <c:pt idx="1525">
                <c:v>41068</c:v>
              </c:pt>
              <c:pt idx="1526">
                <c:v>41072</c:v>
              </c:pt>
              <c:pt idx="1527">
                <c:v>41073</c:v>
              </c:pt>
              <c:pt idx="1528">
                <c:v>41074</c:v>
              </c:pt>
              <c:pt idx="1529">
                <c:v>41075</c:v>
              </c:pt>
              <c:pt idx="1530">
                <c:v>41078</c:v>
              </c:pt>
              <c:pt idx="1531">
                <c:v>41079</c:v>
              </c:pt>
              <c:pt idx="1532">
                <c:v>41080</c:v>
              </c:pt>
              <c:pt idx="1533">
                <c:v>41081</c:v>
              </c:pt>
              <c:pt idx="1534">
                <c:v>41082</c:v>
              </c:pt>
              <c:pt idx="1535">
                <c:v>41085</c:v>
              </c:pt>
              <c:pt idx="1536">
                <c:v>41086</c:v>
              </c:pt>
              <c:pt idx="1537">
                <c:v>41087</c:v>
              </c:pt>
              <c:pt idx="1538">
                <c:v>41088</c:v>
              </c:pt>
              <c:pt idx="1539">
                <c:v>41089</c:v>
              </c:pt>
              <c:pt idx="1540">
                <c:v>41092</c:v>
              </c:pt>
              <c:pt idx="1541">
                <c:v>41093</c:v>
              </c:pt>
              <c:pt idx="1542">
                <c:v>41094</c:v>
              </c:pt>
              <c:pt idx="1543">
                <c:v>41095</c:v>
              </c:pt>
              <c:pt idx="1544">
                <c:v>41096</c:v>
              </c:pt>
              <c:pt idx="1545">
                <c:v>41099</c:v>
              </c:pt>
              <c:pt idx="1546">
                <c:v>41100</c:v>
              </c:pt>
              <c:pt idx="1547">
                <c:v>41101</c:v>
              </c:pt>
              <c:pt idx="1548">
                <c:v>41102</c:v>
              </c:pt>
              <c:pt idx="1549">
                <c:v>41103</c:v>
              </c:pt>
              <c:pt idx="1550">
                <c:v>41106</c:v>
              </c:pt>
              <c:pt idx="1551">
                <c:v>41107</c:v>
              </c:pt>
              <c:pt idx="1552">
                <c:v>41108</c:v>
              </c:pt>
              <c:pt idx="1553">
                <c:v>41109</c:v>
              </c:pt>
              <c:pt idx="1554">
                <c:v>41110</c:v>
              </c:pt>
              <c:pt idx="1555">
                <c:v>41113</c:v>
              </c:pt>
              <c:pt idx="1556">
                <c:v>41114</c:v>
              </c:pt>
              <c:pt idx="1557">
                <c:v>41115</c:v>
              </c:pt>
              <c:pt idx="1558">
                <c:v>41116</c:v>
              </c:pt>
              <c:pt idx="1559">
                <c:v>41117</c:v>
              </c:pt>
              <c:pt idx="1560">
                <c:v>41120</c:v>
              </c:pt>
              <c:pt idx="1561">
                <c:v>41121</c:v>
              </c:pt>
              <c:pt idx="1562">
                <c:v>41122</c:v>
              </c:pt>
              <c:pt idx="1563">
                <c:v>41123</c:v>
              </c:pt>
              <c:pt idx="1564">
                <c:v>41124</c:v>
              </c:pt>
              <c:pt idx="1565">
                <c:v>41127</c:v>
              </c:pt>
              <c:pt idx="1566">
                <c:v>41128</c:v>
              </c:pt>
              <c:pt idx="1567">
                <c:v>41129</c:v>
              </c:pt>
              <c:pt idx="1568">
                <c:v>41130</c:v>
              </c:pt>
              <c:pt idx="1569">
                <c:v>41131</c:v>
              </c:pt>
              <c:pt idx="1570">
                <c:v>41134</c:v>
              </c:pt>
              <c:pt idx="1571">
                <c:v>41135</c:v>
              </c:pt>
              <c:pt idx="1572">
                <c:v>41136</c:v>
              </c:pt>
              <c:pt idx="1573">
                <c:v>41137</c:v>
              </c:pt>
              <c:pt idx="1574">
                <c:v>41138</c:v>
              </c:pt>
              <c:pt idx="1575">
                <c:v>41141</c:v>
              </c:pt>
              <c:pt idx="1576">
                <c:v>41142</c:v>
              </c:pt>
              <c:pt idx="1577">
                <c:v>41143</c:v>
              </c:pt>
              <c:pt idx="1578">
                <c:v>41144</c:v>
              </c:pt>
              <c:pt idx="1579">
                <c:v>41145</c:v>
              </c:pt>
              <c:pt idx="1580">
                <c:v>41148</c:v>
              </c:pt>
              <c:pt idx="1581">
                <c:v>41149</c:v>
              </c:pt>
              <c:pt idx="1582">
                <c:v>41150</c:v>
              </c:pt>
              <c:pt idx="1583">
                <c:v>41151</c:v>
              </c:pt>
              <c:pt idx="1584">
                <c:v>41152</c:v>
              </c:pt>
              <c:pt idx="1585">
                <c:v>41155</c:v>
              </c:pt>
              <c:pt idx="1586">
                <c:v>41156</c:v>
              </c:pt>
              <c:pt idx="1587">
                <c:v>41157</c:v>
              </c:pt>
              <c:pt idx="1588">
                <c:v>41158</c:v>
              </c:pt>
              <c:pt idx="1589">
                <c:v>41159</c:v>
              </c:pt>
              <c:pt idx="1590">
                <c:v>41162</c:v>
              </c:pt>
              <c:pt idx="1591">
                <c:v>41163</c:v>
              </c:pt>
              <c:pt idx="1592">
                <c:v>41164</c:v>
              </c:pt>
              <c:pt idx="1593">
                <c:v>41165</c:v>
              </c:pt>
              <c:pt idx="1594">
                <c:v>41166</c:v>
              </c:pt>
              <c:pt idx="1595">
                <c:v>41169</c:v>
              </c:pt>
              <c:pt idx="1596">
                <c:v>41170</c:v>
              </c:pt>
              <c:pt idx="1597">
                <c:v>41171</c:v>
              </c:pt>
              <c:pt idx="1598">
                <c:v>41172</c:v>
              </c:pt>
              <c:pt idx="1599">
                <c:v>41173</c:v>
              </c:pt>
              <c:pt idx="1600">
                <c:v>41176</c:v>
              </c:pt>
              <c:pt idx="1601">
                <c:v>41177</c:v>
              </c:pt>
              <c:pt idx="1602">
                <c:v>41178</c:v>
              </c:pt>
              <c:pt idx="1603">
                <c:v>41179</c:v>
              </c:pt>
              <c:pt idx="1604">
                <c:v>41180</c:v>
              </c:pt>
              <c:pt idx="1605">
                <c:v>41183</c:v>
              </c:pt>
              <c:pt idx="1606">
                <c:v>41184</c:v>
              </c:pt>
              <c:pt idx="1607">
                <c:v>41185</c:v>
              </c:pt>
              <c:pt idx="1608">
                <c:v>41186</c:v>
              </c:pt>
              <c:pt idx="1609">
                <c:v>41187</c:v>
              </c:pt>
              <c:pt idx="1610">
                <c:v>41190</c:v>
              </c:pt>
              <c:pt idx="1611">
                <c:v>41191</c:v>
              </c:pt>
              <c:pt idx="1612">
                <c:v>41192</c:v>
              </c:pt>
              <c:pt idx="1613">
                <c:v>41193</c:v>
              </c:pt>
              <c:pt idx="1614">
                <c:v>41194</c:v>
              </c:pt>
              <c:pt idx="1615">
                <c:v>41197</c:v>
              </c:pt>
              <c:pt idx="1616">
                <c:v>41198</c:v>
              </c:pt>
              <c:pt idx="1617">
                <c:v>41199</c:v>
              </c:pt>
              <c:pt idx="1618">
                <c:v>41200</c:v>
              </c:pt>
              <c:pt idx="1619">
                <c:v>41201</c:v>
              </c:pt>
              <c:pt idx="1620">
                <c:v>41204</c:v>
              </c:pt>
              <c:pt idx="1621">
                <c:v>41205</c:v>
              </c:pt>
              <c:pt idx="1622">
                <c:v>41206</c:v>
              </c:pt>
              <c:pt idx="1623">
                <c:v>41207</c:v>
              </c:pt>
              <c:pt idx="1624">
                <c:v>41208</c:v>
              </c:pt>
              <c:pt idx="1625">
                <c:v>41211</c:v>
              </c:pt>
              <c:pt idx="1626">
                <c:v>41212</c:v>
              </c:pt>
              <c:pt idx="1627">
                <c:v>41213</c:v>
              </c:pt>
              <c:pt idx="1628">
                <c:v>41214</c:v>
              </c:pt>
              <c:pt idx="1629">
                <c:v>41215</c:v>
              </c:pt>
              <c:pt idx="1630">
                <c:v>41218</c:v>
              </c:pt>
              <c:pt idx="1631">
                <c:v>41219</c:v>
              </c:pt>
              <c:pt idx="1632">
                <c:v>41220</c:v>
              </c:pt>
              <c:pt idx="1633">
                <c:v>41221</c:v>
              </c:pt>
              <c:pt idx="1634">
                <c:v>41222</c:v>
              </c:pt>
              <c:pt idx="1635">
                <c:v>41225</c:v>
              </c:pt>
              <c:pt idx="1636">
                <c:v>41226</c:v>
              </c:pt>
              <c:pt idx="1637">
                <c:v>41227</c:v>
              </c:pt>
              <c:pt idx="1638">
                <c:v>41228</c:v>
              </c:pt>
              <c:pt idx="1639">
                <c:v>41229</c:v>
              </c:pt>
              <c:pt idx="1640">
                <c:v>41232</c:v>
              </c:pt>
              <c:pt idx="1641">
                <c:v>41233</c:v>
              </c:pt>
              <c:pt idx="1642">
                <c:v>41234</c:v>
              </c:pt>
              <c:pt idx="1643">
                <c:v>41235</c:v>
              </c:pt>
              <c:pt idx="1644">
                <c:v>41236</c:v>
              </c:pt>
              <c:pt idx="1645">
                <c:v>41239</c:v>
              </c:pt>
              <c:pt idx="1646">
                <c:v>41240</c:v>
              </c:pt>
              <c:pt idx="1647">
                <c:v>41241</c:v>
              </c:pt>
              <c:pt idx="1648">
                <c:v>41242</c:v>
              </c:pt>
              <c:pt idx="1649">
                <c:v>41243</c:v>
              </c:pt>
              <c:pt idx="1650">
                <c:v>41246</c:v>
              </c:pt>
              <c:pt idx="1651">
                <c:v>41247</c:v>
              </c:pt>
              <c:pt idx="1652">
                <c:v>41248</c:v>
              </c:pt>
              <c:pt idx="1653">
                <c:v>41249</c:v>
              </c:pt>
              <c:pt idx="1654">
                <c:v>41250</c:v>
              </c:pt>
              <c:pt idx="1655">
                <c:v>41253</c:v>
              </c:pt>
              <c:pt idx="1656">
                <c:v>41254</c:v>
              </c:pt>
              <c:pt idx="1657">
                <c:v>41255</c:v>
              </c:pt>
              <c:pt idx="1658">
                <c:v>41256</c:v>
              </c:pt>
              <c:pt idx="1659">
                <c:v>41257</c:v>
              </c:pt>
              <c:pt idx="1660">
                <c:v>41260</c:v>
              </c:pt>
              <c:pt idx="1661">
                <c:v>41261</c:v>
              </c:pt>
              <c:pt idx="1662">
                <c:v>41262</c:v>
              </c:pt>
              <c:pt idx="1663">
                <c:v>41263</c:v>
              </c:pt>
              <c:pt idx="1664">
                <c:v>41264</c:v>
              </c:pt>
              <c:pt idx="1665">
                <c:v>41267</c:v>
              </c:pt>
              <c:pt idx="1666">
                <c:v>41270</c:v>
              </c:pt>
              <c:pt idx="1667">
                <c:v>41271</c:v>
              </c:pt>
              <c:pt idx="1668">
                <c:v>41274</c:v>
              </c:pt>
              <c:pt idx="1669">
                <c:v>41276</c:v>
              </c:pt>
              <c:pt idx="1670">
                <c:v>41277</c:v>
              </c:pt>
              <c:pt idx="1671">
                <c:v>41278</c:v>
              </c:pt>
              <c:pt idx="1672">
                <c:v>41281</c:v>
              </c:pt>
              <c:pt idx="1673">
                <c:v>41282</c:v>
              </c:pt>
              <c:pt idx="1674">
                <c:v>41283</c:v>
              </c:pt>
              <c:pt idx="1675">
                <c:v>41284</c:v>
              </c:pt>
              <c:pt idx="1676">
                <c:v>41285</c:v>
              </c:pt>
              <c:pt idx="1677">
                <c:v>41288</c:v>
              </c:pt>
              <c:pt idx="1678">
                <c:v>41289</c:v>
              </c:pt>
              <c:pt idx="1679">
                <c:v>41290</c:v>
              </c:pt>
              <c:pt idx="1680">
                <c:v>41291</c:v>
              </c:pt>
              <c:pt idx="1681">
                <c:v>41292</c:v>
              </c:pt>
              <c:pt idx="1682">
                <c:v>41295</c:v>
              </c:pt>
              <c:pt idx="1683">
                <c:v>41296</c:v>
              </c:pt>
              <c:pt idx="1684">
                <c:v>41297</c:v>
              </c:pt>
              <c:pt idx="1685">
                <c:v>41298</c:v>
              </c:pt>
              <c:pt idx="1686">
                <c:v>41299</c:v>
              </c:pt>
              <c:pt idx="1687">
                <c:v>41303</c:v>
              </c:pt>
              <c:pt idx="1688">
                <c:v>41304</c:v>
              </c:pt>
              <c:pt idx="1689">
                <c:v>41305</c:v>
              </c:pt>
              <c:pt idx="1690">
                <c:v>41306</c:v>
              </c:pt>
              <c:pt idx="1691">
                <c:v>41309</c:v>
              </c:pt>
              <c:pt idx="1692">
                <c:v>41310</c:v>
              </c:pt>
              <c:pt idx="1693">
                <c:v>41311</c:v>
              </c:pt>
              <c:pt idx="1694">
                <c:v>41312</c:v>
              </c:pt>
              <c:pt idx="1695">
                <c:v>41313</c:v>
              </c:pt>
              <c:pt idx="1696">
                <c:v>41316</c:v>
              </c:pt>
              <c:pt idx="1697">
                <c:v>41317</c:v>
              </c:pt>
              <c:pt idx="1698">
                <c:v>41318</c:v>
              </c:pt>
              <c:pt idx="1699">
                <c:v>41319</c:v>
              </c:pt>
              <c:pt idx="1700">
                <c:v>41320</c:v>
              </c:pt>
              <c:pt idx="1701">
                <c:v>41323</c:v>
              </c:pt>
              <c:pt idx="1702">
                <c:v>41324</c:v>
              </c:pt>
              <c:pt idx="1703">
                <c:v>41325</c:v>
              </c:pt>
              <c:pt idx="1704">
                <c:v>41326</c:v>
              </c:pt>
              <c:pt idx="1705">
                <c:v>41327</c:v>
              </c:pt>
              <c:pt idx="1706">
                <c:v>41330</c:v>
              </c:pt>
              <c:pt idx="1707">
                <c:v>41331</c:v>
              </c:pt>
              <c:pt idx="1708">
                <c:v>41332</c:v>
              </c:pt>
              <c:pt idx="1709">
                <c:v>41333</c:v>
              </c:pt>
              <c:pt idx="1710">
                <c:v>41334</c:v>
              </c:pt>
              <c:pt idx="1711">
                <c:v>41337</c:v>
              </c:pt>
              <c:pt idx="1712">
                <c:v>41338</c:v>
              </c:pt>
              <c:pt idx="1713">
                <c:v>41339</c:v>
              </c:pt>
              <c:pt idx="1714">
                <c:v>41340</c:v>
              </c:pt>
              <c:pt idx="1715">
                <c:v>41341</c:v>
              </c:pt>
              <c:pt idx="1716">
                <c:v>41344</c:v>
              </c:pt>
              <c:pt idx="1717">
                <c:v>41345</c:v>
              </c:pt>
              <c:pt idx="1718">
                <c:v>41346</c:v>
              </c:pt>
              <c:pt idx="1719">
                <c:v>41347</c:v>
              </c:pt>
              <c:pt idx="1720">
                <c:v>41348</c:v>
              </c:pt>
              <c:pt idx="1721">
                <c:v>41351</c:v>
              </c:pt>
              <c:pt idx="1722">
                <c:v>41352</c:v>
              </c:pt>
              <c:pt idx="1723">
                <c:v>41353</c:v>
              </c:pt>
              <c:pt idx="1724">
                <c:v>41354</c:v>
              </c:pt>
              <c:pt idx="1725">
                <c:v>41355</c:v>
              </c:pt>
              <c:pt idx="1726">
                <c:v>41358</c:v>
              </c:pt>
              <c:pt idx="1727">
                <c:v>41359</c:v>
              </c:pt>
              <c:pt idx="1728">
                <c:v>41360</c:v>
              </c:pt>
              <c:pt idx="1729">
                <c:v>41361</c:v>
              </c:pt>
              <c:pt idx="1730">
                <c:v>41366</c:v>
              </c:pt>
              <c:pt idx="1731">
                <c:v>41367</c:v>
              </c:pt>
              <c:pt idx="1732">
                <c:v>41368</c:v>
              </c:pt>
              <c:pt idx="1733">
                <c:v>41369</c:v>
              </c:pt>
              <c:pt idx="1734">
                <c:v>41372</c:v>
              </c:pt>
              <c:pt idx="1735">
                <c:v>41373</c:v>
              </c:pt>
              <c:pt idx="1736">
                <c:v>41374</c:v>
              </c:pt>
              <c:pt idx="1737">
                <c:v>41375</c:v>
              </c:pt>
              <c:pt idx="1738">
                <c:v>41376</c:v>
              </c:pt>
              <c:pt idx="1739">
                <c:v>41379</c:v>
              </c:pt>
              <c:pt idx="1740">
                <c:v>41380</c:v>
              </c:pt>
              <c:pt idx="1741">
                <c:v>41381</c:v>
              </c:pt>
              <c:pt idx="1742">
                <c:v>41382</c:v>
              </c:pt>
              <c:pt idx="1743">
                <c:v>41383</c:v>
              </c:pt>
              <c:pt idx="1744">
                <c:v>41386</c:v>
              </c:pt>
              <c:pt idx="1745">
                <c:v>41387</c:v>
              </c:pt>
              <c:pt idx="1746">
                <c:v>41388</c:v>
              </c:pt>
              <c:pt idx="1747">
                <c:v>41390</c:v>
              </c:pt>
              <c:pt idx="1748">
                <c:v>41393</c:v>
              </c:pt>
              <c:pt idx="1749">
                <c:v>41394</c:v>
              </c:pt>
              <c:pt idx="1750">
                <c:v>41395</c:v>
              </c:pt>
              <c:pt idx="1751">
                <c:v>41396</c:v>
              </c:pt>
              <c:pt idx="1752">
                <c:v>41397</c:v>
              </c:pt>
              <c:pt idx="1753">
                <c:v>41400</c:v>
              </c:pt>
              <c:pt idx="1754">
                <c:v>41401</c:v>
              </c:pt>
              <c:pt idx="1755">
                <c:v>41402</c:v>
              </c:pt>
              <c:pt idx="1756">
                <c:v>41403</c:v>
              </c:pt>
              <c:pt idx="1757">
                <c:v>41404</c:v>
              </c:pt>
              <c:pt idx="1758">
                <c:v>41407</c:v>
              </c:pt>
              <c:pt idx="1759">
                <c:v>41408</c:v>
              </c:pt>
              <c:pt idx="1760">
                <c:v>41409</c:v>
              </c:pt>
              <c:pt idx="1761">
                <c:v>41410</c:v>
              </c:pt>
              <c:pt idx="1762">
                <c:v>41411</c:v>
              </c:pt>
              <c:pt idx="1763">
                <c:v>41414</c:v>
              </c:pt>
              <c:pt idx="1764">
                <c:v>41415</c:v>
              </c:pt>
              <c:pt idx="1765">
                <c:v>41416</c:v>
              </c:pt>
              <c:pt idx="1766">
                <c:v>41417</c:v>
              </c:pt>
              <c:pt idx="1767">
                <c:v>41418</c:v>
              </c:pt>
              <c:pt idx="1768">
                <c:v>41421</c:v>
              </c:pt>
              <c:pt idx="1769">
                <c:v>41422</c:v>
              </c:pt>
              <c:pt idx="1770">
                <c:v>41423</c:v>
              </c:pt>
              <c:pt idx="1771">
                <c:v>41424</c:v>
              </c:pt>
              <c:pt idx="1772">
                <c:v>41425</c:v>
              </c:pt>
              <c:pt idx="1773">
                <c:v>41428</c:v>
              </c:pt>
              <c:pt idx="1774">
                <c:v>41429</c:v>
              </c:pt>
              <c:pt idx="1775">
                <c:v>41430</c:v>
              </c:pt>
              <c:pt idx="1776">
                <c:v>41431</c:v>
              </c:pt>
              <c:pt idx="1777">
                <c:v>41432</c:v>
              </c:pt>
              <c:pt idx="1778">
                <c:v>41436</c:v>
              </c:pt>
              <c:pt idx="1779">
                <c:v>41437</c:v>
              </c:pt>
              <c:pt idx="1780">
                <c:v>41438</c:v>
              </c:pt>
              <c:pt idx="1781">
                <c:v>41439</c:v>
              </c:pt>
              <c:pt idx="1782">
                <c:v>41442</c:v>
              </c:pt>
              <c:pt idx="1783">
                <c:v>41443</c:v>
              </c:pt>
              <c:pt idx="1784">
                <c:v>41444</c:v>
              </c:pt>
              <c:pt idx="1785">
                <c:v>41445</c:v>
              </c:pt>
              <c:pt idx="1786">
                <c:v>41446</c:v>
              </c:pt>
              <c:pt idx="1787">
                <c:v>41449</c:v>
              </c:pt>
              <c:pt idx="1788">
                <c:v>41450</c:v>
              </c:pt>
              <c:pt idx="1789">
                <c:v>41451</c:v>
              </c:pt>
              <c:pt idx="1790">
                <c:v>41452</c:v>
              </c:pt>
              <c:pt idx="1791">
                <c:v>41453</c:v>
              </c:pt>
              <c:pt idx="1792">
                <c:v>41456</c:v>
              </c:pt>
              <c:pt idx="1793">
                <c:v>41457</c:v>
              </c:pt>
              <c:pt idx="1794">
                <c:v>41458</c:v>
              </c:pt>
              <c:pt idx="1795">
                <c:v>41459</c:v>
              </c:pt>
              <c:pt idx="1796">
                <c:v>41460</c:v>
              </c:pt>
              <c:pt idx="1797">
                <c:v>41463</c:v>
              </c:pt>
              <c:pt idx="1798">
                <c:v>41464</c:v>
              </c:pt>
              <c:pt idx="1799">
                <c:v>41465</c:v>
              </c:pt>
              <c:pt idx="1800">
                <c:v>41466</c:v>
              </c:pt>
              <c:pt idx="1801">
                <c:v>41467</c:v>
              </c:pt>
              <c:pt idx="1802">
                <c:v>41470</c:v>
              </c:pt>
              <c:pt idx="1803">
                <c:v>41471</c:v>
              </c:pt>
              <c:pt idx="1804">
                <c:v>41472</c:v>
              </c:pt>
              <c:pt idx="1805">
                <c:v>41473</c:v>
              </c:pt>
              <c:pt idx="1806">
                <c:v>41474</c:v>
              </c:pt>
              <c:pt idx="1807">
                <c:v>41477</c:v>
              </c:pt>
              <c:pt idx="1808">
                <c:v>41478</c:v>
              </c:pt>
              <c:pt idx="1809">
                <c:v>41479</c:v>
              </c:pt>
              <c:pt idx="1810">
                <c:v>41480</c:v>
              </c:pt>
              <c:pt idx="1811">
                <c:v>41481</c:v>
              </c:pt>
              <c:pt idx="1812">
                <c:v>41484</c:v>
              </c:pt>
              <c:pt idx="1813">
                <c:v>41485</c:v>
              </c:pt>
              <c:pt idx="1814">
                <c:v>41486</c:v>
              </c:pt>
              <c:pt idx="1815">
                <c:v>41487</c:v>
              </c:pt>
              <c:pt idx="1816">
                <c:v>41488</c:v>
              </c:pt>
              <c:pt idx="1817">
                <c:v>41492</c:v>
              </c:pt>
              <c:pt idx="1818">
                <c:v>41493</c:v>
              </c:pt>
              <c:pt idx="1819">
                <c:v>41494</c:v>
              </c:pt>
              <c:pt idx="1820">
                <c:v>41495</c:v>
              </c:pt>
              <c:pt idx="1821">
                <c:v>41498</c:v>
              </c:pt>
              <c:pt idx="1822">
                <c:v>41499</c:v>
              </c:pt>
              <c:pt idx="1823">
                <c:v>41500</c:v>
              </c:pt>
              <c:pt idx="1824">
                <c:v>41501</c:v>
              </c:pt>
              <c:pt idx="1825">
                <c:v>41502</c:v>
              </c:pt>
              <c:pt idx="1826">
                <c:v>41505</c:v>
              </c:pt>
              <c:pt idx="1827">
                <c:v>41506</c:v>
              </c:pt>
              <c:pt idx="1828">
                <c:v>41507</c:v>
              </c:pt>
              <c:pt idx="1829">
                <c:v>41508</c:v>
              </c:pt>
              <c:pt idx="1830">
                <c:v>41509</c:v>
              </c:pt>
              <c:pt idx="1831">
                <c:v>41512</c:v>
              </c:pt>
              <c:pt idx="1832">
                <c:v>41513</c:v>
              </c:pt>
              <c:pt idx="1833">
                <c:v>41514</c:v>
              </c:pt>
              <c:pt idx="1834">
                <c:v>41515</c:v>
              </c:pt>
              <c:pt idx="1835">
                <c:v>41516</c:v>
              </c:pt>
              <c:pt idx="1836">
                <c:v>41519</c:v>
              </c:pt>
              <c:pt idx="1837">
                <c:v>41520</c:v>
              </c:pt>
              <c:pt idx="1838">
                <c:v>41521</c:v>
              </c:pt>
              <c:pt idx="1839">
                <c:v>41522</c:v>
              </c:pt>
              <c:pt idx="1840">
                <c:v>41523</c:v>
              </c:pt>
              <c:pt idx="1841">
                <c:v>41526</c:v>
              </c:pt>
              <c:pt idx="1842">
                <c:v>41527</c:v>
              </c:pt>
              <c:pt idx="1843">
                <c:v>41528</c:v>
              </c:pt>
              <c:pt idx="1844">
                <c:v>41529</c:v>
              </c:pt>
              <c:pt idx="1845">
                <c:v>41530</c:v>
              </c:pt>
              <c:pt idx="1846">
                <c:v>41533</c:v>
              </c:pt>
              <c:pt idx="1847">
                <c:v>41534</c:v>
              </c:pt>
              <c:pt idx="1848">
                <c:v>41535</c:v>
              </c:pt>
              <c:pt idx="1849">
                <c:v>41536</c:v>
              </c:pt>
              <c:pt idx="1850">
                <c:v>41537</c:v>
              </c:pt>
              <c:pt idx="1851">
                <c:v>41540</c:v>
              </c:pt>
              <c:pt idx="1852">
                <c:v>41541</c:v>
              </c:pt>
              <c:pt idx="1853">
                <c:v>41542</c:v>
              </c:pt>
              <c:pt idx="1854">
                <c:v>41543</c:v>
              </c:pt>
              <c:pt idx="1855">
                <c:v>41544</c:v>
              </c:pt>
              <c:pt idx="1856">
                <c:v>41547</c:v>
              </c:pt>
              <c:pt idx="1857">
                <c:v>41548</c:v>
              </c:pt>
              <c:pt idx="1858">
                <c:v>41549</c:v>
              </c:pt>
              <c:pt idx="1859">
                <c:v>41550</c:v>
              </c:pt>
              <c:pt idx="1860">
                <c:v>41551</c:v>
              </c:pt>
              <c:pt idx="1861">
                <c:v>41555</c:v>
              </c:pt>
              <c:pt idx="1862">
                <c:v>41556</c:v>
              </c:pt>
              <c:pt idx="1863">
                <c:v>41557</c:v>
              </c:pt>
              <c:pt idx="1864">
                <c:v>41558</c:v>
              </c:pt>
              <c:pt idx="1865">
                <c:v>41561</c:v>
              </c:pt>
              <c:pt idx="1866">
                <c:v>41562</c:v>
              </c:pt>
              <c:pt idx="1867">
                <c:v>41563</c:v>
              </c:pt>
              <c:pt idx="1868">
                <c:v>41564</c:v>
              </c:pt>
              <c:pt idx="1869">
                <c:v>41565</c:v>
              </c:pt>
              <c:pt idx="1870">
                <c:v>41568</c:v>
              </c:pt>
              <c:pt idx="1871">
                <c:v>41569</c:v>
              </c:pt>
              <c:pt idx="1872">
                <c:v>41570</c:v>
              </c:pt>
              <c:pt idx="1873">
                <c:v>41571</c:v>
              </c:pt>
              <c:pt idx="1874">
                <c:v>41572</c:v>
              </c:pt>
              <c:pt idx="1875">
                <c:v>41575</c:v>
              </c:pt>
              <c:pt idx="1876">
                <c:v>41576</c:v>
              </c:pt>
              <c:pt idx="1877">
                <c:v>41577</c:v>
              </c:pt>
              <c:pt idx="1878">
                <c:v>41578</c:v>
              </c:pt>
              <c:pt idx="1879">
                <c:v>41579</c:v>
              </c:pt>
              <c:pt idx="1880">
                <c:v>41582</c:v>
              </c:pt>
              <c:pt idx="1881">
                <c:v>41583</c:v>
              </c:pt>
              <c:pt idx="1882">
                <c:v>41584</c:v>
              </c:pt>
              <c:pt idx="1883">
                <c:v>41585</c:v>
              </c:pt>
              <c:pt idx="1884">
                <c:v>41586</c:v>
              </c:pt>
              <c:pt idx="1885">
                <c:v>41589</c:v>
              </c:pt>
              <c:pt idx="1886">
                <c:v>41590</c:v>
              </c:pt>
              <c:pt idx="1887">
                <c:v>41591</c:v>
              </c:pt>
              <c:pt idx="1888">
                <c:v>41592</c:v>
              </c:pt>
              <c:pt idx="1889">
                <c:v>41593</c:v>
              </c:pt>
              <c:pt idx="1890">
                <c:v>41596</c:v>
              </c:pt>
              <c:pt idx="1891">
                <c:v>41597</c:v>
              </c:pt>
              <c:pt idx="1892">
                <c:v>41598</c:v>
              </c:pt>
              <c:pt idx="1893">
                <c:v>41599</c:v>
              </c:pt>
              <c:pt idx="1894">
                <c:v>41600</c:v>
              </c:pt>
              <c:pt idx="1895">
                <c:v>41603</c:v>
              </c:pt>
              <c:pt idx="1896">
                <c:v>41604</c:v>
              </c:pt>
              <c:pt idx="1897">
                <c:v>41605</c:v>
              </c:pt>
              <c:pt idx="1898">
                <c:v>41606</c:v>
              </c:pt>
              <c:pt idx="1899">
                <c:v>41607</c:v>
              </c:pt>
              <c:pt idx="1900">
                <c:v>41610</c:v>
              </c:pt>
              <c:pt idx="1901">
                <c:v>41611</c:v>
              </c:pt>
              <c:pt idx="1902">
                <c:v>41612</c:v>
              </c:pt>
              <c:pt idx="1903">
                <c:v>41613</c:v>
              </c:pt>
              <c:pt idx="1904">
                <c:v>41614</c:v>
              </c:pt>
              <c:pt idx="1905">
                <c:v>41617</c:v>
              </c:pt>
              <c:pt idx="1906">
                <c:v>41618</c:v>
              </c:pt>
              <c:pt idx="1907">
                <c:v>41619</c:v>
              </c:pt>
              <c:pt idx="1908">
                <c:v>41620</c:v>
              </c:pt>
              <c:pt idx="1909">
                <c:v>41621</c:v>
              </c:pt>
              <c:pt idx="1910">
                <c:v>41624</c:v>
              </c:pt>
              <c:pt idx="1911">
                <c:v>41625</c:v>
              </c:pt>
              <c:pt idx="1912">
                <c:v>41626</c:v>
              </c:pt>
              <c:pt idx="1913">
                <c:v>41627</c:v>
              </c:pt>
              <c:pt idx="1914">
                <c:v>41628</c:v>
              </c:pt>
              <c:pt idx="1915">
                <c:v>41631</c:v>
              </c:pt>
              <c:pt idx="1916">
                <c:v>41632</c:v>
              </c:pt>
              <c:pt idx="1917">
                <c:v>41635</c:v>
              </c:pt>
              <c:pt idx="1918">
                <c:v>41638</c:v>
              </c:pt>
              <c:pt idx="1919">
                <c:v>41639</c:v>
              </c:pt>
              <c:pt idx="1920">
                <c:v>41641</c:v>
              </c:pt>
              <c:pt idx="1921">
                <c:v>41642</c:v>
              </c:pt>
              <c:pt idx="1922">
                <c:v>41645</c:v>
              </c:pt>
              <c:pt idx="1923">
                <c:v>41646</c:v>
              </c:pt>
              <c:pt idx="1924">
                <c:v>41647</c:v>
              </c:pt>
              <c:pt idx="1925">
                <c:v>41648</c:v>
              </c:pt>
              <c:pt idx="1926">
                <c:v>41649</c:v>
              </c:pt>
              <c:pt idx="1927">
                <c:v>41652</c:v>
              </c:pt>
              <c:pt idx="1928">
                <c:v>41653</c:v>
              </c:pt>
              <c:pt idx="1929">
                <c:v>41654</c:v>
              </c:pt>
              <c:pt idx="1930">
                <c:v>41655</c:v>
              </c:pt>
              <c:pt idx="1931">
                <c:v>41656</c:v>
              </c:pt>
              <c:pt idx="1932">
                <c:v>41659</c:v>
              </c:pt>
              <c:pt idx="1933">
                <c:v>41660</c:v>
              </c:pt>
              <c:pt idx="1934">
                <c:v>41661</c:v>
              </c:pt>
              <c:pt idx="1935">
                <c:v>41662</c:v>
              </c:pt>
              <c:pt idx="1936">
                <c:v>41663</c:v>
              </c:pt>
              <c:pt idx="1937">
                <c:v>41667</c:v>
              </c:pt>
              <c:pt idx="1938">
                <c:v>41668</c:v>
              </c:pt>
              <c:pt idx="1939">
                <c:v>41669</c:v>
              </c:pt>
              <c:pt idx="1940">
                <c:v>41670</c:v>
              </c:pt>
              <c:pt idx="1941">
                <c:v>41673</c:v>
              </c:pt>
              <c:pt idx="1942">
                <c:v>41674</c:v>
              </c:pt>
              <c:pt idx="1943">
                <c:v>41675</c:v>
              </c:pt>
              <c:pt idx="1944">
                <c:v>41676</c:v>
              </c:pt>
              <c:pt idx="1945">
                <c:v>41677</c:v>
              </c:pt>
              <c:pt idx="1946">
                <c:v>41680</c:v>
              </c:pt>
              <c:pt idx="1947">
                <c:v>41681</c:v>
              </c:pt>
              <c:pt idx="1948">
                <c:v>41682</c:v>
              </c:pt>
              <c:pt idx="1949">
                <c:v>41683</c:v>
              </c:pt>
              <c:pt idx="1950">
                <c:v>41684</c:v>
              </c:pt>
              <c:pt idx="1951">
                <c:v>41687</c:v>
              </c:pt>
              <c:pt idx="1952">
                <c:v>41688</c:v>
              </c:pt>
              <c:pt idx="1953">
                <c:v>41689</c:v>
              </c:pt>
              <c:pt idx="1954">
                <c:v>41690</c:v>
              </c:pt>
              <c:pt idx="1955">
                <c:v>41691</c:v>
              </c:pt>
              <c:pt idx="1956">
                <c:v>41694</c:v>
              </c:pt>
              <c:pt idx="1957">
                <c:v>41695</c:v>
              </c:pt>
              <c:pt idx="1958">
                <c:v>41696</c:v>
              </c:pt>
              <c:pt idx="1959">
                <c:v>41697</c:v>
              </c:pt>
              <c:pt idx="1960">
                <c:v>41698</c:v>
              </c:pt>
              <c:pt idx="1961">
                <c:v>41701</c:v>
              </c:pt>
              <c:pt idx="1962">
                <c:v>41702</c:v>
              </c:pt>
              <c:pt idx="1963">
                <c:v>41703</c:v>
              </c:pt>
              <c:pt idx="1964">
                <c:v>41704</c:v>
              </c:pt>
              <c:pt idx="1965">
                <c:v>41705</c:v>
              </c:pt>
              <c:pt idx="1966">
                <c:v>41708</c:v>
              </c:pt>
              <c:pt idx="1967">
                <c:v>41709</c:v>
              </c:pt>
              <c:pt idx="1968">
                <c:v>41710</c:v>
              </c:pt>
              <c:pt idx="1969">
                <c:v>41711</c:v>
              </c:pt>
              <c:pt idx="1970">
                <c:v>41712</c:v>
              </c:pt>
              <c:pt idx="1971">
                <c:v>41715</c:v>
              </c:pt>
              <c:pt idx="1972">
                <c:v>41716</c:v>
              </c:pt>
              <c:pt idx="1973">
                <c:v>41717</c:v>
              </c:pt>
              <c:pt idx="1974">
                <c:v>41718</c:v>
              </c:pt>
              <c:pt idx="1975">
                <c:v>41719</c:v>
              </c:pt>
              <c:pt idx="1976">
                <c:v>41722</c:v>
              </c:pt>
              <c:pt idx="1977">
                <c:v>41723</c:v>
              </c:pt>
              <c:pt idx="1978">
                <c:v>41724</c:v>
              </c:pt>
              <c:pt idx="1979">
                <c:v>41725</c:v>
              </c:pt>
              <c:pt idx="1980">
                <c:v>41726</c:v>
              </c:pt>
              <c:pt idx="1981">
                <c:v>41729</c:v>
              </c:pt>
              <c:pt idx="1982">
                <c:v>41730</c:v>
              </c:pt>
              <c:pt idx="1983">
                <c:v>41731</c:v>
              </c:pt>
              <c:pt idx="1984">
                <c:v>41732</c:v>
              </c:pt>
              <c:pt idx="1985">
                <c:v>41733</c:v>
              </c:pt>
              <c:pt idx="1986">
                <c:v>41736</c:v>
              </c:pt>
              <c:pt idx="1987">
                <c:v>41737</c:v>
              </c:pt>
              <c:pt idx="1988">
                <c:v>41738</c:v>
              </c:pt>
              <c:pt idx="1989">
                <c:v>41739</c:v>
              </c:pt>
              <c:pt idx="1990">
                <c:v>41740</c:v>
              </c:pt>
              <c:pt idx="1991">
                <c:v>41743</c:v>
              </c:pt>
              <c:pt idx="1992">
                <c:v>41744</c:v>
              </c:pt>
              <c:pt idx="1993">
                <c:v>41745</c:v>
              </c:pt>
              <c:pt idx="1994">
                <c:v>41746</c:v>
              </c:pt>
              <c:pt idx="1995">
                <c:v>41751</c:v>
              </c:pt>
              <c:pt idx="1996">
                <c:v>41752</c:v>
              </c:pt>
              <c:pt idx="1997">
                <c:v>41753</c:v>
              </c:pt>
              <c:pt idx="1998">
                <c:v>41757</c:v>
              </c:pt>
              <c:pt idx="1999">
                <c:v>41758</c:v>
              </c:pt>
              <c:pt idx="2000">
                <c:v>41759</c:v>
              </c:pt>
              <c:pt idx="2001">
                <c:v>41760</c:v>
              </c:pt>
              <c:pt idx="2002">
                <c:v>41761</c:v>
              </c:pt>
              <c:pt idx="2003">
                <c:v>41764</c:v>
              </c:pt>
              <c:pt idx="2004">
                <c:v>41765</c:v>
              </c:pt>
              <c:pt idx="2005">
                <c:v>41766</c:v>
              </c:pt>
              <c:pt idx="2006">
                <c:v>41767</c:v>
              </c:pt>
              <c:pt idx="2007">
                <c:v>41768</c:v>
              </c:pt>
              <c:pt idx="2008">
                <c:v>41771</c:v>
              </c:pt>
              <c:pt idx="2009">
                <c:v>41772</c:v>
              </c:pt>
              <c:pt idx="2010">
                <c:v>41773</c:v>
              </c:pt>
              <c:pt idx="2011">
                <c:v>41774</c:v>
              </c:pt>
              <c:pt idx="2012">
                <c:v>41775</c:v>
              </c:pt>
              <c:pt idx="2013">
                <c:v>41778</c:v>
              </c:pt>
              <c:pt idx="2014">
                <c:v>41779</c:v>
              </c:pt>
              <c:pt idx="2015">
                <c:v>41780</c:v>
              </c:pt>
              <c:pt idx="2016">
                <c:v>41781</c:v>
              </c:pt>
              <c:pt idx="2017">
                <c:v>41782</c:v>
              </c:pt>
              <c:pt idx="2018">
                <c:v>41785</c:v>
              </c:pt>
              <c:pt idx="2019">
                <c:v>41786</c:v>
              </c:pt>
              <c:pt idx="2020">
                <c:v>41787</c:v>
              </c:pt>
              <c:pt idx="2021">
                <c:v>41788</c:v>
              </c:pt>
              <c:pt idx="2022">
                <c:v>41789</c:v>
              </c:pt>
              <c:pt idx="2023">
                <c:v>41792</c:v>
              </c:pt>
              <c:pt idx="2024">
                <c:v>41793</c:v>
              </c:pt>
              <c:pt idx="2025">
                <c:v>41794</c:v>
              </c:pt>
              <c:pt idx="2026">
                <c:v>41795</c:v>
              </c:pt>
              <c:pt idx="2027">
                <c:v>41796</c:v>
              </c:pt>
              <c:pt idx="2028">
                <c:v>41800</c:v>
              </c:pt>
              <c:pt idx="2029">
                <c:v>41801</c:v>
              </c:pt>
              <c:pt idx="2030">
                <c:v>41802</c:v>
              </c:pt>
              <c:pt idx="2031">
                <c:v>41803</c:v>
              </c:pt>
              <c:pt idx="2032">
                <c:v>41806</c:v>
              </c:pt>
              <c:pt idx="2033">
                <c:v>41807</c:v>
              </c:pt>
              <c:pt idx="2034">
                <c:v>41808</c:v>
              </c:pt>
              <c:pt idx="2035">
                <c:v>41809</c:v>
              </c:pt>
              <c:pt idx="2036">
                <c:v>41810</c:v>
              </c:pt>
              <c:pt idx="2037">
                <c:v>41813</c:v>
              </c:pt>
              <c:pt idx="2038">
                <c:v>41814</c:v>
              </c:pt>
              <c:pt idx="2039">
                <c:v>41815</c:v>
              </c:pt>
              <c:pt idx="2040">
                <c:v>41816</c:v>
              </c:pt>
              <c:pt idx="2041">
                <c:v>41817</c:v>
              </c:pt>
              <c:pt idx="2042">
                <c:v>41820</c:v>
              </c:pt>
              <c:pt idx="2043">
                <c:v>41821</c:v>
              </c:pt>
              <c:pt idx="2044">
                <c:v>41822</c:v>
              </c:pt>
              <c:pt idx="2045">
                <c:v>41823</c:v>
              </c:pt>
              <c:pt idx="2046">
                <c:v>41824</c:v>
              </c:pt>
              <c:pt idx="2047">
                <c:v>41827</c:v>
              </c:pt>
              <c:pt idx="2048">
                <c:v>41828</c:v>
              </c:pt>
              <c:pt idx="2049">
                <c:v>41829</c:v>
              </c:pt>
              <c:pt idx="2050">
                <c:v>41830</c:v>
              </c:pt>
              <c:pt idx="2051">
                <c:v>41831</c:v>
              </c:pt>
              <c:pt idx="2052">
                <c:v>41834</c:v>
              </c:pt>
              <c:pt idx="2053">
                <c:v>41835</c:v>
              </c:pt>
              <c:pt idx="2054">
                <c:v>41836</c:v>
              </c:pt>
              <c:pt idx="2055">
                <c:v>41837</c:v>
              </c:pt>
              <c:pt idx="2056">
                <c:v>41838</c:v>
              </c:pt>
              <c:pt idx="2057">
                <c:v>41841</c:v>
              </c:pt>
              <c:pt idx="2058">
                <c:v>41842</c:v>
              </c:pt>
              <c:pt idx="2059">
                <c:v>41843</c:v>
              </c:pt>
              <c:pt idx="2060">
                <c:v>41844</c:v>
              </c:pt>
              <c:pt idx="2061">
                <c:v>41845</c:v>
              </c:pt>
              <c:pt idx="2062">
                <c:v>41848</c:v>
              </c:pt>
              <c:pt idx="2063">
                <c:v>41849</c:v>
              </c:pt>
              <c:pt idx="2064">
                <c:v>41850</c:v>
              </c:pt>
              <c:pt idx="2065">
                <c:v>41851</c:v>
              </c:pt>
              <c:pt idx="2066">
                <c:v>41852</c:v>
              </c:pt>
              <c:pt idx="2067">
                <c:v>41856</c:v>
              </c:pt>
              <c:pt idx="2068">
                <c:v>41857</c:v>
              </c:pt>
              <c:pt idx="2069">
                <c:v>41858</c:v>
              </c:pt>
              <c:pt idx="2070">
                <c:v>41859</c:v>
              </c:pt>
              <c:pt idx="2071">
                <c:v>41862</c:v>
              </c:pt>
              <c:pt idx="2072">
                <c:v>41863</c:v>
              </c:pt>
              <c:pt idx="2073">
                <c:v>41864</c:v>
              </c:pt>
              <c:pt idx="2074">
                <c:v>41865</c:v>
              </c:pt>
              <c:pt idx="2075">
                <c:v>41866</c:v>
              </c:pt>
              <c:pt idx="2076">
                <c:v>41869</c:v>
              </c:pt>
              <c:pt idx="2077">
                <c:v>41870</c:v>
              </c:pt>
              <c:pt idx="2078">
                <c:v>41871</c:v>
              </c:pt>
              <c:pt idx="2079">
                <c:v>41872</c:v>
              </c:pt>
              <c:pt idx="2080">
                <c:v>41873</c:v>
              </c:pt>
              <c:pt idx="2081">
                <c:v>41876</c:v>
              </c:pt>
              <c:pt idx="2082">
                <c:v>41877</c:v>
              </c:pt>
              <c:pt idx="2083">
                <c:v>41878</c:v>
              </c:pt>
              <c:pt idx="2084">
                <c:v>41879</c:v>
              </c:pt>
              <c:pt idx="2085">
                <c:v>41880</c:v>
              </c:pt>
              <c:pt idx="2086">
                <c:v>41883</c:v>
              </c:pt>
              <c:pt idx="2087">
                <c:v>41884</c:v>
              </c:pt>
              <c:pt idx="2088">
                <c:v>41885</c:v>
              </c:pt>
              <c:pt idx="2089">
                <c:v>41886</c:v>
              </c:pt>
              <c:pt idx="2090">
                <c:v>41887</c:v>
              </c:pt>
              <c:pt idx="2091">
                <c:v>41890</c:v>
              </c:pt>
              <c:pt idx="2092">
                <c:v>41891</c:v>
              </c:pt>
              <c:pt idx="2093">
                <c:v>41892</c:v>
              </c:pt>
              <c:pt idx="2094">
                <c:v>41893</c:v>
              </c:pt>
              <c:pt idx="2095">
                <c:v>41894</c:v>
              </c:pt>
              <c:pt idx="2096">
                <c:v>41897</c:v>
              </c:pt>
              <c:pt idx="2097">
                <c:v>41898</c:v>
              </c:pt>
              <c:pt idx="2098">
                <c:v>41899</c:v>
              </c:pt>
              <c:pt idx="2099">
                <c:v>41900</c:v>
              </c:pt>
              <c:pt idx="2100">
                <c:v>41901</c:v>
              </c:pt>
              <c:pt idx="2101">
                <c:v>41904</c:v>
              </c:pt>
              <c:pt idx="2102">
                <c:v>41905</c:v>
              </c:pt>
              <c:pt idx="2103">
                <c:v>41906</c:v>
              </c:pt>
              <c:pt idx="2104">
                <c:v>41907</c:v>
              </c:pt>
              <c:pt idx="2105">
                <c:v>41908</c:v>
              </c:pt>
              <c:pt idx="2106">
                <c:v>41911</c:v>
              </c:pt>
              <c:pt idx="2107">
                <c:v>41912</c:v>
              </c:pt>
              <c:pt idx="2108">
                <c:v>41913</c:v>
              </c:pt>
              <c:pt idx="2109">
                <c:v>41914</c:v>
              </c:pt>
              <c:pt idx="2110">
                <c:v>41915</c:v>
              </c:pt>
              <c:pt idx="2111">
                <c:v>41919</c:v>
              </c:pt>
              <c:pt idx="2112">
                <c:v>41920</c:v>
              </c:pt>
              <c:pt idx="2113">
                <c:v>41921</c:v>
              </c:pt>
              <c:pt idx="2114">
                <c:v>41922</c:v>
              </c:pt>
              <c:pt idx="2115">
                <c:v>41925</c:v>
              </c:pt>
              <c:pt idx="2116">
                <c:v>41926</c:v>
              </c:pt>
              <c:pt idx="2117">
                <c:v>41927</c:v>
              </c:pt>
              <c:pt idx="2118">
                <c:v>41928</c:v>
              </c:pt>
              <c:pt idx="2119">
                <c:v>41929</c:v>
              </c:pt>
              <c:pt idx="2120">
                <c:v>41932</c:v>
              </c:pt>
              <c:pt idx="2121">
                <c:v>41933</c:v>
              </c:pt>
              <c:pt idx="2122">
                <c:v>41934</c:v>
              </c:pt>
              <c:pt idx="2123">
                <c:v>41935</c:v>
              </c:pt>
              <c:pt idx="2124">
                <c:v>41936</c:v>
              </c:pt>
              <c:pt idx="2125">
                <c:v>41939</c:v>
              </c:pt>
              <c:pt idx="2126">
                <c:v>41940</c:v>
              </c:pt>
              <c:pt idx="2127">
                <c:v>41941</c:v>
              </c:pt>
              <c:pt idx="2128">
                <c:v>41942</c:v>
              </c:pt>
              <c:pt idx="2129">
                <c:v>41943</c:v>
              </c:pt>
              <c:pt idx="2130">
                <c:v>41946</c:v>
              </c:pt>
              <c:pt idx="2131">
                <c:v>41947</c:v>
              </c:pt>
              <c:pt idx="2132">
                <c:v>41948</c:v>
              </c:pt>
              <c:pt idx="2133">
                <c:v>41949</c:v>
              </c:pt>
              <c:pt idx="2134">
                <c:v>41950</c:v>
              </c:pt>
              <c:pt idx="2135">
                <c:v>41953</c:v>
              </c:pt>
              <c:pt idx="2136">
                <c:v>41954</c:v>
              </c:pt>
              <c:pt idx="2137">
                <c:v>41955</c:v>
              </c:pt>
              <c:pt idx="2138">
                <c:v>41956</c:v>
              </c:pt>
              <c:pt idx="2139">
                <c:v>41957</c:v>
              </c:pt>
              <c:pt idx="2140">
                <c:v>41960</c:v>
              </c:pt>
              <c:pt idx="2141">
                <c:v>41961</c:v>
              </c:pt>
              <c:pt idx="2142">
                <c:v>41962</c:v>
              </c:pt>
              <c:pt idx="2143">
                <c:v>41963</c:v>
              </c:pt>
              <c:pt idx="2144">
                <c:v>41964</c:v>
              </c:pt>
              <c:pt idx="2145">
                <c:v>41967</c:v>
              </c:pt>
              <c:pt idx="2146">
                <c:v>41968</c:v>
              </c:pt>
              <c:pt idx="2147">
                <c:v>41969</c:v>
              </c:pt>
              <c:pt idx="2148">
                <c:v>41970</c:v>
              </c:pt>
              <c:pt idx="2149">
                <c:v>41971</c:v>
              </c:pt>
              <c:pt idx="2150">
                <c:v>41974</c:v>
              </c:pt>
              <c:pt idx="2151">
                <c:v>41975</c:v>
              </c:pt>
              <c:pt idx="2152">
                <c:v>41976</c:v>
              </c:pt>
              <c:pt idx="2153">
                <c:v>41977</c:v>
              </c:pt>
              <c:pt idx="2154">
                <c:v>41978</c:v>
              </c:pt>
              <c:pt idx="2155">
                <c:v>41981</c:v>
              </c:pt>
              <c:pt idx="2156">
                <c:v>41982</c:v>
              </c:pt>
              <c:pt idx="2157">
                <c:v>41983</c:v>
              </c:pt>
              <c:pt idx="2158">
                <c:v>41984</c:v>
              </c:pt>
              <c:pt idx="2159">
                <c:v>41985</c:v>
              </c:pt>
              <c:pt idx="2160">
                <c:v>41988</c:v>
              </c:pt>
              <c:pt idx="2161">
                <c:v>41989</c:v>
              </c:pt>
              <c:pt idx="2162">
                <c:v>41990</c:v>
              </c:pt>
              <c:pt idx="2163">
                <c:v>41991</c:v>
              </c:pt>
              <c:pt idx="2164">
                <c:v>41992</c:v>
              </c:pt>
              <c:pt idx="2165">
                <c:v>41995</c:v>
              </c:pt>
              <c:pt idx="2166">
                <c:v>41996</c:v>
              </c:pt>
              <c:pt idx="2167">
                <c:v>41997</c:v>
              </c:pt>
              <c:pt idx="2168">
                <c:v>42002</c:v>
              </c:pt>
              <c:pt idx="2169">
                <c:v>42003</c:v>
              </c:pt>
              <c:pt idx="2170">
                <c:v>42004</c:v>
              </c:pt>
              <c:pt idx="2171">
                <c:v>42006</c:v>
              </c:pt>
              <c:pt idx="2172">
                <c:v>42009</c:v>
              </c:pt>
              <c:pt idx="2173">
                <c:v>42010</c:v>
              </c:pt>
              <c:pt idx="2174">
                <c:v>42011</c:v>
              </c:pt>
              <c:pt idx="2175">
                <c:v>42012</c:v>
              </c:pt>
              <c:pt idx="2176">
                <c:v>42013</c:v>
              </c:pt>
              <c:pt idx="2177">
                <c:v>42016</c:v>
              </c:pt>
              <c:pt idx="2178">
                <c:v>42017</c:v>
              </c:pt>
              <c:pt idx="2179">
                <c:v>42018</c:v>
              </c:pt>
              <c:pt idx="2180">
                <c:v>42019</c:v>
              </c:pt>
              <c:pt idx="2181">
                <c:v>42020</c:v>
              </c:pt>
              <c:pt idx="2182">
                <c:v>42023</c:v>
              </c:pt>
              <c:pt idx="2183">
                <c:v>42024</c:v>
              </c:pt>
              <c:pt idx="2184">
                <c:v>42025</c:v>
              </c:pt>
              <c:pt idx="2185">
                <c:v>42026</c:v>
              </c:pt>
              <c:pt idx="2186">
                <c:v>42027</c:v>
              </c:pt>
              <c:pt idx="2187">
                <c:v>42031</c:v>
              </c:pt>
              <c:pt idx="2188">
                <c:v>42032</c:v>
              </c:pt>
              <c:pt idx="2189">
                <c:v>42033</c:v>
              </c:pt>
              <c:pt idx="2190">
                <c:v>42034</c:v>
              </c:pt>
              <c:pt idx="2191">
                <c:v>42037</c:v>
              </c:pt>
              <c:pt idx="2192">
                <c:v>42038</c:v>
              </c:pt>
              <c:pt idx="2193">
                <c:v>42039</c:v>
              </c:pt>
              <c:pt idx="2194">
                <c:v>42040</c:v>
              </c:pt>
              <c:pt idx="2195">
                <c:v>42041</c:v>
              </c:pt>
              <c:pt idx="2196">
                <c:v>42044</c:v>
              </c:pt>
              <c:pt idx="2197">
                <c:v>42045</c:v>
              </c:pt>
              <c:pt idx="2198">
                <c:v>42046</c:v>
              </c:pt>
              <c:pt idx="2199">
                <c:v>42047</c:v>
              </c:pt>
              <c:pt idx="2200">
                <c:v>42048</c:v>
              </c:pt>
              <c:pt idx="2201">
                <c:v>42051</c:v>
              </c:pt>
              <c:pt idx="2202">
                <c:v>42052</c:v>
              </c:pt>
              <c:pt idx="2203">
                <c:v>42053</c:v>
              </c:pt>
              <c:pt idx="2204">
                <c:v>42054</c:v>
              </c:pt>
              <c:pt idx="2205">
                <c:v>42055</c:v>
              </c:pt>
              <c:pt idx="2206">
                <c:v>42058</c:v>
              </c:pt>
              <c:pt idx="2207">
                <c:v>42059</c:v>
              </c:pt>
              <c:pt idx="2208">
                <c:v>42060</c:v>
              </c:pt>
              <c:pt idx="2209">
                <c:v>42061</c:v>
              </c:pt>
              <c:pt idx="2210">
                <c:v>42062</c:v>
              </c:pt>
              <c:pt idx="2211">
                <c:v>42065</c:v>
              </c:pt>
              <c:pt idx="2212">
                <c:v>42066</c:v>
              </c:pt>
              <c:pt idx="2213">
                <c:v>42067</c:v>
              </c:pt>
              <c:pt idx="2214">
                <c:v>42068</c:v>
              </c:pt>
              <c:pt idx="2215">
                <c:v>42069</c:v>
              </c:pt>
              <c:pt idx="2216">
                <c:v>42072</c:v>
              </c:pt>
              <c:pt idx="2217">
                <c:v>42073</c:v>
              </c:pt>
              <c:pt idx="2218">
                <c:v>42074</c:v>
              </c:pt>
              <c:pt idx="2219">
                <c:v>42075</c:v>
              </c:pt>
              <c:pt idx="2220">
                <c:v>42076</c:v>
              </c:pt>
              <c:pt idx="2221">
                <c:v>42079</c:v>
              </c:pt>
              <c:pt idx="2222">
                <c:v>42080</c:v>
              </c:pt>
              <c:pt idx="2223">
                <c:v>42081</c:v>
              </c:pt>
              <c:pt idx="2224">
                <c:v>42082</c:v>
              </c:pt>
              <c:pt idx="2225">
                <c:v>42083</c:v>
              </c:pt>
              <c:pt idx="2226">
                <c:v>42086</c:v>
              </c:pt>
              <c:pt idx="2227">
                <c:v>42087</c:v>
              </c:pt>
              <c:pt idx="2228">
                <c:v>42088</c:v>
              </c:pt>
              <c:pt idx="2229">
                <c:v>42089</c:v>
              </c:pt>
              <c:pt idx="2230">
                <c:v>42090</c:v>
              </c:pt>
              <c:pt idx="2231">
                <c:v>42093</c:v>
              </c:pt>
              <c:pt idx="2232">
                <c:v>42094</c:v>
              </c:pt>
              <c:pt idx="2233">
                <c:v>42095</c:v>
              </c:pt>
              <c:pt idx="2234">
                <c:v>42096</c:v>
              </c:pt>
              <c:pt idx="2235">
                <c:v>42101</c:v>
              </c:pt>
              <c:pt idx="2236">
                <c:v>42102</c:v>
              </c:pt>
              <c:pt idx="2237">
                <c:v>42103</c:v>
              </c:pt>
              <c:pt idx="2238">
                <c:v>42104</c:v>
              </c:pt>
              <c:pt idx="2239">
                <c:v>42107</c:v>
              </c:pt>
              <c:pt idx="2240">
                <c:v>42108</c:v>
              </c:pt>
              <c:pt idx="2241">
                <c:v>42109</c:v>
              </c:pt>
              <c:pt idx="2242">
                <c:v>42110</c:v>
              </c:pt>
              <c:pt idx="2243">
                <c:v>42111</c:v>
              </c:pt>
              <c:pt idx="2244">
                <c:v>42114</c:v>
              </c:pt>
              <c:pt idx="2245">
                <c:v>42115</c:v>
              </c:pt>
              <c:pt idx="2246">
                <c:v>42116</c:v>
              </c:pt>
              <c:pt idx="2247">
                <c:v>42117</c:v>
              </c:pt>
              <c:pt idx="2248">
                <c:v>42118</c:v>
              </c:pt>
              <c:pt idx="2249">
                <c:v>42121</c:v>
              </c:pt>
              <c:pt idx="2250">
                <c:v>42122</c:v>
              </c:pt>
              <c:pt idx="2251">
                <c:v>42123</c:v>
              </c:pt>
              <c:pt idx="2252">
                <c:v>42124</c:v>
              </c:pt>
              <c:pt idx="2253">
                <c:v>42125</c:v>
              </c:pt>
              <c:pt idx="2254">
                <c:v>42128</c:v>
              </c:pt>
              <c:pt idx="2255">
                <c:v>42129</c:v>
              </c:pt>
              <c:pt idx="2256">
                <c:v>42130</c:v>
              </c:pt>
              <c:pt idx="2257">
                <c:v>42131</c:v>
              </c:pt>
              <c:pt idx="2258">
                <c:v>42132</c:v>
              </c:pt>
              <c:pt idx="2259">
                <c:v>42135</c:v>
              </c:pt>
              <c:pt idx="2260">
                <c:v>42136</c:v>
              </c:pt>
              <c:pt idx="2261">
                <c:v>42137</c:v>
              </c:pt>
              <c:pt idx="2262">
                <c:v>42138</c:v>
              </c:pt>
              <c:pt idx="2263">
                <c:v>42139</c:v>
              </c:pt>
              <c:pt idx="2264">
                <c:v>42142</c:v>
              </c:pt>
              <c:pt idx="2265">
                <c:v>42143</c:v>
              </c:pt>
              <c:pt idx="2266">
                <c:v>42144</c:v>
              </c:pt>
              <c:pt idx="2267">
                <c:v>42145</c:v>
              </c:pt>
              <c:pt idx="2268">
                <c:v>42146</c:v>
              </c:pt>
              <c:pt idx="2269">
                <c:v>42149</c:v>
              </c:pt>
              <c:pt idx="2270">
                <c:v>42150</c:v>
              </c:pt>
              <c:pt idx="2271">
                <c:v>42151</c:v>
              </c:pt>
              <c:pt idx="2272">
                <c:v>42152</c:v>
              </c:pt>
              <c:pt idx="2273">
                <c:v>42153</c:v>
              </c:pt>
              <c:pt idx="2274">
                <c:v>42156</c:v>
              </c:pt>
              <c:pt idx="2275">
                <c:v>42157</c:v>
              </c:pt>
              <c:pt idx="2276">
                <c:v>42158</c:v>
              </c:pt>
              <c:pt idx="2277">
                <c:v>42159</c:v>
              </c:pt>
              <c:pt idx="2278">
                <c:v>42160</c:v>
              </c:pt>
              <c:pt idx="2279">
                <c:v>42164</c:v>
              </c:pt>
              <c:pt idx="2280">
                <c:v>42165</c:v>
              </c:pt>
              <c:pt idx="2281">
                <c:v>42166</c:v>
              </c:pt>
              <c:pt idx="2282">
                <c:v>42167</c:v>
              </c:pt>
              <c:pt idx="2283">
                <c:v>42170</c:v>
              </c:pt>
              <c:pt idx="2284">
                <c:v>42171</c:v>
              </c:pt>
              <c:pt idx="2285">
                <c:v>42172</c:v>
              </c:pt>
              <c:pt idx="2286">
                <c:v>42173</c:v>
              </c:pt>
              <c:pt idx="2287">
                <c:v>42174</c:v>
              </c:pt>
              <c:pt idx="2288">
                <c:v>42177</c:v>
              </c:pt>
              <c:pt idx="2289">
                <c:v>42178</c:v>
              </c:pt>
              <c:pt idx="2290">
                <c:v>42179</c:v>
              </c:pt>
              <c:pt idx="2291">
                <c:v>42180</c:v>
              </c:pt>
              <c:pt idx="2292">
                <c:v>42181</c:v>
              </c:pt>
              <c:pt idx="2293">
                <c:v>42184</c:v>
              </c:pt>
              <c:pt idx="2294">
                <c:v>42185</c:v>
              </c:pt>
              <c:pt idx="2295">
                <c:v>42186</c:v>
              </c:pt>
              <c:pt idx="2296">
                <c:v>42187</c:v>
              </c:pt>
              <c:pt idx="2297">
                <c:v>42188</c:v>
              </c:pt>
              <c:pt idx="2298">
                <c:v>42191</c:v>
              </c:pt>
              <c:pt idx="2299">
                <c:v>42192</c:v>
              </c:pt>
              <c:pt idx="2300">
                <c:v>42193</c:v>
              </c:pt>
              <c:pt idx="2301">
                <c:v>42194</c:v>
              </c:pt>
              <c:pt idx="2302">
                <c:v>42195</c:v>
              </c:pt>
              <c:pt idx="2303">
                <c:v>42198</c:v>
              </c:pt>
              <c:pt idx="2304">
                <c:v>42199</c:v>
              </c:pt>
              <c:pt idx="2305">
                <c:v>42200</c:v>
              </c:pt>
              <c:pt idx="2306">
                <c:v>42201</c:v>
              </c:pt>
              <c:pt idx="2307">
                <c:v>42202</c:v>
              </c:pt>
              <c:pt idx="2308">
                <c:v>42205</c:v>
              </c:pt>
              <c:pt idx="2309">
                <c:v>42206</c:v>
              </c:pt>
              <c:pt idx="2310">
                <c:v>42207</c:v>
              </c:pt>
              <c:pt idx="2311">
                <c:v>42208</c:v>
              </c:pt>
              <c:pt idx="2312">
                <c:v>42209</c:v>
              </c:pt>
              <c:pt idx="2313">
                <c:v>42212</c:v>
              </c:pt>
              <c:pt idx="2314">
                <c:v>42213</c:v>
              </c:pt>
              <c:pt idx="2315">
                <c:v>42214</c:v>
              </c:pt>
              <c:pt idx="2316">
                <c:v>42215</c:v>
              </c:pt>
              <c:pt idx="2317">
                <c:v>42216</c:v>
              </c:pt>
              <c:pt idx="2318">
                <c:v>42220</c:v>
              </c:pt>
              <c:pt idx="2319">
                <c:v>42221</c:v>
              </c:pt>
              <c:pt idx="2320">
                <c:v>42222</c:v>
              </c:pt>
              <c:pt idx="2321">
                <c:v>42223</c:v>
              </c:pt>
              <c:pt idx="2322">
                <c:v>42226</c:v>
              </c:pt>
              <c:pt idx="2323">
                <c:v>42227</c:v>
              </c:pt>
              <c:pt idx="2324">
                <c:v>42228</c:v>
              </c:pt>
              <c:pt idx="2325">
                <c:v>42229</c:v>
              </c:pt>
              <c:pt idx="2326">
                <c:v>42230</c:v>
              </c:pt>
              <c:pt idx="2327">
                <c:v>42233</c:v>
              </c:pt>
              <c:pt idx="2328">
                <c:v>42234</c:v>
              </c:pt>
              <c:pt idx="2329">
                <c:v>42235</c:v>
              </c:pt>
              <c:pt idx="2330">
                <c:v>42236</c:v>
              </c:pt>
              <c:pt idx="2331">
                <c:v>42237</c:v>
              </c:pt>
              <c:pt idx="2332">
                <c:v>42240</c:v>
              </c:pt>
              <c:pt idx="2333">
                <c:v>42241</c:v>
              </c:pt>
              <c:pt idx="2334">
                <c:v>42242</c:v>
              </c:pt>
              <c:pt idx="2335">
                <c:v>42243</c:v>
              </c:pt>
              <c:pt idx="2336">
                <c:v>42244</c:v>
              </c:pt>
              <c:pt idx="2337">
                <c:v>42247</c:v>
              </c:pt>
              <c:pt idx="2338">
                <c:v>42248</c:v>
              </c:pt>
              <c:pt idx="2339">
                <c:v>42249</c:v>
              </c:pt>
              <c:pt idx="2340">
                <c:v>42250</c:v>
              </c:pt>
              <c:pt idx="2341">
                <c:v>42251</c:v>
              </c:pt>
              <c:pt idx="2342">
                <c:v>42254</c:v>
              </c:pt>
              <c:pt idx="2343">
                <c:v>42255</c:v>
              </c:pt>
              <c:pt idx="2344">
                <c:v>42256</c:v>
              </c:pt>
              <c:pt idx="2345">
                <c:v>42257</c:v>
              </c:pt>
              <c:pt idx="2346">
                <c:v>42258</c:v>
              </c:pt>
              <c:pt idx="2347">
                <c:v>42261</c:v>
              </c:pt>
              <c:pt idx="2348">
                <c:v>42262</c:v>
              </c:pt>
              <c:pt idx="2349">
                <c:v>42263</c:v>
              </c:pt>
              <c:pt idx="2350">
                <c:v>42264</c:v>
              </c:pt>
              <c:pt idx="2351">
                <c:v>42265</c:v>
              </c:pt>
              <c:pt idx="2352">
                <c:v>42268</c:v>
              </c:pt>
              <c:pt idx="2353">
                <c:v>42269</c:v>
              </c:pt>
              <c:pt idx="2354">
                <c:v>42270</c:v>
              </c:pt>
              <c:pt idx="2355">
                <c:v>42271</c:v>
              </c:pt>
              <c:pt idx="2356">
                <c:v>42272</c:v>
              </c:pt>
              <c:pt idx="2357">
                <c:v>42275</c:v>
              </c:pt>
              <c:pt idx="2358">
                <c:v>42276</c:v>
              </c:pt>
              <c:pt idx="2359">
                <c:v>42277</c:v>
              </c:pt>
              <c:pt idx="2360">
                <c:v>42278</c:v>
              </c:pt>
              <c:pt idx="2361">
                <c:v>42279</c:v>
              </c:pt>
              <c:pt idx="2362">
                <c:v>42283</c:v>
              </c:pt>
              <c:pt idx="2363">
                <c:v>42284</c:v>
              </c:pt>
              <c:pt idx="2364">
                <c:v>42285</c:v>
              </c:pt>
              <c:pt idx="2365">
                <c:v>42286</c:v>
              </c:pt>
              <c:pt idx="2366">
                <c:v>42289</c:v>
              </c:pt>
              <c:pt idx="2367">
                <c:v>42290</c:v>
              </c:pt>
              <c:pt idx="2368">
                <c:v>42291</c:v>
              </c:pt>
              <c:pt idx="2369">
                <c:v>42292</c:v>
              </c:pt>
              <c:pt idx="2370">
                <c:v>42293</c:v>
              </c:pt>
              <c:pt idx="2371">
                <c:v>42296</c:v>
              </c:pt>
              <c:pt idx="2372">
                <c:v>42297</c:v>
              </c:pt>
              <c:pt idx="2373">
                <c:v>42298</c:v>
              </c:pt>
              <c:pt idx="2374">
                <c:v>42299</c:v>
              </c:pt>
              <c:pt idx="2375">
                <c:v>42300</c:v>
              </c:pt>
              <c:pt idx="2376">
                <c:v>42303</c:v>
              </c:pt>
              <c:pt idx="2377">
                <c:v>42304</c:v>
              </c:pt>
              <c:pt idx="2378">
                <c:v>42305</c:v>
              </c:pt>
              <c:pt idx="2379">
                <c:v>42306</c:v>
              </c:pt>
              <c:pt idx="2380">
                <c:v>42307</c:v>
              </c:pt>
              <c:pt idx="2381">
                <c:v>42310</c:v>
              </c:pt>
              <c:pt idx="2382">
                <c:v>42311</c:v>
              </c:pt>
              <c:pt idx="2383">
                <c:v>42312</c:v>
              </c:pt>
              <c:pt idx="2384">
                <c:v>42313</c:v>
              </c:pt>
              <c:pt idx="2385">
                <c:v>42314</c:v>
              </c:pt>
              <c:pt idx="2386">
                <c:v>42317</c:v>
              </c:pt>
              <c:pt idx="2387">
                <c:v>42318</c:v>
              </c:pt>
              <c:pt idx="2388">
                <c:v>42319</c:v>
              </c:pt>
              <c:pt idx="2389">
                <c:v>42320</c:v>
              </c:pt>
              <c:pt idx="2390">
                <c:v>42321</c:v>
              </c:pt>
              <c:pt idx="2391">
                <c:v>42324</c:v>
              </c:pt>
              <c:pt idx="2392">
                <c:v>42325</c:v>
              </c:pt>
              <c:pt idx="2393">
                <c:v>42326</c:v>
              </c:pt>
              <c:pt idx="2394">
                <c:v>42327</c:v>
              </c:pt>
              <c:pt idx="2395">
                <c:v>42328</c:v>
              </c:pt>
              <c:pt idx="2396">
                <c:v>42331</c:v>
              </c:pt>
              <c:pt idx="2397">
                <c:v>42332</c:v>
              </c:pt>
              <c:pt idx="2398">
                <c:v>42333</c:v>
              </c:pt>
              <c:pt idx="2399">
                <c:v>42334</c:v>
              </c:pt>
              <c:pt idx="2400">
                <c:v>42335</c:v>
              </c:pt>
              <c:pt idx="2401">
                <c:v>42338</c:v>
              </c:pt>
              <c:pt idx="2402">
                <c:v>42339</c:v>
              </c:pt>
              <c:pt idx="2403">
                <c:v>42340</c:v>
              </c:pt>
              <c:pt idx="2404">
                <c:v>42341</c:v>
              </c:pt>
              <c:pt idx="2405">
                <c:v>42342</c:v>
              </c:pt>
              <c:pt idx="2406">
                <c:v>42345</c:v>
              </c:pt>
              <c:pt idx="2407">
                <c:v>42346</c:v>
              </c:pt>
              <c:pt idx="2408">
                <c:v>42347</c:v>
              </c:pt>
              <c:pt idx="2409">
                <c:v>42348</c:v>
              </c:pt>
              <c:pt idx="2410">
                <c:v>42349</c:v>
              </c:pt>
              <c:pt idx="2411">
                <c:v>42352</c:v>
              </c:pt>
              <c:pt idx="2412">
                <c:v>42353</c:v>
              </c:pt>
              <c:pt idx="2413">
                <c:v>42354</c:v>
              </c:pt>
              <c:pt idx="2414">
                <c:v>42355</c:v>
              </c:pt>
              <c:pt idx="2415">
                <c:v>42356</c:v>
              </c:pt>
              <c:pt idx="2416">
                <c:v>42359</c:v>
              </c:pt>
              <c:pt idx="2417">
                <c:v>42360</c:v>
              </c:pt>
              <c:pt idx="2418">
                <c:v>42361</c:v>
              </c:pt>
              <c:pt idx="2419">
                <c:v>42362</c:v>
              </c:pt>
              <c:pt idx="2420">
                <c:v>42367</c:v>
              </c:pt>
              <c:pt idx="2421">
                <c:v>42368</c:v>
              </c:pt>
              <c:pt idx="2422">
                <c:v>42369</c:v>
              </c:pt>
              <c:pt idx="2423">
                <c:v>42373</c:v>
              </c:pt>
              <c:pt idx="2424">
                <c:v>42374</c:v>
              </c:pt>
              <c:pt idx="2425">
                <c:v>42375</c:v>
              </c:pt>
              <c:pt idx="2426">
                <c:v>42376</c:v>
              </c:pt>
              <c:pt idx="2427">
                <c:v>42377</c:v>
              </c:pt>
              <c:pt idx="2428">
                <c:v>42380</c:v>
              </c:pt>
              <c:pt idx="2429">
                <c:v>42381</c:v>
              </c:pt>
              <c:pt idx="2430">
                <c:v>42382</c:v>
              </c:pt>
              <c:pt idx="2431">
                <c:v>42383</c:v>
              </c:pt>
              <c:pt idx="2432">
                <c:v>42384</c:v>
              </c:pt>
              <c:pt idx="2433">
                <c:v>42387</c:v>
              </c:pt>
              <c:pt idx="2434">
                <c:v>42388</c:v>
              </c:pt>
              <c:pt idx="2435">
                <c:v>42389</c:v>
              </c:pt>
              <c:pt idx="2436">
                <c:v>42390</c:v>
              </c:pt>
              <c:pt idx="2437">
                <c:v>42391</c:v>
              </c:pt>
              <c:pt idx="2438">
                <c:v>42394</c:v>
              </c:pt>
              <c:pt idx="2439">
                <c:v>42396</c:v>
              </c:pt>
              <c:pt idx="2440">
                <c:v>42397</c:v>
              </c:pt>
              <c:pt idx="2441">
                <c:v>42398</c:v>
              </c:pt>
              <c:pt idx="2442">
                <c:v>42401</c:v>
              </c:pt>
              <c:pt idx="2443">
                <c:v>42402</c:v>
              </c:pt>
              <c:pt idx="2444">
                <c:v>42403</c:v>
              </c:pt>
              <c:pt idx="2445">
                <c:v>42404</c:v>
              </c:pt>
              <c:pt idx="2446">
                <c:v>42405</c:v>
              </c:pt>
              <c:pt idx="2447">
                <c:v>42408</c:v>
              </c:pt>
              <c:pt idx="2448">
                <c:v>42409</c:v>
              </c:pt>
              <c:pt idx="2449">
                <c:v>42410</c:v>
              </c:pt>
              <c:pt idx="2450">
                <c:v>42411</c:v>
              </c:pt>
              <c:pt idx="2451">
                <c:v>42412</c:v>
              </c:pt>
              <c:pt idx="2452">
                <c:v>42415</c:v>
              </c:pt>
              <c:pt idx="2453">
                <c:v>42416</c:v>
              </c:pt>
              <c:pt idx="2454">
                <c:v>42417</c:v>
              </c:pt>
              <c:pt idx="2455">
                <c:v>42418</c:v>
              </c:pt>
              <c:pt idx="2456">
                <c:v>42419</c:v>
              </c:pt>
              <c:pt idx="2457">
                <c:v>42422</c:v>
              </c:pt>
              <c:pt idx="2458">
                <c:v>42423</c:v>
              </c:pt>
              <c:pt idx="2459">
                <c:v>42424</c:v>
              </c:pt>
              <c:pt idx="2460">
                <c:v>42425</c:v>
              </c:pt>
              <c:pt idx="2461">
                <c:v>42426</c:v>
              </c:pt>
              <c:pt idx="2462">
                <c:v>42429</c:v>
              </c:pt>
              <c:pt idx="2463">
                <c:v>42430</c:v>
              </c:pt>
              <c:pt idx="2464">
                <c:v>42431</c:v>
              </c:pt>
              <c:pt idx="2465">
                <c:v>42432</c:v>
              </c:pt>
              <c:pt idx="2466">
                <c:v>42433</c:v>
              </c:pt>
              <c:pt idx="2467">
                <c:v>42436</c:v>
              </c:pt>
              <c:pt idx="2468">
                <c:v>42437</c:v>
              </c:pt>
              <c:pt idx="2469">
                <c:v>42438</c:v>
              </c:pt>
              <c:pt idx="2470">
                <c:v>42439</c:v>
              </c:pt>
              <c:pt idx="2471">
                <c:v>42440</c:v>
              </c:pt>
              <c:pt idx="2472">
                <c:v>42443</c:v>
              </c:pt>
              <c:pt idx="2473">
                <c:v>42444</c:v>
              </c:pt>
              <c:pt idx="2474">
                <c:v>42445</c:v>
              </c:pt>
              <c:pt idx="2475">
                <c:v>42446</c:v>
              </c:pt>
              <c:pt idx="2476">
                <c:v>42447</c:v>
              </c:pt>
              <c:pt idx="2477">
                <c:v>42450</c:v>
              </c:pt>
              <c:pt idx="2478">
                <c:v>42451</c:v>
              </c:pt>
              <c:pt idx="2479">
                <c:v>42452</c:v>
              </c:pt>
              <c:pt idx="2480">
                <c:v>42453</c:v>
              </c:pt>
              <c:pt idx="2481">
                <c:v>42458</c:v>
              </c:pt>
              <c:pt idx="2482">
                <c:v>42459</c:v>
              </c:pt>
              <c:pt idx="2483">
                <c:v>42460</c:v>
              </c:pt>
              <c:pt idx="2484">
                <c:v>42461</c:v>
              </c:pt>
              <c:pt idx="2485">
                <c:v>42464</c:v>
              </c:pt>
              <c:pt idx="2486">
                <c:v>42465</c:v>
              </c:pt>
              <c:pt idx="2487">
                <c:v>42466</c:v>
              </c:pt>
              <c:pt idx="2488">
                <c:v>42467</c:v>
              </c:pt>
              <c:pt idx="2489">
                <c:v>42468</c:v>
              </c:pt>
              <c:pt idx="2490">
                <c:v>42471</c:v>
              </c:pt>
              <c:pt idx="2491">
                <c:v>42472</c:v>
              </c:pt>
              <c:pt idx="2492">
                <c:v>42473</c:v>
              </c:pt>
              <c:pt idx="2493">
                <c:v>42474</c:v>
              </c:pt>
              <c:pt idx="2494">
                <c:v>42475</c:v>
              </c:pt>
              <c:pt idx="2495">
                <c:v>42478</c:v>
              </c:pt>
              <c:pt idx="2496">
                <c:v>42479</c:v>
              </c:pt>
              <c:pt idx="2497">
                <c:v>42480</c:v>
              </c:pt>
              <c:pt idx="2498">
                <c:v>42481</c:v>
              </c:pt>
              <c:pt idx="2499">
                <c:v>42482</c:v>
              </c:pt>
              <c:pt idx="2500">
                <c:v>42486</c:v>
              </c:pt>
              <c:pt idx="2501">
                <c:v>42487</c:v>
              </c:pt>
              <c:pt idx="2502">
                <c:v>42488</c:v>
              </c:pt>
              <c:pt idx="2503">
                <c:v>42489</c:v>
              </c:pt>
              <c:pt idx="2504">
                <c:v>42492</c:v>
              </c:pt>
              <c:pt idx="2505">
                <c:v>42493</c:v>
              </c:pt>
              <c:pt idx="2506">
                <c:v>42494</c:v>
              </c:pt>
              <c:pt idx="2507">
                <c:v>42495</c:v>
              </c:pt>
              <c:pt idx="2508">
                <c:v>42496</c:v>
              </c:pt>
              <c:pt idx="2509">
                <c:v>42499</c:v>
              </c:pt>
              <c:pt idx="2510">
                <c:v>42500</c:v>
              </c:pt>
              <c:pt idx="2511">
                <c:v>42501</c:v>
              </c:pt>
              <c:pt idx="2512">
                <c:v>42502</c:v>
              </c:pt>
              <c:pt idx="2513">
                <c:v>42503</c:v>
              </c:pt>
              <c:pt idx="2514">
                <c:v>42506</c:v>
              </c:pt>
              <c:pt idx="2515">
                <c:v>42507</c:v>
              </c:pt>
              <c:pt idx="2516">
                <c:v>42508</c:v>
              </c:pt>
              <c:pt idx="2517">
                <c:v>42509</c:v>
              </c:pt>
              <c:pt idx="2518">
                <c:v>42510</c:v>
              </c:pt>
              <c:pt idx="2519">
                <c:v>42513</c:v>
              </c:pt>
              <c:pt idx="2520">
                <c:v>42514</c:v>
              </c:pt>
              <c:pt idx="2521">
                <c:v>42515</c:v>
              </c:pt>
              <c:pt idx="2522">
                <c:v>42516</c:v>
              </c:pt>
              <c:pt idx="2523">
                <c:v>42517</c:v>
              </c:pt>
              <c:pt idx="2524">
                <c:v>42520</c:v>
              </c:pt>
              <c:pt idx="2525">
                <c:v>42521</c:v>
              </c:pt>
              <c:pt idx="2526">
                <c:v>42522</c:v>
              </c:pt>
              <c:pt idx="2527">
                <c:v>42523</c:v>
              </c:pt>
              <c:pt idx="2528">
                <c:v>42524</c:v>
              </c:pt>
              <c:pt idx="2529">
                <c:v>42527</c:v>
              </c:pt>
              <c:pt idx="2530">
                <c:v>42528</c:v>
              </c:pt>
              <c:pt idx="2531">
                <c:v>42529</c:v>
              </c:pt>
              <c:pt idx="2532">
                <c:v>42530</c:v>
              </c:pt>
              <c:pt idx="2533">
                <c:v>42531</c:v>
              </c:pt>
              <c:pt idx="2534">
                <c:v>42535</c:v>
              </c:pt>
              <c:pt idx="2535">
                <c:v>42536</c:v>
              </c:pt>
              <c:pt idx="2536">
                <c:v>42537</c:v>
              </c:pt>
              <c:pt idx="2537">
                <c:v>42538</c:v>
              </c:pt>
              <c:pt idx="2538">
                <c:v>42541</c:v>
              </c:pt>
              <c:pt idx="2539">
                <c:v>42542</c:v>
              </c:pt>
              <c:pt idx="2540">
                <c:v>42543</c:v>
              </c:pt>
              <c:pt idx="2541">
                <c:v>42544</c:v>
              </c:pt>
              <c:pt idx="2542">
                <c:v>42545</c:v>
              </c:pt>
              <c:pt idx="2543">
                <c:v>42548</c:v>
              </c:pt>
              <c:pt idx="2544">
                <c:v>42549</c:v>
              </c:pt>
              <c:pt idx="2545">
                <c:v>42550</c:v>
              </c:pt>
              <c:pt idx="2546">
                <c:v>42551</c:v>
              </c:pt>
              <c:pt idx="2547">
                <c:v>42552</c:v>
              </c:pt>
              <c:pt idx="2548">
                <c:v>42555</c:v>
              </c:pt>
              <c:pt idx="2549">
                <c:v>42556</c:v>
              </c:pt>
              <c:pt idx="2550">
                <c:v>42557</c:v>
              </c:pt>
              <c:pt idx="2551">
                <c:v>42558</c:v>
              </c:pt>
              <c:pt idx="2552">
                <c:v>42559</c:v>
              </c:pt>
              <c:pt idx="2553">
                <c:v>42562</c:v>
              </c:pt>
              <c:pt idx="2554">
                <c:v>42563</c:v>
              </c:pt>
              <c:pt idx="2555">
                <c:v>42564</c:v>
              </c:pt>
              <c:pt idx="2556">
                <c:v>42565</c:v>
              </c:pt>
              <c:pt idx="2557">
                <c:v>42566</c:v>
              </c:pt>
              <c:pt idx="2558">
                <c:v>42569</c:v>
              </c:pt>
              <c:pt idx="2559">
                <c:v>42570</c:v>
              </c:pt>
              <c:pt idx="2560">
                <c:v>42571</c:v>
              </c:pt>
              <c:pt idx="2561">
                <c:v>42572</c:v>
              </c:pt>
              <c:pt idx="2562">
                <c:v>42573</c:v>
              </c:pt>
              <c:pt idx="2563">
                <c:v>42576</c:v>
              </c:pt>
              <c:pt idx="2564">
                <c:v>42577</c:v>
              </c:pt>
              <c:pt idx="2565">
                <c:v>42578</c:v>
              </c:pt>
              <c:pt idx="2566">
                <c:v>42579</c:v>
              </c:pt>
              <c:pt idx="2567">
                <c:v>42580</c:v>
              </c:pt>
              <c:pt idx="2568">
                <c:v>42583</c:v>
              </c:pt>
              <c:pt idx="2569">
                <c:v>42584</c:v>
              </c:pt>
              <c:pt idx="2570">
                <c:v>42585</c:v>
              </c:pt>
              <c:pt idx="2571">
                <c:v>42586</c:v>
              </c:pt>
              <c:pt idx="2572">
                <c:v>42587</c:v>
              </c:pt>
              <c:pt idx="2573">
                <c:v>42590</c:v>
              </c:pt>
              <c:pt idx="2574">
                <c:v>42591</c:v>
              </c:pt>
              <c:pt idx="2575">
                <c:v>42592</c:v>
              </c:pt>
              <c:pt idx="2576">
                <c:v>42593</c:v>
              </c:pt>
              <c:pt idx="2577">
                <c:v>42594</c:v>
              </c:pt>
              <c:pt idx="2578">
                <c:v>42597</c:v>
              </c:pt>
              <c:pt idx="2579">
                <c:v>42598</c:v>
              </c:pt>
              <c:pt idx="2580">
                <c:v>42599</c:v>
              </c:pt>
              <c:pt idx="2581">
                <c:v>42600</c:v>
              </c:pt>
              <c:pt idx="2582">
                <c:v>42601</c:v>
              </c:pt>
              <c:pt idx="2583">
                <c:v>42604</c:v>
              </c:pt>
              <c:pt idx="2584">
                <c:v>42605</c:v>
              </c:pt>
              <c:pt idx="2585">
                <c:v>42606</c:v>
              </c:pt>
              <c:pt idx="2586">
                <c:v>42607</c:v>
              </c:pt>
              <c:pt idx="2587">
                <c:v>42608</c:v>
              </c:pt>
              <c:pt idx="2588">
                <c:v>42611</c:v>
              </c:pt>
              <c:pt idx="2589">
                <c:v>42612</c:v>
              </c:pt>
              <c:pt idx="2590">
                <c:v>42613</c:v>
              </c:pt>
              <c:pt idx="2591">
                <c:v>42614</c:v>
              </c:pt>
              <c:pt idx="2592">
                <c:v>42615</c:v>
              </c:pt>
              <c:pt idx="2593">
                <c:v>42618</c:v>
              </c:pt>
              <c:pt idx="2594">
                <c:v>42619</c:v>
              </c:pt>
              <c:pt idx="2595">
                <c:v>42620</c:v>
              </c:pt>
              <c:pt idx="2596">
                <c:v>42621</c:v>
              </c:pt>
              <c:pt idx="2597">
                <c:v>42622</c:v>
              </c:pt>
              <c:pt idx="2598">
                <c:v>42625</c:v>
              </c:pt>
              <c:pt idx="2599">
                <c:v>42626</c:v>
              </c:pt>
              <c:pt idx="2600">
                <c:v>42627</c:v>
              </c:pt>
              <c:pt idx="2601">
                <c:v>42628</c:v>
              </c:pt>
              <c:pt idx="2602">
                <c:v>42629</c:v>
              </c:pt>
              <c:pt idx="2603">
                <c:v>42632</c:v>
              </c:pt>
              <c:pt idx="2604">
                <c:v>42633</c:v>
              </c:pt>
              <c:pt idx="2605">
                <c:v>42634</c:v>
              </c:pt>
              <c:pt idx="2606">
                <c:v>42635</c:v>
              </c:pt>
              <c:pt idx="2607">
                <c:v>42636</c:v>
              </c:pt>
              <c:pt idx="2608">
                <c:v>42639</c:v>
              </c:pt>
              <c:pt idx="2609">
                <c:v>42640</c:v>
              </c:pt>
              <c:pt idx="2610">
                <c:v>42641</c:v>
              </c:pt>
              <c:pt idx="2611">
                <c:v>42642</c:v>
              </c:pt>
              <c:pt idx="2612">
                <c:v>42643</c:v>
              </c:pt>
              <c:pt idx="2613">
                <c:v>42646</c:v>
              </c:pt>
              <c:pt idx="2614">
                <c:v>42647</c:v>
              </c:pt>
              <c:pt idx="2615">
                <c:v>42648</c:v>
              </c:pt>
              <c:pt idx="2616">
                <c:v>42649</c:v>
              </c:pt>
              <c:pt idx="2617">
                <c:v>42650</c:v>
              </c:pt>
              <c:pt idx="2618">
                <c:v>42653</c:v>
              </c:pt>
              <c:pt idx="2619">
                <c:v>42654</c:v>
              </c:pt>
              <c:pt idx="2620">
                <c:v>42655</c:v>
              </c:pt>
              <c:pt idx="2621">
                <c:v>42656</c:v>
              </c:pt>
              <c:pt idx="2622">
                <c:v>42657</c:v>
              </c:pt>
              <c:pt idx="2623">
                <c:v>42660</c:v>
              </c:pt>
              <c:pt idx="2624">
                <c:v>42661</c:v>
              </c:pt>
              <c:pt idx="2625">
                <c:v>42662</c:v>
              </c:pt>
              <c:pt idx="2626">
                <c:v>42663</c:v>
              </c:pt>
              <c:pt idx="2627">
                <c:v>42664</c:v>
              </c:pt>
              <c:pt idx="2628">
                <c:v>42667</c:v>
              </c:pt>
              <c:pt idx="2629">
                <c:v>42668</c:v>
              </c:pt>
              <c:pt idx="2630">
                <c:v>42669</c:v>
              </c:pt>
              <c:pt idx="2631">
                <c:v>42670</c:v>
              </c:pt>
              <c:pt idx="2632">
                <c:v>42671</c:v>
              </c:pt>
              <c:pt idx="2633">
                <c:v>42674</c:v>
              </c:pt>
              <c:pt idx="2634">
                <c:v>42675</c:v>
              </c:pt>
              <c:pt idx="2635">
                <c:v>42676</c:v>
              </c:pt>
              <c:pt idx="2636">
                <c:v>42677</c:v>
              </c:pt>
              <c:pt idx="2637">
                <c:v>42678</c:v>
              </c:pt>
              <c:pt idx="2638">
                <c:v>42681</c:v>
              </c:pt>
              <c:pt idx="2639">
                <c:v>42682</c:v>
              </c:pt>
              <c:pt idx="2640">
                <c:v>42683</c:v>
              </c:pt>
              <c:pt idx="2641">
                <c:v>42684</c:v>
              </c:pt>
              <c:pt idx="2642">
                <c:v>42685</c:v>
              </c:pt>
              <c:pt idx="2643">
                <c:v>42688</c:v>
              </c:pt>
              <c:pt idx="2644">
                <c:v>42689</c:v>
              </c:pt>
              <c:pt idx="2645">
                <c:v>42690</c:v>
              </c:pt>
              <c:pt idx="2646">
                <c:v>42691</c:v>
              </c:pt>
              <c:pt idx="2647">
                <c:v>42692</c:v>
              </c:pt>
              <c:pt idx="2648">
                <c:v>42695</c:v>
              </c:pt>
              <c:pt idx="2649">
                <c:v>42696</c:v>
              </c:pt>
              <c:pt idx="2650">
                <c:v>42697</c:v>
              </c:pt>
              <c:pt idx="2651">
                <c:v>42698</c:v>
              </c:pt>
              <c:pt idx="2652">
                <c:v>42699</c:v>
              </c:pt>
              <c:pt idx="2653">
                <c:v>42702</c:v>
              </c:pt>
              <c:pt idx="2654">
                <c:v>42703</c:v>
              </c:pt>
              <c:pt idx="2655">
                <c:v>42704</c:v>
              </c:pt>
              <c:pt idx="2656">
                <c:v>42705</c:v>
              </c:pt>
              <c:pt idx="2657">
                <c:v>42706</c:v>
              </c:pt>
              <c:pt idx="2658">
                <c:v>42709</c:v>
              </c:pt>
              <c:pt idx="2659">
                <c:v>42710</c:v>
              </c:pt>
              <c:pt idx="2660">
                <c:v>42711</c:v>
              </c:pt>
              <c:pt idx="2661">
                <c:v>42712</c:v>
              </c:pt>
              <c:pt idx="2662">
                <c:v>42713</c:v>
              </c:pt>
              <c:pt idx="2663">
                <c:v>42716</c:v>
              </c:pt>
              <c:pt idx="2664">
                <c:v>42717</c:v>
              </c:pt>
              <c:pt idx="2665">
                <c:v>42718</c:v>
              </c:pt>
              <c:pt idx="2666">
                <c:v>42719</c:v>
              </c:pt>
              <c:pt idx="2667">
                <c:v>42720</c:v>
              </c:pt>
              <c:pt idx="2668">
                <c:v>42723</c:v>
              </c:pt>
              <c:pt idx="2669">
                <c:v>42724</c:v>
              </c:pt>
              <c:pt idx="2670">
                <c:v>42725</c:v>
              </c:pt>
              <c:pt idx="2671">
                <c:v>42726</c:v>
              </c:pt>
              <c:pt idx="2672">
                <c:v>42727</c:v>
              </c:pt>
              <c:pt idx="2673">
                <c:v>42732</c:v>
              </c:pt>
              <c:pt idx="2674">
                <c:v>42733</c:v>
              </c:pt>
              <c:pt idx="2675">
                <c:v>42734</c:v>
              </c:pt>
              <c:pt idx="2676">
                <c:v>42738</c:v>
              </c:pt>
              <c:pt idx="2677">
                <c:v>42739</c:v>
              </c:pt>
              <c:pt idx="2678">
                <c:v>42740</c:v>
              </c:pt>
              <c:pt idx="2679">
                <c:v>42741</c:v>
              </c:pt>
              <c:pt idx="2680">
                <c:v>42744</c:v>
              </c:pt>
              <c:pt idx="2681">
                <c:v>42745</c:v>
              </c:pt>
              <c:pt idx="2682">
                <c:v>42746</c:v>
              </c:pt>
              <c:pt idx="2683">
                <c:v>42747</c:v>
              </c:pt>
              <c:pt idx="2684">
                <c:v>42748</c:v>
              </c:pt>
              <c:pt idx="2685">
                <c:v>42751</c:v>
              </c:pt>
              <c:pt idx="2686">
                <c:v>42752</c:v>
              </c:pt>
              <c:pt idx="2687">
                <c:v>42753</c:v>
              </c:pt>
              <c:pt idx="2688">
                <c:v>42754</c:v>
              </c:pt>
              <c:pt idx="2689">
                <c:v>42755</c:v>
              </c:pt>
              <c:pt idx="2690">
                <c:v>42758</c:v>
              </c:pt>
              <c:pt idx="2691">
                <c:v>42759</c:v>
              </c:pt>
              <c:pt idx="2692">
                <c:v>42760</c:v>
              </c:pt>
              <c:pt idx="2693">
                <c:v>42762</c:v>
              </c:pt>
              <c:pt idx="2694">
                <c:v>42765</c:v>
              </c:pt>
              <c:pt idx="2695">
                <c:v>42766</c:v>
              </c:pt>
              <c:pt idx="2696">
                <c:v>42767</c:v>
              </c:pt>
              <c:pt idx="2697">
                <c:v>42768</c:v>
              </c:pt>
              <c:pt idx="2698">
                <c:v>42769</c:v>
              </c:pt>
              <c:pt idx="2699">
                <c:v>42772</c:v>
              </c:pt>
              <c:pt idx="2700">
                <c:v>42773</c:v>
              </c:pt>
              <c:pt idx="2701">
                <c:v>42774</c:v>
              </c:pt>
              <c:pt idx="2702">
                <c:v>42775</c:v>
              </c:pt>
              <c:pt idx="2703">
                <c:v>42776</c:v>
              </c:pt>
              <c:pt idx="2704">
                <c:v>42779</c:v>
              </c:pt>
              <c:pt idx="2705">
                <c:v>42780</c:v>
              </c:pt>
              <c:pt idx="2706">
                <c:v>42781</c:v>
              </c:pt>
              <c:pt idx="2707">
                <c:v>42782</c:v>
              </c:pt>
              <c:pt idx="2708">
                <c:v>42783</c:v>
              </c:pt>
              <c:pt idx="2709">
                <c:v>42786</c:v>
              </c:pt>
              <c:pt idx="2710">
                <c:v>42787</c:v>
              </c:pt>
              <c:pt idx="2711">
                <c:v>42788</c:v>
              </c:pt>
              <c:pt idx="2712">
                <c:v>42789</c:v>
              </c:pt>
              <c:pt idx="2713">
                <c:v>42790</c:v>
              </c:pt>
              <c:pt idx="2714">
                <c:v>42793</c:v>
              </c:pt>
              <c:pt idx="2715">
                <c:v>42794</c:v>
              </c:pt>
              <c:pt idx="2716">
                <c:v>42795</c:v>
              </c:pt>
              <c:pt idx="2717">
                <c:v>42796</c:v>
              </c:pt>
              <c:pt idx="2718">
                <c:v>42797</c:v>
              </c:pt>
              <c:pt idx="2719">
                <c:v>42800</c:v>
              </c:pt>
              <c:pt idx="2720">
                <c:v>42801</c:v>
              </c:pt>
              <c:pt idx="2721">
                <c:v>42802</c:v>
              </c:pt>
              <c:pt idx="2722">
                <c:v>42803</c:v>
              </c:pt>
              <c:pt idx="2723">
                <c:v>42804</c:v>
              </c:pt>
              <c:pt idx="2724">
                <c:v>42807</c:v>
              </c:pt>
              <c:pt idx="2725">
                <c:v>42808</c:v>
              </c:pt>
              <c:pt idx="2726">
                <c:v>42809</c:v>
              </c:pt>
              <c:pt idx="2727">
                <c:v>42810</c:v>
              </c:pt>
              <c:pt idx="2728">
                <c:v>42811</c:v>
              </c:pt>
              <c:pt idx="2729">
                <c:v>42814</c:v>
              </c:pt>
              <c:pt idx="2730">
                <c:v>42815</c:v>
              </c:pt>
              <c:pt idx="2731">
                <c:v>42816</c:v>
              </c:pt>
              <c:pt idx="2732">
                <c:v>42817</c:v>
              </c:pt>
              <c:pt idx="2733">
                <c:v>42818</c:v>
              </c:pt>
              <c:pt idx="2734">
                <c:v>42821</c:v>
              </c:pt>
              <c:pt idx="2735">
                <c:v>42822</c:v>
              </c:pt>
              <c:pt idx="2736">
                <c:v>42823</c:v>
              </c:pt>
              <c:pt idx="2737">
                <c:v>42824</c:v>
              </c:pt>
              <c:pt idx="2738">
                <c:v>42825</c:v>
              </c:pt>
              <c:pt idx="2739">
                <c:v>42828</c:v>
              </c:pt>
              <c:pt idx="2740">
                <c:v>42829</c:v>
              </c:pt>
              <c:pt idx="2741">
                <c:v>42830</c:v>
              </c:pt>
              <c:pt idx="2742">
                <c:v>42831</c:v>
              </c:pt>
              <c:pt idx="2743">
                <c:v>42832</c:v>
              </c:pt>
              <c:pt idx="2744">
                <c:v>42835</c:v>
              </c:pt>
              <c:pt idx="2745">
                <c:v>42836</c:v>
              </c:pt>
              <c:pt idx="2746">
                <c:v>42837</c:v>
              </c:pt>
              <c:pt idx="2747">
                <c:v>42838</c:v>
              </c:pt>
              <c:pt idx="2748">
                <c:v>42843</c:v>
              </c:pt>
              <c:pt idx="2749">
                <c:v>42844</c:v>
              </c:pt>
              <c:pt idx="2750">
                <c:v>42845</c:v>
              </c:pt>
              <c:pt idx="2751">
                <c:v>42846</c:v>
              </c:pt>
              <c:pt idx="2752">
                <c:v>42849</c:v>
              </c:pt>
              <c:pt idx="2753">
                <c:v>42851</c:v>
              </c:pt>
              <c:pt idx="2754">
                <c:v>42852</c:v>
              </c:pt>
              <c:pt idx="2755">
                <c:v>42853</c:v>
              </c:pt>
              <c:pt idx="2756">
                <c:v>42856</c:v>
              </c:pt>
              <c:pt idx="2757">
                <c:v>42857</c:v>
              </c:pt>
              <c:pt idx="2758">
                <c:v>42858</c:v>
              </c:pt>
              <c:pt idx="2759">
                <c:v>42859</c:v>
              </c:pt>
              <c:pt idx="2760">
                <c:v>42860</c:v>
              </c:pt>
              <c:pt idx="2761">
                <c:v>42863</c:v>
              </c:pt>
              <c:pt idx="2762">
                <c:v>42864</c:v>
              </c:pt>
              <c:pt idx="2763">
                <c:v>42865</c:v>
              </c:pt>
              <c:pt idx="2764">
                <c:v>42866</c:v>
              </c:pt>
              <c:pt idx="2765">
                <c:v>42867</c:v>
              </c:pt>
              <c:pt idx="2766">
                <c:v>42870</c:v>
              </c:pt>
              <c:pt idx="2767">
                <c:v>42871</c:v>
              </c:pt>
              <c:pt idx="2768">
                <c:v>42872</c:v>
              </c:pt>
              <c:pt idx="2769">
                <c:v>42873</c:v>
              </c:pt>
              <c:pt idx="2770">
                <c:v>42874</c:v>
              </c:pt>
              <c:pt idx="2771">
                <c:v>42877</c:v>
              </c:pt>
              <c:pt idx="2772">
                <c:v>42878</c:v>
              </c:pt>
              <c:pt idx="2773">
                <c:v>42879</c:v>
              </c:pt>
              <c:pt idx="2774">
                <c:v>42880</c:v>
              </c:pt>
              <c:pt idx="2775">
                <c:v>42881</c:v>
              </c:pt>
              <c:pt idx="2776">
                <c:v>42884</c:v>
              </c:pt>
              <c:pt idx="2777">
                <c:v>42885</c:v>
              </c:pt>
              <c:pt idx="2778">
                <c:v>42886</c:v>
              </c:pt>
              <c:pt idx="2779">
                <c:v>42887</c:v>
              </c:pt>
              <c:pt idx="2780">
                <c:v>42888</c:v>
              </c:pt>
              <c:pt idx="2781">
                <c:v>42891</c:v>
              </c:pt>
              <c:pt idx="2782">
                <c:v>42892</c:v>
              </c:pt>
              <c:pt idx="2783">
                <c:v>42893</c:v>
              </c:pt>
              <c:pt idx="2784">
                <c:v>42894</c:v>
              </c:pt>
              <c:pt idx="2785">
                <c:v>42895</c:v>
              </c:pt>
              <c:pt idx="2786">
                <c:v>42899</c:v>
              </c:pt>
              <c:pt idx="2787">
                <c:v>42900</c:v>
              </c:pt>
              <c:pt idx="2788">
                <c:v>42901</c:v>
              </c:pt>
              <c:pt idx="2789">
                <c:v>42902</c:v>
              </c:pt>
              <c:pt idx="2790">
                <c:v>42905</c:v>
              </c:pt>
              <c:pt idx="2791">
                <c:v>42906</c:v>
              </c:pt>
              <c:pt idx="2792">
                <c:v>42907</c:v>
              </c:pt>
              <c:pt idx="2793">
                <c:v>42908</c:v>
              </c:pt>
              <c:pt idx="2794">
                <c:v>42909</c:v>
              </c:pt>
              <c:pt idx="2795">
                <c:v>42912</c:v>
              </c:pt>
              <c:pt idx="2796">
                <c:v>42913</c:v>
              </c:pt>
              <c:pt idx="2797">
                <c:v>42914</c:v>
              </c:pt>
              <c:pt idx="2798">
                <c:v>42915</c:v>
              </c:pt>
              <c:pt idx="2799">
                <c:v>42916</c:v>
              </c:pt>
              <c:pt idx="2800">
                <c:v>42919</c:v>
              </c:pt>
              <c:pt idx="2801">
                <c:v>42920</c:v>
              </c:pt>
              <c:pt idx="2802">
                <c:v>42921</c:v>
              </c:pt>
              <c:pt idx="2803">
                <c:v>42922</c:v>
              </c:pt>
              <c:pt idx="2804">
                <c:v>42923</c:v>
              </c:pt>
              <c:pt idx="2805">
                <c:v>42926</c:v>
              </c:pt>
              <c:pt idx="2806">
                <c:v>42927</c:v>
              </c:pt>
              <c:pt idx="2807">
                <c:v>42928</c:v>
              </c:pt>
              <c:pt idx="2808">
                <c:v>42929</c:v>
              </c:pt>
              <c:pt idx="2809">
                <c:v>42930</c:v>
              </c:pt>
              <c:pt idx="2810">
                <c:v>42933</c:v>
              </c:pt>
              <c:pt idx="2811">
                <c:v>42934</c:v>
              </c:pt>
              <c:pt idx="2812">
                <c:v>42935</c:v>
              </c:pt>
              <c:pt idx="2813">
                <c:v>42936</c:v>
              </c:pt>
              <c:pt idx="2814">
                <c:v>42937</c:v>
              </c:pt>
              <c:pt idx="2815">
                <c:v>42940</c:v>
              </c:pt>
              <c:pt idx="2816">
                <c:v>42941</c:v>
              </c:pt>
              <c:pt idx="2817">
                <c:v>42942</c:v>
              </c:pt>
              <c:pt idx="2818">
                <c:v>42943</c:v>
              </c:pt>
              <c:pt idx="2819">
                <c:v>42944</c:v>
              </c:pt>
              <c:pt idx="2820">
                <c:v>42947</c:v>
              </c:pt>
              <c:pt idx="2821">
                <c:v>42948</c:v>
              </c:pt>
              <c:pt idx="2822">
                <c:v>42949</c:v>
              </c:pt>
              <c:pt idx="2823">
                <c:v>42950</c:v>
              </c:pt>
              <c:pt idx="2824">
                <c:v>42951</c:v>
              </c:pt>
              <c:pt idx="2825">
                <c:v>42954</c:v>
              </c:pt>
              <c:pt idx="2826">
                <c:v>42955</c:v>
              </c:pt>
              <c:pt idx="2827">
                <c:v>42956</c:v>
              </c:pt>
              <c:pt idx="2828">
                <c:v>42957</c:v>
              </c:pt>
              <c:pt idx="2829">
                <c:v>42958</c:v>
              </c:pt>
              <c:pt idx="2830">
                <c:v>42961</c:v>
              </c:pt>
              <c:pt idx="2831">
                <c:v>42962</c:v>
              </c:pt>
              <c:pt idx="2832">
                <c:v>42963</c:v>
              </c:pt>
              <c:pt idx="2833">
                <c:v>42964</c:v>
              </c:pt>
              <c:pt idx="2834">
                <c:v>42965</c:v>
              </c:pt>
              <c:pt idx="2835">
                <c:v>42968</c:v>
              </c:pt>
              <c:pt idx="2836">
                <c:v>42969</c:v>
              </c:pt>
              <c:pt idx="2837">
                <c:v>42970</c:v>
              </c:pt>
              <c:pt idx="2838">
                <c:v>42971</c:v>
              </c:pt>
              <c:pt idx="2839">
                <c:v>42972</c:v>
              </c:pt>
              <c:pt idx="2840">
                <c:v>42975</c:v>
              </c:pt>
              <c:pt idx="2841">
                <c:v>42976</c:v>
              </c:pt>
              <c:pt idx="2842">
                <c:v>42977</c:v>
              </c:pt>
              <c:pt idx="2843">
                <c:v>42978</c:v>
              </c:pt>
              <c:pt idx="2844">
                <c:v>42979</c:v>
              </c:pt>
              <c:pt idx="2845">
                <c:v>42982</c:v>
              </c:pt>
              <c:pt idx="2846">
                <c:v>42983</c:v>
              </c:pt>
              <c:pt idx="2847">
                <c:v>42984</c:v>
              </c:pt>
              <c:pt idx="2848">
                <c:v>42985</c:v>
              </c:pt>
              <c:pt idx="2849">
                <c:v>42986</c:v>
              </c:pt>
              <c:pt idx="2850">
                <c:v>42989</c:v>
              </c:pt>
              <c:pt idx="2851">
                <c:v>42990</c:v>
              </c:pt>
              <c:pt idx="2852">
                <c:v>42991</c:v>
              </c:pt>
              <c:pt idx="2853">
                <c:v>42992</c:v>
              </c:pt>
              <c:pt idx="2854">
                <c:v>42993</c:v>
              </c:pt>
              <c:pt idx="2855">
                <c:v>42996</c:v>
              </c:pt>
              <c:pt idx="2856">
                <c:v>42997</c:v>
              </c:pt>
              <c:pt idx="2857">
                <c:v>42998</c:v>
              </c:pt>
              <c:pt idx="2858">
                <c:v>42999</c:v>
              </c:pt>
              <c:pt idx="2859">
                <c:v>43000</c:v>
              </c:pt>
              <c:pt idx="2860">
                <c:v>43003</c:v>
              </c:pt>
              <c:pt idx="2861">
                <c:v>43004</c:v>
              </c:pt>
              <c:pt idx="2862">
                <c:v>43005</c:v>
              </c:pt>
              <c:pt idx="2863">
                <c:v>43006</c:v>
              </c:pt>
              <c:pt idx="2864">
                <c:v>43007</c:v>
              </c:pt>
              <c:pt idx="2865">
                <c:v>43010</c:v>
              </c:pt>
              <c:pt idx="2866">
                <c:v>43011</c:v>
              </c:pt>
              <c:pt idx="2867">
                <c:v>43012</c:v>
              </c:pt>
              <c:pt idx="2868">
                <c:v>43013</c:v>
              </c:pt>
              <c:pt idx="2869">
                <c:v>43014</c:v>
              </c:pt>
              <c:pt idx="2870">
                <c:v>43017</c:v>
              </c:pt>
              <c:pt idx="2871">
                <c:v>43018</c:v>
              </c:pt>
              <c:pt idx="2872">
                <c:v>43019</c:v>
              </c:pt>
              <c:pt idx="2873">
                <c:v>43020</c:v>
              </c:pt>
              <c:pt idx="2874">
                <c:v>43021</c:v>
              </c:pt>
              <c:pt idx="2875">
                <c:v>43024</c:v>
              </c:pt>
              <c:pt idx="2876">
                <c:v>43025</c:v>
              </c:pt>
              <c:pt idx="2877">
                <c:v>43026</c:v>
              </c:pt>
              <c:pt idx="2878">
                <c:v>43027</c:v>
              </c:pt>
              <c:pt idx="2879">
                <c:v>43028</c:v>
              </c:pt>
              <c:pt idx="2880">
                <c:v>43031</c:v>
              </c:pt>
              <c:pt idx="2881">
                <c:v>43032</c:v>
              </c:pt>
              <c:pt idx="2882">
                <c:v>43033</c:v>
              </c:pt>
              <c:pt idx="2883">
                <c:v>43034</c:v>
              </c:pt>
              <c:pt idx="2884">
                <c:v>43035</c:v>
              </c:pt>
              <c:pt idx="2885">
                <c:v>43038</c:v>
              </c:pt>
              <c:pt idx="2886">
                <c:v>43039</c:v>
              </c:pt>
            </c:numLit>
          </c:cat>
          <c:val>
            <c:numLit>
              <c:formatCode>General</c:formatCode>
              <c:ptCount val="2887"/>
              <c:pt idx="783">
                <c:v>6.37</c:v>
              </c:pt>
              <c:pt idx="784">
                <c:v>6.37</c:v>
              </c:pt>
              <c:pt idx="785">
                <c:v>6.37</c:v>
              </c:pt>
              <c:pt idx="786">
                <c:v>6.37</c:v>
              </c:pt>
              <c:pt idx="787">
                <c:v>6.37</c:v>
              </c:pt>
              <c:pt idx="788">
                <c:v>6.37</c:v>
              </c:pt>
              <c:pt idx="789">
                <c:v>6.37</c:v>
              </c:pt>
              <c:pt idx="790">
                <c:v>6.37</c:v>
              </c:pt>
              <c:pt idx="791">
                <c:v>6.37</c:v>
              </c:pt>
              <c:pt idx="792">
                <c:v>6.37</c:v>
              </c:pt>
              <c:pt idx="793">
                <c:v>6.37</c:v>
              </c:pt>
              <c:pt idx="794">
                <c:v>6.37</c:v>
              </c:pt>
              <c:pt idx="795">
                <c:v>6.37</c:v>
              </c:pt>
              <c:pt idx="796">
                <c:v>6.37</c:v>
              </c:pt>
              <c:pt idx="797">
                <c:v>6.37</c:v>
              </c:pt>
              <c:pt idx="798">
                <c:v>6.37</c:v>
              </c:pt>
              <c:pt idx="799">
                <c:v>6.37</c:v>
              </c:pt>
              <c:pt idx="800">
                <c:v>6.37</c:v>
              </c:pt>
              <c:pt idx="801">
                <c:v>6.37</c:v>
              </c:pt>
              <c:pt idx="802">
                <c:v>6.37</c:v>
              </c:pt>
              <c:pt idx="803">
                <c:v>6.37</c:v>
              </c:pt>
              <c:pt idx="804">
                <c:v>6.37</c:v>
              </c:pt>
              <c:pt idx="805">
                <c:v>6.37</c:v>
              </c:pt>
              <c:pt idx="806">
                <c:v>6.37</c:v>
              </c:pt>
              <c:pt idx="807">
                <c:v>6.37</c:v>
              </c:pt>
              <c:pt idx="808">
                <c:v>6.37</c:v>
              </c:pt>
              <c:pt idx="809">
                <c:v>6.37</c:v>
              </c:pt>
              <c:pt idx="810">
                <c:v>6.37</c:v>
              </c:pt>
              <c:pt idx="811">
                <c:v>6.37</c:v>
              </c:pt>
              <c:pt idx="812">
                <c:v>6.37</c:v>
              </c:pt>
              <c:pt idx="813">
                <c:v>6.37</c:v>
              </c:pt>
              <c:pt idx="814">
                <c:v>6.37</c:v>
              </c:pt>
              <c:pt idx="815">
                <c:v>6.37</c:v>
              </c:pt>
              <c:pt idx="816">
                <c:v>6.37</c:v>
              </c:pt>
              <c:pt idx="817">
                <c:v>6.37</c:v>
              </c:pt>
              <c:pt idx="818">
                <c:v>6.37</c:v>
              </c:pt>
              <c:pt idx="819">
                <c:v>6.37</c:v>
              </c:pt>
              <c:pt idx="820">
                <c:v>6.37</c:v>
              </c:pt>
              <c:pt idx="821">
                <c:v>6.37</c:v>
              </c:pt>
              <c:pt idx="822">
                <c:v>6.37</c:v>
              </c:pt>
              <c:pt idx="823">
                <c:v>6.37</c:v>
              </c:pt>
              <c:pt idx="824">
                <c:v>6.37</c:v>
              </c:pt>
              <c:pt idx="825">
                <c:v>6.37</c:v>
              </c:pt>
              <c:pt idx="826">
                <c:v>6.37</c:v>
              </c:pt>
              <c:pt idx="827">
                <c:v>6.37</c:v>
              </c:pt>
              <c:pt idx="828">
                <c:v>6.37</c:v>
              </c:pt>
              <c:pt idx="829">
                <c:v>6.37</c:v>
              </c:pt>
              <c:pt idx="830">
                <c:v>6.37</c:v>
              </c:pt>
              <c:pt idx="831">
                <c:v>6.37</c:v>
              </c:pt>
              <c:pt idx="832">
                <c:v>6.37</c:v>
              </c:pt>
              <c:pt idx="833">
                <c:v>6.37</c:v>
              </c:pt>
              <c:pt idx="834">
                <c:v>6.37</c:v>
              </c:pt>
              <c:pt idx="835">
                <c:v>6.37</c:v>
              </c:pt>
              <c:pt idx="836">
                <c:v>6.37</c:v>
              </c:pt>
              <c:pt idx="837">
                <c:v>6.37</c:v>
              </c:pt>
              <c:pt idx="838">
                <c:v>6.37</c:v>
              </c:pt>
              <c:pt idx="839">
                <c:v>6.37</c:v>
              </c:pt>
              <c:pt idx="840">
                <c:v>6.37</c:v>
              </c:pt>
              <c:pt idx="841">
                <c:v>6.37</c:v>
              </c:pt>
              <c:pt idx="842">
                <c:v>6.37</c:v>
              </c:pt>
              <c:pt idx="843">
                <c:v>6.37</c:v>
              </c:pt>
              <c:pt idx="844">
                <c:v>6.37</c:v>
              </c:pt>
              <c:pt idx="845">
                <c:v>6.37</c:v>
              </c:pt>
              <c:pt idx="846">
                <c:v>6.37</c:v>
              </c:pt>
              <c:pt idx="847">
                <c:v>6.37</c:v>
              </c:pt>
              <c:pt idx="848">
                <c:v>6.37</c:v>
              </c:pt>
              <c:pt idx="849">
                <c:v>6.37</c:v>
              </c:pt>
              <c:pt idx="850">
                <c:v>6.37</c:v>
              </c:pt>
              <c:pt idx="851">
                <c:v>6.37</c:v>
              </c:pt>
              <c:pt idx="852">
                <c:v>6.37</c:v>
              </c:pt>
              <c:pt idx="853">
                <c:v>6.37</c:v>
              </c:pt>
              <c:pt idx="854">
                <c:v>6.37</c:v>
              </c:pt>
              <c:pt idx="855">
                <c:v>6.37</c:v>
              </c:pt>
              <c:pt idx="856">
                <c:v>6.37</c:v>
              </c:pt>
              <c:pt idx="857">
                <c:v>6.37</c:v>
              </c:pt>
              <c:pt idx="858">
                <c:v>6.37</c:v>
              </c:pt>
              <c:pt idx="859">
                <c:v>6.37</c:v>
              </c:pt>
              <c:pt idx="860">
                <c:v>6.37</c:v>
              </c:pt>
              <c:pt idx="861">
                <c:v>6.37</c:v>
              </c:pt>
              <c:pt idx="862">
                <c:v>6.37</c:v>
              </c:pt>
              <c:pt idx="863">
                <c:v>6.37</c:v>
              </c:pt>
              <c:pt idx="864">
                <c:v>6.37</c:v>
              </c:pt>
              <c:pt idx="865">
                <c:v>6.37</c:v>
              </c:pt>
              <c:pt idx="866">
                <c:v>6.37</c:v>
              </c:pt>
              <c:pt idx="867">
                <c:v>6.37</c:v>
              </c:pt>
              <c:pt idx="868">
                <c:v>6.37</c:v>
              </c:pt>
              <c:pt idx="869">
                <c:v>6.37</c:v>
              </c:pt>
              <c:pt idx="870">
                <c:v>6.37</c:v>
              </c:pt>
              <c:pt idx="871">
                <c:v>6.37</c:v>
              </c:pt>
              <c:pt idx="872">
                <c:v>6.37</c:v>
              </c:pt>
              <c:pt idx="873">
                <c:v>6.37</c:v>
              </c:pt>
              <c:pt idx="874">
                <c:v>6.37</c:v>
              </c:pt>
              <c:pt idx="875">
                <c:v>6.37</c:v>
              </c:pt>
              <c:pt idx="876">
                <c:v>6.37</c:v>
              </c:pt>
              <c:pt idx="877">
                <c:v>6.37</c:v>
              </c:pt>
              <c:pt idx="878">
                <c:v>6.37</c:v>
              </c:pt>
              <c:pt idx="879">
                <c:v>6.37</c:v>
              </c:pt>
              <c:pt idx="880">
                <c:v>6.37</c:v>
              </c:pt>
              <c:pt idx="881">
                <c:v>6.37</c:v>
              </c:pt>
              <c:pt idx="882">
                <c:v>6.37</c:v>
              </c:pt>
              <c:pt idx="883">
                <c:v>6.37</c:v>
              </c:pt>
              <c:pt idx="884">
                <c:v>6.37</c:v>
              </c:pt>
              <c:pt idx="885">
                <c:v>6.37</c:v>
              </c:pt>
              <c:pt idx="886">
                <c:v>6.37</c:v>
              </c:pt>
              <c:pt idx="887">
                <c:v>6.37</c:v>
              </c:pt>
              <c:pt idx="888">
                <c:v>6.37</c:v>
              </c:pt>
              <c:pt idx="889">
                <c:v>6.37</c:v>
              </c:pt>
              <c:pt idx="890">
                <c:v>6.37</c:v>
              </c:pt>
              <c:pt idx="891">
                <c:v>6.37</c:v>
              </c:pt>
              <c:pt idx="892">
                <c:v>6.37</c:v>
              </c:pt>
              <c:pt idx="893">
                <c:v>6.37</c:v>
              </c:pt>
              <c:pt idx="894">
                <c:v>6.37</c:v>
              </c:pt>
              <c:pt idx="895">
                <c:v>6.37</c:v>
              </c:pt>
              <c:pt idx="896">
                <c:v>6.37</c:v>
              </c:pt>
              <c:pt idx="897">
                <c:v>6.37</c:v>
              </c:pt>
              <c:pt idx="898">
                <c:v>6.37</c:v>
              </c:pt>
              <c:pt idx="899">
                <c:v>6.37</c:v>
              </c:pt>
              <c:pt idx="900">
                <c:v>6.37</c:v>
              </c:pt>
              <c:pt idx="901">
                <c:v>6.37</c:v>
              </c:pt>
              <c:pt idx="902">
                <c:v>6.37</c:v>
              </c:pt>
              <c:pt idx="903">
                <c:v>6.37</c:v>
              </c:pt>
              <c:pt idx="904">
                <c:v>6.37</c:v>
              </c:pt>
              <c:pt idx="905">
                <c:v>6.37</c:v>
              </c:pt>
              <c:pt idx="906">
                <c:v>6.37</c:v>
              </c:pt>
              <c:pt idx="907">
                <c:v>6.37</c:v>
              </c:pt>
              <c:pt idx="908">
                <c:v>6.37</c:v>
              </c:pt>
              <c:pt idx="909">
                <c:v>6.37</c:v>
              </c:pt>
              <c:pt idx="910">
                <c:v>6.37</c:v>
              </c:pt>
              <c:pt idx="911">
                <c:v>6.37</c:v>
              </c:pt>
              <c:pt idx="912">
                <c:v>6.37</c:v>
              </c:pt>
              <c:pt idx="913">
                <c:v>6.37</c:v>
              </c:pt>
              <c:pt idx="914">
                <c:v>6.37</c:v>
              </c:pt>
              <c:pt idx="915">
                <c:v>6.37</c:v>
              </c:pt>
              <c:pt idx="916">
                <c:v>6.37</c:v>
              </c:pt>
              <c:pt idx="917">
                <c:v>6.37</c:v>
              </c:pt>
              <c:pt idx="918">
                <c:v>6.37</c:v>
              </c:pt>
              <c:pt idx="919">
                <c:v>6.37</c:v>
              </c:pt>
              <c:pt idx="920">
                <c:v>6.37</c:v>
              </c:pt>
              <c:pt idx="921">
                <c:v>6.37</c:v>
              </c:pt>
              <c:pt idx="922">
                <c:v>6.37</c:v>
              </c:pt>
              <c:pt idx="923">
                <c:v>6.37</c:v>
              </c:pt>
              <c:pt idx="924">
                <c:v>6.37</c:v>
              </c:pt>
              <c:pt idx="925">
                <c:v>6.37</c:v>
              </c:pt>
              <c:pt idx="926">
                <c:v>6.37</c:v>
              </c:pt>
              <c:pt idx="927">
                <c:v>6.37</c:v>
              </c:pt>
              <c:pt idx="928">
                <c:v>6.37</c:v>
              </c:pt>
              <c:pt idx="929">
                <c:v>6.37</c:v>
              </c:pt>
              <c:pt idx="930">
                <c:v>6.37</c:v>
              </c:pt>
              <c:pt idx="931">
                <c:v>6.37</c:v>
              </c:pt>
              <c:pt idx="932">
                <c:v>6.37</c:v>
              </c:pt>
              <c:pt idx="933">
                <c:v>6.37</c:v>
              </c:pt>
              <c:pt idx="934">
                <c:v>6.37</c:v>
              </c:pt>
              <c:pt idx="935">
                <c:v>6.37</c:v>
              </c:pt>
              <c:pt idx="936">
                <c:v>6.37</c:v>
              </c:pt>
              <c:pt idx="937">
                <c:v>6.37</c:v>
              </c:pt>
              <c:pt idx="938">
                <c:v>6.37</c:v>
              </c:pt>
              <c:pt idx="939">
                <c:v>6.37</c:v>
              </c:pt>
              <c:pt idx="940">
                <c:v>6.37</c:v>
              </c:pt>
              <c:pt idx="941">
                <c:v>6.37</c:v>
              </c:pt>
              <c:pt idx="942">
                <c:v>6.37</c:v>
              </c:pt>
              <c:pt idx="943">
                <c:v>6.37</c:v>
              </c:pt>
              <c:pt idx="944">
                <c:v>6.37</c:v>
              </c:pt>
              <c:pt idx="945">
                <c:v>6.37</c:v>
              </c:pt>
              <c:pt idx="946">
                <c:v>6.37</c:v>
              </c:pt>
              <c:pt idx="947">
                <c:v>6.37</c:v>
              </c:pt>
              <c:pt idx="948">
                <c:v>6.37</c:v>
              </c:pt>
              <c:pt idx="949">
                <c:v>6.37</c:v>
              </c:pt>
              <c:pt idx="950">
                <c:v>6.37</c:v>
              </c:pt>
              <c:pt idx="951">
                <c:v>6.37</c:v>
              </c:pt>
              <c:pt idx="952">
                <c:v>6.37</c:v>
              </c:pt>
              <c:pt idx="953">
                <c:v>6.37</c:v>
              </c:pt>
              <c:pt idx="954">
                <c:v>6.37</c:v>
              </c:pt>
              <c:pt idx="955">
                <c:v>6.37</c:v>
              </c:pt>
              <c:pt idx="956">
                <c:v>6.37</c:v>
              </c:pt>
              <c:pt idx="957">
                <c:v>6.37</c:v>
              </c:pt>
              <c:pt idx="958">
                <c:v>6.37</c:v>
              </c:pt>
              <c:pt idx="959">
                <c:v>6.37</c:v>
              </c:pt>
              <c:pt idx="960">
                <c:v>6.37</c:v>
              </c:pt>
              <c:pt idx="961">
                <c:v>6.37</c:v>
              </c:pt>
              <c:pt idx="962">
                <c:v>6.37</c:v>
              </c:pt>
              <c:pt idx="963">
                <c:v>6.37</c:v>
              </c:pt>
              <c:pt idx="964">
                <c:v>6.37</c:v>
              </c:pt>
              <c:pt idx="965">
                <c:v>6.37</c:v>
              </c:pt>
              <c:pt idx="966">
                <c:v>6.37</c:v>
              </c:pt>
              <c:pt idx="967">
                <c:v>6.37</c:v>
              </c:pt>
              <c:pt idx="968">
                <c:v>6.37</c:v>
              </c:pt>
              <c:pt idx="969">
                <c:v>6.37</c:v>
              </c:pt>
              <c:pt idx="970">
                <c:v>6.37</c:v>
              </c:pt>
              <c:pt idx="971">
                <c:v>6.37</c:v>
              </c:pt>
              <c:pt idx="972">
                <c:v>6.37</c:v>
              </c:pt>
              <c:pt idx="973">
                <c:v>6.37</c:v>
              </c:pt>
              <c:pt idx="974">
                <c:v>6.37</c:v>
              </c:pt>
              <c:pt idx="975">
                <c:v>6.37</c:v>
              </c:pt>
              <c:pt idx="976">
                <c:v>6.37</c:v>
              </c:pt>
              <c:pt idx="977">
                <c:v>6.37</c:v>
              </c:pt>
              <c:pt idx="978">
                <c:v>6.37</c:v>
              </c:pt>
              <c:pt idx="979">
                <c:v>6.37</c:v>
              </c:pt>
              <c:pt idx="980">
                <c:v>6.37</c:v>
              </c:pt>
              <c:pt idx="981">
                <c:v>6.37</c:v>
              </c:pt>
              <c:pt idx="982">
                <c:v>6.37</c:v>
              </c:pt>
              <c:pt idx="983">
                <c:v>6.37</c:v>
              </c:pt>
              <c:pt idx="984">
                <c:v>6.37</c:v>
              </c:pt>
              <c:pt idx="985">
                <c:v>6.37</c:v>
              </c:pt>
              <c:pt idx="986">
                <c:v>6.37</c:v>
              </c:pt>
              <c:pt idx="987">
                <c:v>6.37</c:v>
              </c:pt>
              <c:pt idx="988">
                <c:v>6.37</c:v>
              </c:pt>
              <c:pt idx="989">
                <c:v>6.37</c:v>
              </c:pt>
              <c:pt idx="990">
                <c:v>6.37</c:v>
              </c:pt>
              <c:pt idx="991">
                <c:v>6.37</c:v>
              </c:pt>
              <c:pt idx="992">
                <c:v>6.37</c:v>
              </c:pt>
              <c:pt idx="993">
                <c:v>6.37</c:v>
              </c:pt>
              <c:pt idx="994">
                <c:v>6.37</c:v>
              </c:pt>
              <c:pt idx="995">
                <c:v>6.37</c:v>
              </c:pt>
              <c:pt idx="996">
                <c:v>6.37</c:v>
              </c:pt>
              <c:pt idx="997">
                <c:v>6.37</c:v>
              </c:pt>
              <c:pt idx="998">
                <c:v>6.37</c:v>
              </c:pt>
              <c:pt idx="999">
                <c:v>6.37</c:v>
              </c:pt>
              <c:pt idx="1000">
                <c:v>6.37</c:v>
              </c:pt>
              <c:pt idx="1001">
                <c:v>6.37</c:v>
              </c:pt>
              <c:pt idx="1002">
                <c:v>6.37</c:v>
              </c:pt>
              <c:pt idx="1003">
                <c:v>6.37</c:v>
              </c:pt>
              <c:pt idx="1004">
                <c:v>6.37</c:v>
              </c:pt>
              <c:pt idx="1005">
                <c:v>6.37</c:v>
              </c:pt>
              <c:pt idx="1006">
                <c:v>6.37</c:v>
              </c:pt>
              <c:pt idx="1007">
                <c:v>6.37</c:v>
              </c:pt>
              <c:pt idx="1008">
                <c:v>6.37</c:v>
              </c:pt>
              <c:pt idx="1009">
                <c:v>6.37</c:v>
              </c:pt>
              <c:pt idx="1010">
                <c:v>6.37</c:v>
              </c:pt>
              <c:pt idx="1011">
                <c:v>6.37</c:v>
              </c:pt>
              <c:pt idx="1012">
                <c:v>6.37</c:v>
              </c:pt>
              <c:pt idx="1013">
                <c:v>6.37</c:v>
              </c:pt>
              <c:pt idx="1014">
                <c:v>6.37</c:v>
              </c:pt>
              <c:pt idx="1015">
                <c:v>6.37</c:v>
              </c:pt>
              <c:pt idx="1016">
                <c:v>6.37</c:v>
              </c:pt>
              <c:pt idx="1017">
                <c:v>6.37</c:v>
              </c:pt>
              <c:pt idx="1018">
                <c:v>6.37</c:v>
              </c:pt>
              <c:pt idx="1019">
                <c:v>6.37</c:v>
              </c:pt>
              <c:pt idx="1020">
                <c:v>6.37</c:v>
              </c:pt>
              <c:pt idx="1021">
                <c:v>6.37</c:v>
              </c:pt>
              <c:pt idx="1022">
                <c:v>6.37</c:v>
              </c:pt>
              <c:pt idx="1023">
                <c:v>6.37</c:v>
              </c:pt>
              <c:pt idx="1024">
                <c:v>6.37</c:v>
              </c:pt>
              <c:pt idx="1025">
                <c:v>6.37</c:v>
              </c:pt>
              <c:pt idx="1026">
                <c:v>6.37</c:v>
              </c:pt>
              <c:pt idx="1027">
                <c:v>6.37</c:v>
              </c:pt>
              <c:pt idx="1028">
                <c:v>6.37</c:v>
              </c:pt>
              <c:pt idx="1029">
                <c:v>6.37</c:v>
              </c:pt>
              <c:pt idx="1030">
                <c:v>6.37</c:v>
              </c:pt>
              <c:pt idx="1031">
                <c:v>6.37</c:v>
              </c:pt>
              <c:pt idx="1032">
                <c:v>6.37</c:v>
              </c:pt>
              <c:pt idx="1033">
                <c:v>6.37</c:v>
              </c:pt>
              <c:pt idx="1034">
                <c:v>6.37</c:v>
              </c:pt>
              <c:pt idx="1035">
                <c:v>6.37</c:v>
              </c:pt>
              <c:pt idx="1036">
                <c:v>6.37</c:v>
              </c:pt>
              <c:pt idx="1037">
                <c:v>6.37</c:v>
              </c:pt>
              <c:pt idx="1038">
                <c:v>6.37</c:v>
              </c:pt>
              <c:pt idx="1039">
                <c:v>6.37</c:v>
              </c:pt>
              <c:pt idx="1040">
                <c:v>6.37</c:v>
              </c:pt>
              <c:pt idx="1041">
                <c:v>6.37</c:v>
              </c:pt>
              <c:pt idx="1042">
                <c:v>6.37</c:v>
              </c:pt>
              <c:pt idx="1043">
                <c:v>6.37</c:v>
              </c:pt>
              <c:pt idx="1044">
                <c:v>6.37</c:v>
              </c:pt>
              <c:pt idx="1045">
                <c:v>6.37</c:v>
              </c:pt>
              <c:pt idx="1046">
                <c:v>6.37</c:v>
              </c:pt>
              <c:pt idx="1047">
                <c:v>6.37</c:v>
              </c:pt>
              <c:pt idx="1048">
                <c:v>6.37</c:v>
              </c:pt>
              <c:pt idx="1049">
                <c:v>6.37</c:v>
              </c:pt>
              <c:pt idx="1050">
                <c:v>6.37</c:v>
              </c:pt>
              <c:pt idx="1051">
                <c:v>6.37</c:v>
              </c:pt>
              <c:pt idx="1052">
                <c:v>6.37</c:v>
              </c:pt>
              <c:pt idx="1053">
                <c:v>6.37</c:v>
              </c:pt>
              <c:pt idx="1054">
                <c:v>6.37</c:v>
              </c:pt>
              <c:pt idx="1055">
                <c:v>6.37</c:v>
              </c:pt>
              <c:pt idx="1056">
                <c:v>6.37</c:v>
              </c:pt>
              <c:pt idx="1057">
                <c:v>6.37</c:v>
              </c:pt>
              <c:pt idx="1058">
                <c:v>6.37</c:v>
              </c:pt>
              <c:pt idx="1059">
                <c:v>6.37</c:v>
              </c:pt>
              <c:pt idx="1060">
                <c:v>6.37</c:v>
              </c:pt>
              <c:pt idx="1061">
                <c:v>6.37</c:v>
              </c:pt>
              <c:pt idx="1062">
                <c:v>6.37</c:v>
              </c:pt>
              <c:pt idx="1063">
                <c:v>6.37</c:v>
              </c:pt>
              <c:pt idx="1064">
                <c:v>6.37</c:v>
              </c:pt>
              <c:pt idx="1065">
                <c:v>6.37</c:v>
              </c:pt>
              <c:pt idx="1066">
                <c:v>6.37</c:v>
              </c:pt>
              <c:pt idx="1067">
                <c:v>6.37</c:v>
              </c:pt>
              <c:pt idx="1068">
                <c:v>6.37</c:v>
              </c:pt>
              <c:pt idx="1069">
                <c:v>6.37</c:v>
              </c:pt>
              <c:pt idx="1070">
                <c:v>6.37</c:v>
              </c:pt>
              <c:pt idx="1071">
                <c:v>6.37</c:v>
              </c:pt>
              <c:pt idx="1072">
                <c:v>6.37</c:v>
              </c:pt>
              <c:pt idx="1073">
                <c:v>6.37</c:v>
              </c:pt>
              <c:pt idx="1074">
                <c:v>6.37</c:v>
              </c:pt>
              <c:pt idx="1075">
                <c:v>6.37</c:v>
              </c:pt>
              <c:pt idx="1076">
                <c:v>6.37</c:v>
              </c:pt>
              <c:pt idx="1077">
                <c:v>6.37</c:v>
              </c:pt>
              <c:pt idx="1078">
                <c:v>6.37</c:v>
              </c:pt>
              <c:pt idx="1079">
                <c:v>6.37</c:v>
              </c:pt>
              <c:pt idx="1080">
                <c:v>6.37</c:v>
              </c:pt>
              <c:pt idx="1081">
                <c:v>6.37</c:v>
              </c:pt>
              <c:pt idx="1082">
                <c:v>6.37</c:v>
              </c:pt>
              <c:pt idx="1083">
                <c:v>6.37</c:v>
              </c:pt>
              <c:pt idx="1084">
                <c:v>6.37</c:v>
              </c:pt>
              <c:pt idx="1085">
                <c:v>6.37</c:v>
              </c:pt>
              <c:pt idx="1086">
                <c:v>6.37</c:v>
              </c:pt>
              <c:pt idx="1087">
                <c:v>6.37</c:v>
              </c:pt>
              <c:pt idx="1088">
                <c:v>6.37</c:v>
              </c:pt>
              <c:pt idx="1089">
                <c:v>6.37</c:v>
              </c:pt>
              <c:pt idx="1090">
                <c:v>6.37</c:v>
              </c:pt>
              <c:pt idx="1091">
                <c:v>6.37</c:v>
              </c:pt>
              <c:pt idx="1092">
                <c:v>6.37</c:v>
              </c:pt>
              <c:pt idx="1093">
                <c:v>6.37</c:v>
              </c:pt>
              <c:pt idx="1094">
                <c:v>6.37</c:v>
              </c:pt>
              <c:pt idx="1095">
                <c:v>6.37</c:v>
              </c:pt>
              <c:pt idx="1096">
                <c:v>6.37</c:v>
              </c:pt>
              <c:pt idx="1097">
                <c:v>6.37</c:v>
              </c:pt>
              <c:pt idx="1098">
                <c:v>6.37</c:v>
              </c:pt>
              <c:pt idx="1099">
                <c:v>6.37</c:v>
              </c:pt>
              <c:pt idx="1100">
                <c:v>6.37</c:v>
              </c:pt>
              <c:pt idx="1101">
                <c:v>6.37</c:v>
              </c:pt>
              <c:pt idx="1102">
                <c:v>6.37</c:v>
              </c:pt>
              <c:pt idx="1103">
                <c:v>6.37</c:v>
              </c:pt>
              <c:pt idx="1104">
                <c:v>6.37</c:v>
              </c:pt>
              <c:pt idx="1105">
                <c:v>6.37</c:v>
              </c:pt>
              <c:pt idx="1106">
                <c:v>6.37</c:v>
              </c:pt>
              <c:pt idx="1107">
                <c:v>6.37</c:v>
              </c:pt>
              <c:pt idx="1108">
                <c:v>6.37</c:v>
              </c:pt>
              <c:pt idx="1109">
                <c:v>6.37</c:v>
              </c:pt>
              <c:pt idx="1110">
                <c:v>6.37</c:v>
              </c:pt>
              <c:pt idx="1111">
                <c:v>6.37</c:v>
              </c:pt>
              <c:pt idx="1112">
                <c:v>6.37</c:v>
              </c:pt>
              <c:pt idx="1113">
                <c:v>6.37</c:v>
              </c:pt>
              <c:pt idx="1114">
                <c:v>6.37</c:v>
              </c:pt>
              <c:pt idx="1115">
                <c:v>6.37</c:v>
              </c:pt>
              <c:pt idx="1116">
                <c:v>6.37</c:v>
              </c:pt>
              <c:pt idx="1117">
                <c:v>6.37</c:v>
              </c:pt>
              <c:pt idx="1118">
                <c:v>6.37</c:v>
              </c:pt>
              <c:pt idx="1119">
                <c:v>6.37</c:v>
              </c:pt>
              <c:pt idx="1120">
                <c:v>6.37</c:v>
              </c:pt>
              <c:pt idx="1121">
                <c:v>6.37</c:v>
              </c:pt>
              <c:pt idx="1122">
                <c:v>6.37</c:v>
              </c:pt>
              <c:pt idx="1123">
                <c:v>6.37</c:v>
              </c:pt>
              <c:pt idx="1124">
                <c:v>6.37</c:v>
              </c:pt>
              <c:pt idx="1125">
                <c:v>6.37</c:v>
              </c:pt>
              <c:pt idx="1126">
                <c:v>6.37</c:v>
              </c:pt>
              <c:pt idx="1127">
                <c:v>6.37</c:v>
              </c:pt>
              <c:pt idx="1128">
                <c:v>6.37</c:v>
              </c:pt>
              <c:pt idx="1129">
                <c:v>6.37</c:v>
              </c:pt>
              <c:pt idx="1130">
                <c:v>6.37</c:v>
              </c:pt>
              <c:pt idx="1131">
                <c:v>6.37</c:v>
              </c:pt>
              <c:pt idx="1132">
                <c:v>6.37</c:v>
              </c:pt>
              <c:pt idx="1133">
                <c:v>6.37</c:v>
              </c:pt>
              <c:pt idx="1134">
                <c:v>6.37</c:v>
              </c:pt>
              <c:pt idx="1135">
                <c:v>6.37</c:v>
              </c:pt>
              <c:pt idx="1136">
                <c:v>6.37</c:v>
              </c:pt>
              <c:pt idx="1137">
                <c:v>6.37</c:v>
              </c:pt>
              <c:pt idx="1138">
                <c:v>6.37</c:v>
              </c:pt>
              <c:pt idx="1139">
                <c:v>6.37</c:v>
              </c:pt>
              <c:pt idx="1140">
                <c:v>6.37</c:v>
              </c:pt>
              <c:pt idx="1141">
                <c:v>6.37</c:v>
              </c:pt>
              <c:pt idx="1142">
                <c:v>6.37</c:v>
              </c:pt>
              <c:pt idx="1143">
                <c:v>6.37</c:v>
              </c:pt>
              <c:pt idx="1144">
                <c:v>6.37</c:v>
              </c:pt>
              <c:pt idx="1145">
                <c:v>6.37</c:v>
              </c:pt>
              <c:pt idx="1146">
                <c:v>6.37</c:v>
              </c:pt>
              <c:pt idx="1147">
                <c:v>6.37</c:v>
              </c:pt>
              <c:pt idx="1148">
                <c:v>6.37</c:v>
              </c:pt>
              <c:pt idx="1149">
                <c:v>6.37</c:v>
              </c:pt>
              <c:pt idx="1150">
                <c:v>6.37</c:v>
              </c:pt>
              <c:pt idx="1151">
                <c:v>6.37</c:v>
              </c:pt>
              <c:pt idx="1152">
                <c:v>6.37</c:v>
              </c:pt>
              <c:pt idx="1153">
                <c:v>6.37</c:v>
              </c:pt>
              <c:pt idx="1154">
                <c:v>6.37</c:v>
              </c:pt>
              <c:pt idx="1155">
                <c:v>6.37</c:v>
              </c:pt>
              <c:pt idx="1156">
                <c:v>6.37</c:v>
              </c:pt>
              <c:pt idx="1157">
                <c:v>6.37</c:v>
              </c:pt>
              <c:pt idx="1158">
                <c:v>6.37</c:v>
              </c:pt>
              <c:pt idx="1159">
                <c:v>6.37</c:v>
              </c:pt>
              <c:pt idx="1160">
                <c:v>6.37</c:v>
              </c:pt>
              <c:pt idx="1161">
                <c:v>6.37</c:v>
              </c:pt>
              <c:pt idx="1162">
                <c:v>6.37</c:v>
              </c:pt>
              <c:pt idx="1163">
                <c:v>6.37</c:v>
              </c:pt>
              <c:pt idx="1164">
                <c:v>6.37</c:v>
              </c:pt>
              <c:pt idx="1165">
                <c:v>6.37</c:v>
              </c:pt>
              <c:pt idx="1166">
                <c:v>6.37</c:v>
              </c:pt>
              <c:pt idx="1167">
                <c:v>6.37</c:v>
              </c:pt>
              <c:pt idx="1168">
                <c:v>6.37</c:v>
              </c:pt>
              <c:pt idx="1169">
                <c:v>6.37</c:v>
              </c:pt>
              <c:pt idx="1170">
                <c:v>6.37</c:v>
              </c:pt>
              <c:pt idx="1171">
                <c:v>6.37</c:v>
              </c:pt>
              <c:pt idx="1172">
                <c:v>6.37</c:v>
              </c:pt>
              <c:pt idx="1173">
                <c:v>6.37</c:v>
              </c:pt>
              <c:pt idx="1174">
                <c:v>6.37</c:v>
              </c:pt>
              <c:pt idx="1175">
                <c:v>6.37</c:v>
              </c:pt>
              <c:pt idx="1176">
                <c:v>6.37</c:v>
              </c:pt>
              <c:pt idx="1177">
                <c:v>6.37</c:v>
              </c:pt>
              <c:pt idx="1178">
                <c:v>6.37</c:v>
              </c:pt>
              <c:pt idx="1179">
                <c:v>6.37</c:v>
              </c:pt>
              <c:pt idx="1180">
                <c:v>6.37</c:v>
              </c:pt>
              <c:pt idx="1181">
                <c:v>6.37</c:v>
              </c:pt>
              <c:pt idx="1182">
                <c:v>6.37</c:v>
              </c:pt>
              <c:pt idx="1183">
                <c:v>6.37</c:v>
              </c:pt>
              <c:pt idx="1184">
                <c:v>6.37</c:v>
              </c:pt>
              <c:pt idx="1185">
                <c:v>6.37</c:v>
              </c:pt>
              <c:pt idx="1186">
                <c:v>6.37</c:v>
              </c:pt>
              <c:pt idx="1187">
                <c:v>6.37</c:v>
              </c:pt>
              <c:pt idx="1188">
                <c:v>6.37</c:v>
              </c:pt>
              <c:pt idx="1189">
                <c:v>6.37</c:v>
              </c:pt>
              <c:pt idx="1190">
                <c:v>6.37</c:v>
              </c:pt>
              <c:pt idx="1191">
                <c:v>6.37</c:v>
              </c:pt>
              <c:pt idx="1192">
                <c:v>6.37</c:v>
              </c:pt>
              <c:pt idx="1193">
                <c:v>6.37</c:v>
              </c:pt>
              <c:pt idx="1194">
                <c:v>6.37</c:v>
              </c:pt>
              <c:pt idx="1195">
                <c:v>6.37</c:v>
              </c:pt>
              <c:pt idx="1196">
                <c:v>6.37</c:v>
              </c:pt>
              <c:pt idx="1197">
                <c:v>6.37</c:v>
              </c:pt>
              <c:pt idx="1198">
                <c:v>6.37</c:v>
              </c:pt>
              <c:pt idx="1199">
                <c:v>6.37</c:v>
              </c:pt>
              <c:pt idx="1200">
                <c:v>6.37</c:v>
              </c:pt>
              <c:pt idx="1201">
                <c:v>6.37</c:v>
              </c:pt>
              <c:pt idx="1202">
                <c:v>6.37</c:v>
              </c:pt>
              <c:pt idx="1203">
                <c:v>6.37</c:v>
              </c:pt>
              <c:pt idx="1204">
                <c:v>6.37</c:v>
              </c:pt>
              <c:pt idx="1205">
                <c:v>6.37</c:v>
              </c:pt>
              <c:pt idx="1206">
                <c:v>6.37</c:v>
              </c:pt>
              <c:pt idx="1207">
                <c:v>6.37</c:v>
              </c:pt>
              <c:pt idx="1208">
                <c:v>6.37</c:v>
              </c:pt>
              <c:pt idx="1209">
                <c:v>6.37</c:v>
              </c:pt>
              <c:pt idx="1210">
                <c:v>6.37</c:v>
              </c:pt>
              <c:pt idx="1211">
                <c:v>6.37</c:v>
              </c:pt>
              <c:pt idx="1212">
                <c:v>6.37</c:v>
              </c:pt>
              <c:pt idx="1213">
                <c:v>6.37</c:v>
              </c:pt>
              <c:pt idx="1214">
                <c:v>6.37</c:v>
              </c:pt>
              <c:pt idx="1215">
                <c:v>6.37</c:v>
              </c:pt>
              <c:pt idx="1216">
                <c:v>6.37</c:v>
              </c:pt>
              <c:pt idx="1217">
                <c:v>6.37</c:v>
              </c:pt>
              <c:pt idx="1218">
                <c:v>6.37</c:v>
              </c:pt>
              <c:pt idx="1219">
                <c:v>6.37</c:v>
              </c:pt>
              <c:pt idx="1220">
                <c:v>6.37</c:v>
              </c:pt>
              <c:pt idx="1221">
                <c:v>6.37</c:v>
              </c:pt>
              <c:pt idx="1222">
                <c:v>6.37</c:v>
              </c:pt>
              <c:pt idx="1223">
                <c:v>6.37</c:v>
              </c:pt>
              <c:pt idx="1224">
                <c:v>6.37</c:v>
              </c:pt>
              <c:pt idx="1225">
                <c:v>6.37</c:v>
              </c:pt>
              <c:pt idx="1226">
                <c:v>6.37</c:v>
              </c:pt>
              <c:pt idx="1227">
                <c:v>6.37</c:v>
              </c:pt>
              <c:pt idx="1228">
                <c:v>6.37</c:v>
              </c:pt>
              <c:pt idx="1229">
                <c:v>6.37</c:v>
              </c:pt>
              <c:pt idx="1230">
                <c:v>6.37</c:v>
              </c:pt>
              <c:pt idx="1231">
                <c:v>6.37</c:v>
              </c:pt>
              <c:pt idx="1232">
                <c:v>6.37</c:v>
              </c:pt>
              <c:pt idx="1233">
                <c:v>6.37</c:v>
              </c:pt>
              <c:pt idx="1234">
                <c:v>6.37</c:v>
              </c:pt>
              <c:pt idx="1235">
                <c:v>6.37</c:v>
              </c:pt>
              <c:pt idx="1236">
                <c:v>6.37</c:v>
              </c:pt>
              <c:pt idx="1237">
                <c:v>6.37</c:v>
              </c:pt>
              <c:pt idx="1238">
                <c:v>6.37</c:v>
              </c:pt>
              <c:pt idx="1239">
                <c:v>6.37</c:v>
              </c:pt>
              <c:pt idx="1240">
                <c:v>6.37</c:v>
              </c:pt>
              <c:pt idx="1241">
                <c:v>6.37</c:v>
              </c:pt>
              <c:pt idx="1242">
                <c:v>6.37</c:v>
              </c:pt>
              <c:pt idx="1243">
                <c:v>6.37</c:v>
              </c:pt>
              <c:pt idx="1244">
                <c:v>6.37</c:v>
              </c:pt>
              <c:pt idx="1245">
                <c:v>6.37</c:v>
              </c:pt>
              <c:pt idx="1246">
                <c:v>6.37</c:v>
              </c:pt>
              <c:pt idx="1247">
                <c:v>6.37</c:v>
              </c:pt>
              <c:pt idx="1248">
                <c:v>6.37</c:v>
              </c:pt>
              <c:pt idx="1249">
                <c:v>6.37</c:v>
              </c:pt>
              <c:pt idx="1250">
                <c:v>6.37</c:v>
              </c:pt>
              <c:pt idx="1251">
                <c:v>6.37</c:v>
              </c:pt>
              <c:pt idx="1252">
                <c:v>6.37</c:v>
              </c:pt>
              <c:pt idx="1253">
                <c:v>6.37</c:v>
              </c:pt>
              <c:pt idx="1254">
                <c:v>6.37</c:v>
              </c:pt>
              <c:pt idx="1255">
                <c:v>6.37</c:v>
              </c:pt>
              <c:pt idx="1256">
                <c:v>6.37</c:v>
              </c:pt>
              <c:pt idx="1257">
                <c:v>6.37</c:v>
              </c:pt>
              <c:pt idx="1258">
                <c:v>6.37</c:v>
              </c:pt>
              <c:pt idx="1259">
                <c:v>6.37</c:v>
              </c:pt>
              <c:pt idx="1260">
                <c:v>6.37</c:v>
              </c:pt>
              <c:pt idx="1261">
                <c:v>6.37</c:v>
              </c:pt>
              <c:pt idx="1262">
                <c:v>6.37</c:v>
              </c:pt>
              <c:pt idx="1263">
                <c:v>6.37</c:v>
              </c:pt>
              <c:pt idx="1264">
                <c:v>6.37</c:v>
              </c:pt>
              <c:pt idx="1265">
                <c:v>6.37</c:v>
              </c:pt>
              <c:pt idx="1266">
                <c:v>6.37</c:v>
              </c:pt>
              <c:pt idx="1267">
                <c:v>6.37</c:v>
              </c:pt>
              <c:pt idx="1268">
                <c:v>6.37</c:v>
              </c:pt>
              <c:pt idx="1269">
                <c:v>6.37</c:v>
              </c:pt>
              <c:pt idx="1270">
                <c:v>6.37</c:v>
              </c:pt>
              <c:pt idx="1271">
                <c:v>6.37</c:v>
              </c:pt>
              <c:pt idx="1272">
                <c:v>6.37</c:v>
              </c:pt>
              <c:pt idx="1273">
                <c:v>6.37</c:v>
              </c:pt>
              <c:pt idx="1274">
                <c:v>6.37</c:v>
              </c:pt>
              <c:pt idx="1275">
                <c:v>6.37</c:v>
              </c:pt>
              <c:pt idx="1276">
                <c:v>6.37</c:v>
              </c:pt>
              <c:pt idx="1277">
                <c:v>6.37</c:v>
              </c:pt>
              <c:pt idx="1278">
                <c:v>6.37</c:v>
              </c:pt>
              <c:pt idx="1279">
                <c:v>6.37</c:v>
              </c:pt>
              <c:pt idx="1280">
                <c:v>6.37</c:v>
              </c:pt>
              <c:pt idx="1281">
                <c:v>6.37</c:v>
              </c:pt>
              <c:pt idx="1282">
                <c:v>6.37</c:v>
              </c:pt>
              <c:pt idx="1283">
                <c:v>6.37</c:v>
              </c:pt>
              <c:pt idx="1284">
                <c:v>6.37</c:v>
              </c:pt>
              <c:pt idx="1285">
                <c:v>6.37</c:v>
              </c:pt>
              <c:pt idx="1286">
                <c:v>6.37</c:v>
              </c:pt>
              <c:pt idx="1287">
                <c:v>6.37</c:v>
              </c:pt>
              <c:pt idx="1288">
                <c:v>6.37</c:v>
              </c:pt>
              <c:pt idx="1289">
                <c:v>6.37</c:v>
              </c:pt>
              <c:pt idx="1290">
                <c:v>6.37</c:v>
              </c:pt>
              <c:pt idx="1291">
                <c:v>6.37</c:v>
              </c:pt>
              <c:pt idx="1292">
                <c:v>6.37</c:v>
              </c:pt>
              <c:pt idx="1293">
                <c:v>6.37</c:v>
              </c:pt>
              <c:pt idx="1294">
                <c:v>6.37</c:v>
              </c:pt>
              <c:pt idx="1295">
                <c:v>6.37</c:v>
              </c:pt>
              <c:pt idx="1296">
                <c:v>6.37</c:v>
              </c:pt>
              <c:pt idx="1297">
                <c:v>6.37</c:v>
              </c:pt>
              <c:pt idx="1298">
                <c:v>6.37</c:v>
              </c:pt>
              <c:pt idx="1299">
                <c:v>6.37</c:v>
              </c:pt>
              <c:pt idx="1300">
                <c:v>6.37</c:v>
              </c:pt>
              <c:pt idx="1301">
                <c:v>6.37</c:v>
              </c:pt>
              <c:pt idx="1302">
                <c:v>6.37</c:v>
              </c:pt>
              <c:pt idx="1303">
                <c:v>6.37</c:v>
              </c:pt>
              <c:pt idx="1304">
                <c:v>6.37</c:v>
              </c:pt>
              <c:pt idx="1305">
                <c:v>6.37</c:v>
              </c:pt>
              <c:pt idx="1306">
                <c:v>6.37</c:v>
              </c:pt>
              <c:pt idx="1307">
                <c:v>6.37</c:v>
              </c:pt>
              <c:pt idx="1308">
                <c:v>6.37</c:v>
              </c:pt>
              <c:pt idx="1309">
                <c:v>6.37</c:v>
              </c:pt>
              <c:pt idx="1310">
                <c:v>6.37</c:v>
              </c:pt>
              <c:pt idx="1311">
                <c:v>6.37</c:v>
              </c:pt>
              <c:pt idx="1312">
                <c:v>6.37</c:v>
              </c:pt>
              <c:pt idx="1313">
                <c:v>6.37</c:v>
              </c:pt>
              <c:pt idx="1314">
                <c:v>6.37</c:v>
              </c:pt>
              <c:pt idx="1315">
                <c:v>6.37</c:v>
              </c:pt>
              <c:pt idx="1316">
                <c:v>6.37</c:v>
              </c:pt>
              <c:pt idx="1317">
                <c:v>6.37</c:v>
              </c:pt>
              <c:pt idx="1318">
                <c:v>6.37</c:v>
              </c:pt>
              <c:pt idx="1319">
                <c:v>6.37</c:v>
              </c:pt>
              <c:pt idx="1320">
                <c:v>6.37</c:v>
              </c:pt>
              <c:pt idx="1321">
                <c:v>6.37</c:v>
              </c:pt>
              <c:pt idx="1322">
                <c:v>6.37</c:v>
              </c:pt>
              <c:pt idx="1323">
                <c:v>6.37</c:v>
              </c:pt>
              <c:pt idx="1324">
                <c:v>6.37</c:v>
              </c:pt>
              <c:pt idx="1325">
                <c:v>6.37</c:v>
              </c:pt>
              <c:pt idx="1326">
                <c:v>6.37</c:v>
              </c:pt>
              <c:pt idx="1327">
                <c:v>6.37</c:v>
              </c:pt>
              <c:pt idx="1328">
                <c:v>6.37</c:v>
              </c:pt>
              <c:pt idx="1329">
                <c:v>6.37</c:v>
              </c:pt>
              <c:pt idx="1330">
                <c:v>6.37</c:v>
              </c:pt>
              <c:pt idx="1331">
                <c:v>6.37</c:v>
              </c:pt>
              <c:pt idx="1332">
                <c:v>6.37</c:v>
              </c:pt>
              <c:pt idx="1333">
                <c:v>6.37</c:v>
              </c:pt>
              <c:pt idx="1334">
                <c:v>6.37</c:v>
              </c:pt>
              <c:pt idx="1335">
                <c:v>6.37</c:v>
              </c:pt>
              <c:pt idx="1336">
                <c:v>6.37</c:v>
              </c:pt>
              <c:pt idx="1337">
                <c:v>6.37</c:v>
              </c:pt>
              <c:pt idx="1338">
                <c:v>6.37</c:v>
              </c:pt>
              <c:pt idx="1339">
                <c:v>6.37</c:v>
              </c:pt>
              <c:pt idx="1340">
                <c:v>6.37</c:v>
              </c:pt>
              <c:pt idx="1341">
                <c:v>6.37</c:v>
              </c:pt>
              <c:pt idx="1342">
                <c:v>6.37</c:v>
              </c:pt>
              <c:pt idx="1343">
                <c:v>6.37</c:v>
              </c:pt>
              <c:pt idx="1344">
                <c:v>6.37</c:v>
              </c:pt>
              <c:pt idx="1345">
                <c:v>6.37</c:v>
              </c:pt>
              <c:pt idx="1346">
                <c:v>6.37</c:v>
              </c:pt>
              <c:pt idx="1347">
                <c:v>6.37</c:v>
              </c:pt>
              <c:pt idx="1348">
                <c:v>6.37</c:v>
              </c:pt>
              <c:pt idx="1349">
                <c:v>6.37</c:v>
              </c:pt>
              <c:pt idx="1350">
                <c:v>6.37</c:v>
              </c:pt>
              <c:pt idx="1351">
                <c:v>6.37</c:v>
              </c:pt>
              <c:pt idx="1352">
                <c:v>6.37</c:v>
              </c:pt>
              <c:pt idx="1353">
                <c:v>6.37</c:v>
              </c:pt>
              <c:pt idx="1354">
                <c:v>6.37</c:v>
              </c:pt>
              <c:pt idx="1355">
                <c:v>6.37</c:v>
              </c:pt>
              <c:pt idx="1356">
                <c:v>6.37</c:v>
              </c:pt>
              <c:pt idx="1357">
                <c:v>6.37</c:v>
              </c:pt>
              <c:pt idx="1358">
                <c:v>6.37</c:v>
              </c:pt>
              <c:pt idx="1359">
                <c:v>6.37</c:v>
              </c:pt>
              <c:pt idx="1360">
                <c:v>6.37</c:v>
              </c:pt>
              <c:pt idx="1361">
                <c:v>6.37</c:v>
              </c:pt>
              <c:pt idx="1362">
                <c:v>6.37</c:v>
              </c:pt>
              <c:pt idx="1363">
                <c:v>6.37</c:v>
              </c:pt>
              <c:pt idx="1364">
                <c:v>6.37</c:v>
              </c:pt>
              <c:pt idx="1365">
                <c:v>6.37</c:v>
              </c:pt>
              <c:pt idx="1366">
                <c:v>6.37</c:v>
              </c:pt>
              <c:pt idx="1367">
                <c:v>6.37</c:v>
              </c:pt>
              <c:pt idx="1368">
                <c:v>6.37</c:v>
              </c:pt>
              <c:pt idx="1369">
                <c:v>6.37</c:v>
              </c:pt>
              <c:pt idx="1370">
                <c:v>6.37</c:v>
              </c:pt>
              <c:pt idx="1371">
                <c:v>6.37</c:v>
              </c:pt>
              <c:pt idx="1372">
                <c:v>6.37</c:v>
              </c:pt>
              <c:pt idx="1373">
                <c:v>6.37</c:v>
              </c:pt>
              <c:pt idx="1374">
                <c:v>6.37</c:v>
              </c:pt>
              <c:pt idx="1375">
                <c:v>6.37</c:v>
              </c:pt>
              <c:pt idx="1376">
                <c:v>6.37</c:v>
              </c:pt>
              <c:pt idx="1377">
                <c:v>6.37</c:v>
              </c:pt>
              <c:pt idx="1378">
                <c:v>6.37</c:v>
              </c:pt>
              <c:pt idx="1379">
                <c:v>6.37</c:v>
              </c:pt>
              <c:pt idx="1380">
                <c:v>6.37</c:v>
              </c:pt>
              <c:pt idx="1381">
                <c:v>6.37</c:v>
              </c:pt>
              <c:pt idx="1382">
                <c:v>6.37</c:v>
              </c:pt>
              <c:pt idx="1383">
                <c:v>6.37</c:v>
              </c:pt>
              <c:pt idx="1384">
                <c:v>6.37</c:v>
              </c:pt>
              <c:pt idx="1385">
                <c:v>6.37</c:v>
              </c:pt>
              <c:pt idx="1386">
                <c:v>6.37</c:v>
              </c:pt>
              <c:pt idx="1387">
                <c:v>6.37</c:v>
              </c:pt>
              <c:pt idx="1388">
                <c:v>6.37</c:v>
              </c:pt>
              <c:pt idx="1389">
                <c:v>6.37</c:v>
              </c:pt>
              <c:pt idx="1390">
                <c:v>6.37</c:v>
              </c:pt>
              <c:pt idx="1391">
                <c:v>6.37</c:v>
              </c:pt>
              <c:pt idx="1392">
                <c:v>6.37</c:v>
              </c:pt>
              <c:pt idx="1393">
                <c:v>6.37</c:v>
              </c:pt>
              <c:pt idx="1394">
                <c:v>6.37</c:v>
              </c:pt>
              <c:pt idx="1395">
                <c:v>6.37</c:v>
              </c:pt>
              <c:pt idx="1396">
                <c:v>6.37</c:v>
              </c:pt>
              <c:pt idx="1397">
                <c:v>6.37</c:v>
              </c:pt>
              <c:pt idx="1398">
                <c:v>6.37</c:v>
              </c:pt>
              <c:pt idx="1399">
                <c:v>6.37</c:v>
              </c:pt>
              <c:pt idx="1400">
                <c:v>6.37</c:v>
              </c:pt>
              <c:pt idx="1401">
                <c:v>6.37</c:v>
              </c:pt>
              <c:pt idx="1402">
                <c:v>6.37</c:v>
              </c:pt>
              <c:pt idx="1403">
                <c:v>6.37</c:v>
              </c:pt>
              <c:pt idx="1404">
                <c:v>6.37</c:v>
              </c:pt>
              <c:pt idx="1405">
                <c:v>6.37</c:v>
              </c:pt>
              <c:pt idx="1406">
                <c:v>6.37</c:v>
              </c:pt>
              <c:pt idx="1407">
                <c:v>6.37</c:v>
              </c:pt>
              <c:pt idx="1408">
                <c:v>6.37</c:v>
              </c:pt>
              <c:pt idx="1409">
                <c:v>6.37</c:v>
              </c:pt>
              <c:pt idx="1410">
                <c:v>6.37</c:v>
              </c:pt>
              <c:pt idx="1411">
                <c:v>6.37</c:v>
              </c:pt>
              <c:pt idx="1412">
                <c:v>6.37</c:v>
              </c:pt>
              <c:pt idx="1413">
                <c:v>6.37</c:v>
              </c:pt>
              <c:pt idx="1414">
                <c:v>6.37</c:v>
              </c:pt>
              <c:pt idx="1415">
                <c:v>6.37</c:v>
              </c:pt>
              <c:pt idx="1416">
                <c:v>6.37</c:v>
              </c:pt>
              <c:pt idx="1417">
                <c:v>6.37</c:v>
              </c:pt>
              <c:pt idx="1418">
                <c:v>6.37</c:v>
              </c:pt>
              <c:pt idx="1419">
                <c:v>6.37</c:v>
              </c:pt>
              <c:pt idx="1420">
                <c:v>6.37</c:v>
              </c:pt>
              <c:pt idx="1421">
                <c:v>6.37</c:v>
              </c:pt>
              <c:pt idx="1422">
                <c:v>6.37</c:v>
              </c:pt>
              <c:pt idx="1423">
                <c:v>6.37</c:v>
              </c:pt>
              <c:pt idx="1424">
                <c:v>6.37</c:v>
              </c:pt>
              <c:pt idx="1425">
                <c:v>6.37</c:v>
              </c:pt>
              <c:pt idx="1426">
                <c:v>6.37</c:v>
              </c:pt>
              <c:pt idx="1427">
                <c:v>6.37</c:v>
              </c:pt>
              <c:pt idx="1428">
                <c:v>6.37</c:v>
              </c:pt>
              <c:pt idx="1429">
                <c:v>6.37</c:v>
              </c:pt>
              <c:pt idx="1430">
                <c:v>6.37</c:v>
              </c:pt>
              <c:pt idx="1431">
                <c:v>6.37</c:v>
              </c:pt>
              <c:pt idx="1432">
                <c:v>6.37</c:v>
              </c:pt>
              <c:pt idx="1433">
                <c:v>6.37</c:v>
              </c:pt>
              <c:pt idx="1434">
                <c:v>6.37</c:v>
              </c:pt>
              <c:pt idx="1435">
                <c:v>6.37</c:v>
              </c:pt>
              <c:pt idx="1436">
                <c:v>6.37</c:v>
              </c:pt>
              <c:pt idx="1437">
                <c:v>6.37</c:v>
              </c:pt>
              <c:pt idx="1438">
                <c:v>6.37</c:v>
              </c:pt>
              <c:pt idx="1439">
                <c:v>6.37</c:v>
              </c:pt>
              <c:pt idx="1440">
                <c:v>6.37</c:v>
              </c:pt>
              <c:pt idx="1441">
                <c:v>6.37</c:v>
              </c:pt>
              <c:pt idx="1442">
                <c:v>6.37</c:v>
              </c:pt>
              <c:pt idx="1443">
                <c:v>6.37</c:v>
              </c:pt>
              <c:pt idx="1444">
                <c:v>6.37</c:v>
              </c:pt>
              <c:pt idx="1445">
                <c:v>6.37</c:v>
              </c:pt>
              <c:pt idx="1446">
                <c:v>6.37</c:v>
              </c:pt>
              <c:pt idx="1447">
                <c:v>6.37</c:v>
              </c:pt>
              <c:pt idx="1448">
                <c:v>6.37</c:v>
              </c:pt>
              <c:pt idx="1449">
                <c:v>6.37</c:v>
              </c:pt>
              <c:pt idx="1450">
                <c:v>6.37</c:v>
              </c:pt>
              <c:pt idx="1451">
                <c:v>6.37</c:v>
              </c:pt>
              <c:pt idx="1452">
                <c:v>6.37</c:v>
              </c:pt>
              <c:pt idx="1453">
                <c:v>6.37</c:v>
              </c:pt>
              <c:pt idx="1454">
                <c:v>6.37</c:v>
              </c:pt>
              <c:pt idx="1455">
                <c:v>6.37</c:v>
              </c:pt>
              <c:pt idx="1456">
                <c:v>6.37</c:v>
              </c:pt>
              <c:pt idx="1457">
                <c:v>6.37</c:v>
              </c:pt>
              <c:pt idx="1458">
                <c:v>6.37</c:v>
              </c:pt>
              <c:pt idx="1459">
                <c:v>6.37</c:v>
              </c:pt>
              <c:pt idx="1460">
                <c:v>6.37</c:v>
              </c:pt>
              <c:pt idx="1461">
                <c:v>6.37</c:v>
              </c:pt>
              <c:pt idx="1462">
                <c:v>6.37</c:v>
              </c:pt>
              <c:pt idx="1463">
                <c:v>6.37</c:v>
              </c:pt>
              <c:pt idx="1464">
                <c:v>6.37</c:v>
              </c:pt>
              <c:pt idx="1465">
                <c:v>6.37</c:v>
              </c:pt>
              <c:pt idx="1466">
                <c:v>6.37</c:v>
              </c:pt>
              <c:pt idx="1467">
                <c:v>6.37</c:v>
              </c:pt>
              <c:pt idx="1468">
                <c:v>6.37</c:v>
              </c:pt>
              <c:pt idx="1469">
                <c:v>6.37</c:v>
              </c:pt>
              <c:pt idx="1470">
                <c:v>6.37</c:v>
              </c:pt>
              <c:pt idx="1471">
                <c:v>6.37</c:v>
              </c:pt>
              <c:pt idx="1472">
                <c:v>6.37</c:v>
              </c:pt>
              <c:pt idx="1473">
                <c:v>6.37</c:v>
              </c:pt>
              <c:pt idx="1474">
                <c:v>6.37</c:v>
              </c:pt>
              <c:pt idx="1475">
                <c:v>6.37</c:v>
              </c:pt>
              <c:pt idx="1476">
                <c:v>6.37</c:v>
              </c:pt>
              <c:pt idx="1477">
                <c:v>6.37</c:v>
              </c:pt>
              <c:pt idx="1478">
                <c:v>6.37</c:v>
              </c:pt>
              <c:pt idx="1479">
                <c:v>6.37</c:v>
              </c:pt>
              <c:pt idx="1480">
                <c:v>6.37</c:v>
              </c:pt>
              <c:pt idx="1481">
                <c:v>6.37</c:v>
              </c:pt>
              <c:pt idx="1482">
                <c:v>6.37</c:v>
              </c:pt>
              <c:pt idx="1483">
                <c:v>6.37</c:v>
              </c:pt>
              <c:pt idx="1484">
                <c:v>6.37</c:v>
              </c:pt>
              <c:pt idx="1485">
                <c:v>6.37</c:v>
              </c:pt>
              <c:pt idx="1486">
                <c:v>6.37</c:v>
              </c:pt>
              <c:pt idx="1487">
                <c:v>6.37</c:v>
              </c:pt>
              <c:pt idx="1488">
                <c:v>6.37</c:v>
              </c:pt>
              <c:pt idx="1489">
                <c:v>6.37</c:v>
              </c:pt>
              <c:pt idx="1490">
                <c:v>6.37</c:v>
              </c:pt>
              <c:pt idx="1491">
                <c:v>6.37</c:v>
              </c:pt>
              <c:pt idx="1492">
                <c:v>6.37</c:v>
              </c:pt>
              <c:pt idx="1493">
                <c:v>6.37</c:v>
              </c:pt>
              <c:pt idx="1494">
                <c:v>6.37</c:v>
              </c:pt>
              <c:pt idx="1495">
                <c:v>6.37</c:v>
              </c:pt>
              <c:pt idx="1496">
                <c:v>6.37</c:v>
              </c:pt>
              <c:pt idx="1497">
                <c:v>6.37</c:v>
              </c:pt>
              <c:pt idx="1498">
                <c:v>6.37</c:v>
              </c:pt>
              <c:pt idx="1499">
                <c:v>6.37</c:v>
              </c:pt>
              <c:pt idx="1500">
                <c:v>6.37</c:v>
              </c:pt>
              <c:pt idx="1501">
                <c:v>6.37</c:v>
              </c:pt>
              <c:pt idx="1502">
                <c:v>6.37</c:v>
              </c:pt>
              <c:pt idx="1503">
                <c:v>6.37</c:v>
              </c:pt>
              <c:pt idx="1504">
                <c:v>6.37</c:v>
              </c:pt>
              <c:pt idx="1505">
                <c:v>6.37</c:v>
              </c:pt>
              <c:pt idx="1506">
                <c:v>6.37</c:v>
              </c:pt>
              <c:pt idx="1507">
                <c:v>6.37</c:v>
              </c:pt>
              <c:pt idx="1508">
                <c:v>6.37</c:v>
              </c:pt>
              <c:pt idx="1509">
                <c:v>6.37</c:v>
              </c:pt>
              <c:pt idx="1510">
                <c:v>6.37</c:v>
              </c:pt>
              <c:pt idx="1511">
                <c:v>6.37</c:v>
              </c:pt>
              <c:pt idx="1512">
                <c:v>6.37</c:v>
              </c:pt>
              <c:pt idx="1513">
                <c:v>6.37</c:v>
              </c:pt>
              <c:pt idx="1514">
                <c:v>6.37</c:v>
              </c:pt>
              <c:pt idx="1515">
                <c:v>6.37</c:v>
              </c:pt>
              <c:pt idx="1516">
                <c:v>6.37</c:v>
              </c:pt>
              <c:pt idx="1517">
                <c:v>6.37</c:v>
              </c:pt>
              <c:pt idx="1518">
                <c:v>6.37</c:v>
              </c:pt>
              <c:pt idx="1519">
                <c:v>6.37</c:v>
              </c:pt>
              <c:pt idx="1520">
                <c:v>6.37</c:v>
              </c:pt>
              <c:pt idx="1521">
                <c:v>6.37</c:v>
              </c:pt>
              <c:pt idx="1522">
                <c:v>6.37</c:v>
              </c:pt>
              <c:pt idx="1523">
                <c:v>6.37</c:v>
              </c:pt>
              <c:pt idx="1524">
                <c:v>6.37</c:v>
              </c:pt>
              <c:pt idx="1525">
                <c:v>6.37</c:v>
              </c:pt>
              <c:pt idx="1526">
                <c:v>6.37</c:v>
              </c:pt>
              <c:pt idx="1527">
                <c:v>6.37</c:v>
              </c:pt>
              <c:pt idx="1528">
                <c:v>6.37</c:v>
              </c:pt>
              <c:pt idx="1529">
                <c:v>6.37</c:v>
              </c:pt>
              <c:pt idx="1530">
                <c:v>6.37</c:v>
              </c:pt>
              <c:pt idx="1531">
                <c:v>6.37</c:v>
              </c:pt>
              <c:pt idx="1532">
                <c:v>6.37</c:v>
              </c:pt>
              <c:pt idx="1533">
                <c:v>6.37</c:v>
              </c:pt>
              <c:pt idx="1534">
                <c:v>6.37</c:v>
              </c:pt>
              <c:pt idx="1535">
                <c:v>6.37</c:v>
              </c:pt>
              <c:pt idx="1536">
                <c:v>6.37</c:v>
              </c:pt>
              <c:pt idx="1537">
                <c:v>6.37</c:v>
              </c:pt>
              <c:pt idx="1538">
                <c:v>6.37</c:v>
              </c:pt>
              <c:pt idx="1539">
                <c:v>6.37</c:v>
              </c:pt>
              <c:pt idx="1540">
                <c:v>6.37</c:v>
              </c:pt>
              <c:pt idx="1541">
                <c:v>6.37</c:v>
              </c:pt>
              <c:pt idx="1542">
                <c:v>6.37</c:v>
              </c:pt>
              <c:pt idx="1543">
                <c:v>6.37</c:v>
              </c:pt>
              <c:pt idx="1544">
                <c:v>6.37</c:v>
              </c:pt>
              <c:pt idx="1545">
                <c:v>6.37</c:v>
              </c:pt>
              <c:pt idx="1546">
                <c:v>6.37</c:v>
              </c:pt>
              <c:pt idx="1547">
                <c:v>6.37</c:v>
              </c:pt>
              <c:pt idx="1548">
                <c:v>6.37</c:v>
              </c:pt>
              <c:pt idx="1549">
                <c:v>6.37</c:v>
              </c:pt>
              <c:pt idx="1550">
                <c:v>6.37</c:v>
              </c:pt>
              <c:pt idx="1551">
                <c:v>6.37</c:v>
              </c:pt>
              <c:pt idx="1552">
                <c:v>6.37</c:v>
              </c:pt>
              <c:pt idx="1553">
                <c:v>6.37</c:v>
              </c:pt>
              <c:pt idx="1554">
                <c:v>6.37</c:v>
              </c:pt>
              <c:pt idx="1555">
                <c:v>6.37</c:v>
              </c:pt>
              <c:pt idx="1556">
                <c:v>6.37</c:v>
              </c:pt>
              <c:pt idx="1557">
                <c:v>6.37</c:v>
              </c:pt>
              <c:pt idx="1558">
                <c:v>6.37</c:v>
              </c:pt>
              <c:pt idx="1559">
                <c:v>6.37</c:v>
              </c:pt>
              <c:pt idx="1560">
                <c:v>6.37</c:v>
              </c:pt>
              <c:pt idx="1561">
                <c:v>6.37</c:v>
              </c:pt>
              <c:pt idx="1562">
                <c:v>6.37</c:v>
              </c:pt>
              <c:pt idx="1563">
                <c:v>6.37</c:v>
              </c:pt>
              <c:pt idx="1564">
                <c:v>6.37</c:v>
              </c:pt>
              <c:pt idx="1565">
                <c:v>6.37</c:v>
              </c:pt>
              <c:pt idx="1566">
                <c:v>6.37</c:v>
              </c:pt>
              <c:pt idx="1567">
                <c:v>6.37</c:v>
              </c:pt>
              <c:pt idx="1568">
                <c:v>6.37</c:v>
              </c:pt>
              <c:pt idx="1569">
                <c:v>6.37</c:v>
              </c:pt>
              <c:pt idx="1570">
                <c:v>6.37</c:v>
              </c:pt>
              <c:pt idx="1571">
                <c:v>6.37</c:v>
              </c:pt>
              <c:pt idx="1572">
                <c:v>6.37</c:v>
              </c:pt>
              <c:pt idx="1573">
                <c:v>6.37</c:v>
              </c:pt>
              <c:pt idx="1574">
                <c:v>6.37</c:v>
              </c:pt>
              <c:pt idx="1575">
                <c:v>6.37</c:v>
              </c:pt>
              <c:pt idx="1576">
                <c:v>6.37</c:v>
              </c:pt>
              <c:pt idx="1577">
                <c:v>6.37</c:v>
              </c:pt>
              <c:pt idx="1578">
                <c:v>6.37</c:v>
              </c:pt>
              <c:pt idx="1579">
                <c:v>6.37</c:v>
              </c:pt>
              <c:pt idx="1580">
                <c:v>6.37</c:v>
              </c:pt>
              <c:pt idx="1581">
                <c:v>6.37</c:v>
              </c:pt>
              <c:pt idx="1582">
                <c:v>6.37</c:v>
              </c:pt>
              <c:pt idx="1583">
                <c:v>6.37</c:v>
              </c:pt>
              <c:pt idx="1584">
                <c:v>6.37</c:v>
              </c:pt>
              <c:pt idx="1585">
                <c:v>6.37</c:v>
              </c:pt>
              <c:pt idx="1586">
                <c:v>6.37</c:v>
              </c:pt>
              <c:pt idx="1587">
                <c:v>6.37</c:v>
              </c:pt>
              <c:pt idx="1588">
                <c:v>6.37</c:v>
              </c:pt>
              <c:pt idx="1589">
                <c:v>6.37</c:v>
              </c:pt>
              <c:pt idx="1590">
                <c:v>6.37</c:v>
              </c:pt>
              <c:pt idx="1591">
                <c:v>6.37</c:v>
              </c:pt>
              <c:pt idx="1592">
                <c:v>6.37</c:v>
              </c:pt>
              <c:pt idx="1593">
                <c:v>6.37</c:v>
              </c:pt>
              <c:pt idx="1594">
                <c:v>6.37</c:v>
              </c:pt>
              <c:pt idx="1595">
                <c:v>6.37</c:v>
              </c:pt>
              <c:pt idx="1596">
                <c:v>6.37</c:v>
              </c:pt>
              <c:pt idx="1597">
                <c:v>6.37</c:v>
              </c:pt>
              <c:pt idx="1598">
                <c:v>6.37</c:v>
              </c:pt>
              <c:pt idx="1599">
                <c:v>6.37</c:v>
              </c:pt>
              <c:pt idx="1600">
                <c:v>6.37</c:v>
              </c:pt>
              <c:pt idx="1601">
                <c:v>6.37</c:v>
              </c:pt>
              <c:pt idx="1602">
                <c:v>6.37</c:v>
              </c:pt>
              <c:pt idx="1603">
                <c:v>6.37</c:v>
              </c:pt>
              <c:pt idx="1604">
                <c:v>6.37</c:v>
              </c:pt>
              <c:pt idx="1605">
                <c:v>6.37</c:v>
              </c:pt>
              <c:pt idx="1606">
                <c:v>6.37</c:v>
              </c:pt>
              <c:pt idx="1607">
                <c:v>6.37</c:v>
              </c:pt>
              <c:pt idx="1608">
                <c:v>6.37</c:v>
              </c:pt>
              <c:pt idx="1609">
                <c:v>6.37</c:v>
              </c:pt>
              <c:pt idx="1610">
                <c:v>6.37</c:v>
              </c:pt>
              <c:pt idx="1611">
                <c:v>6.37</c:v>
              </c:pt>
              <c:pt idx="1612">
                <c:v>6.37</c:v>
              </c:pt>
              <c:pt idx="1613">
                <c:v>6.37</c:v>
              </c:pt>
              <c:pt idx="1614">
                <c:v>6.37</c:v>
              </c:pt>
              <c:pt idx="1615">
                <c:v>6.37</c:v>
              </c:pt>
              <c:pt idx="1616">
                <c:v>6.37</c:v>
              </c:pt>
              <c:pt idx="1617">
                <c:v>6.37</c:v>
              </c:pt>
              <c:pt idx="1618">
                <c:v>6.37</c:v>
              </c:pt>
              <c:pt idx="1619">
                <c:v>6.37</c:v>
              </c:pt>
              <c:pt idx="1620">
                <c:v>6.37</c:v>
              </c:pt>
              <c:pt idx="1621">
                <c:v>6.37</c:v>
              </c:pt>
              <c:pt idx="1622">
                <c:v>6.37</c:v>
              </c:pt>
              <c:pt idx="1623">
                <c:v>6.37</c:v>
              </c:pt>
              <c:pt idx="1624">
                <c:v>6.37</c:v>
              </c:pt>
              <c:pt idx="1625">
                <c:v>6.37</c:v>
              </c:pt>
              <c:pt idx="1626">
                <c:v>6.37</c:v>
              </c:pt>
              <c:pt idx="1627">
                <c:v>6.37</c:v>
              </c:pt>
              <c:pt idx="1628">
                <c:v>6.37</c:v>
              </c:pt>
              <c:pt idx="1629">
                <c:v>6.37</c:v>
              </c:pt>
              <c:pt idx="1630">
                <c:v>6.37</c:v>
              </c:pt>
              <c:pt idx="1631">
                <c:v>6.37</c:v>
              </c:pt>
              <c:pt idx="1632">
                <c:v>6.37</c:v>
              </c:pt>
              <c:pt idx="1633">
                <c:v>6.37</c:v>
              </c:pt>
              <c:pt idx="1634">
                <c:v>6.37</c:v>
              </c:pt>
              <c:pt idx="1635">
                <c:v>6.37</c:v>
              </c:pt>
              <c:pt idx="1636">
                <c:v>6.37</c:v>
              </c:pt>
              <c:pt idx="1637">
                <c:v>6.37</c:v>
              </c:pt>
              <c:pt idx="1638">
                <c:v>6.37</c:v>
              </c:pt>
              <c:pt idx="1639">
                <c:v>6.37</c:v>
              </c:pt>
              <c:pt idx="1640">
                <c:v>6.37</c:v>
              </c:pt>
              <c:pt idx="1641">
                <c:v>6.37</c:v>
              </c:pt>
              <c:pt idx="1642">
                <c:v>6.37</c:v>
              </c:pt>
              <c:pt idx="1643">
                <c:v>6.37</c:v>
              </c:pt>
              <c:pt idx="1644">
                <c:v>6.37</c:v>
              </c:pt>
              <c:pt idx="1645">
                <c:v>6.37</c:v>
              </c:pt>
              <c:pt idx="1646">
                <c:v>6.37</c:v>
              </c:pt>
              <c:pt idx="1647">
                <c:v>6.37</c:v>
              </c:pt>
              <c:pt idx="1648">
                <c:v>6.37</c:v>
              </c:pt>
              <c:pt idx="1649">
                <c:v>6.37</c:v>
              </c:pt>
              <c:pt idx="1650">
                <c:v>6.37</c:v>
              </c:pt>
              <c:pt idx="1651">
                <c:v>6.37</c:v>
              </c:pt>
              <c:pt idx="1652">
                <c:v>6.37</c:v>
              </c:pt>
              <c:pt idx="1653">
                <c:v>6.37</c:v>
              </c:pt>
              <c:pt idx="1654">
                <c:v>6.37</c:v>
              </c:pt>
              <c:pt idx="1655">
                <c:v>6.37</c:v>
              </c:pt>
              <c:pt idx="1656">
                <c:v>6.37</c:v>
              </c:pt>
              <c:pt idx="1657">
                <c:v>6.37</c:v>
              </c:pt>
              <c:pt idx="1658">
                <c:v>6.37</c:v>
              </c:pt>
              <c:pt idx="1659">
                <c:v>6.37</c:v>
              </c:pt>
              <c:pt idx="1660">
                <c:v>6.37</c:v>
              </c:pt>
              <c:pt idx="1661">
                <c:v>6.37</c:v>
              </c:pt>
              <c:pt idx="1662">
                <c:v>6.37</c:v>
              </c:pt>
              <c:pt idx="1663">
                <c:v>6.37</c:v>
              </c:pt>
              <c:pt idx="1664">
                <c:v>6.37</c:v>
              </c:pt>
              <c:pt idx="1665">
                <c:v>6.37</c:v>
              </c:pt>
              <c:pt idx="1666">
                <c:v>6.37</c:v>
              </c:pt>
              <c:pt idx="1667">
                <c:v>6.37</c:v>
              </c:pt>
              <c:pt idx="1668">
                <c:v>6.37</c:v>
              </c:pt>
              <c:pt idx="1669">
                <c:v>6.37</c:v>
              </c:pt>
              <c:pt idx="1670">
                <c:v>6.37</c:v>
              </c:pt>
              <c:pt idx="1671">
                <c:v>6.37</c:v>
              </c:pt>
              <c:pt idx="1672">
                <c:v>6.37</c:v>
              </c:pt>
              <c:pt idx="1673">
                <c:v>6.37</c:v>
              </c:pt>
              <c:pt idx="1674">
                <c:v>6.37</c:v>
              </c:pt>
              <c:pt idx="1675">
                <c:v>6.37</c:v>
              </c:pt>
              <c:pt idx="1676">
                <c:v>6.37</c:v>
              </c:pt>
              <c:pt idx="1677">
                <c:v>6.37</c:v>
              </c:pt>
              <c:pt idx="1678">
                <c:v>6.37</c:v>
              </c:pt>
              <c:pt idx="1679">
                <c:v>6.37</c:v>
              </c:pt>
              <c:pt idx="1680">
                <c:v>6.37</c:v>
              </c:pt>
              <c:pt idx="1681">
                <c:v>6.37</c:v>
              </c:pt>
              <c:pt idx="1682">
                <c:v>6.37</c:v>
              </c:pt>
              <c:pt idx="1683">
                <c:v>6.37</c:v>
              </c:pt>
              <c:pt idx="1684">
                <c:v>6.37</c:v>
              </c:pt>
              <c:pt idx="1685">
                <c:v>6.37</c:v>
              </c:pt>
              <c:pt idx="1686">
                <c:v>6.37</c:v>
              </c:pt>
              <c:pt idx="1687">
                <c:v>6.37</c:v>
              </c:pt>
              <c:pt idx="1688">
                <c:v>6.37</c:v>
              </c:pt>
              <c:pt idx="1689">
                <c:v>6.37</c:v>
              </c:pt>
              <c:pt idx="1690">
                <c:v>6.37</c:v>
              </c:pt>
              <c:pt idx="1691">
                <c:v>6.37</c:v>
              </c:pt>
              <c:pt idx="1692">
                <c:v>6.37</c:v>
              </c:pt>
              <c:pt idx="1693">
                <c:v>6.37</c:v>
              </c:pt>
              <c:pt idx="1694">
                <c:v>6.37</c:v>
              </c:pt>
              <c:pt idx="1695">
                <c:v>6.37</c:v>
              </c:pt>
              <c:pt idx="1696">
                <c:v>6.37</c:v>
              </c:pt>
              <c:pt idx="1697">
                <c:v>6.37</c:v>
              </c:pt>
              <c:pt idx="1698">
                <c:v>6.37</c:v>
              </c:pt>
              <c:pt idx="1699">
                <c:v>6.37</c:v>
              </c:pt>
              <c:pt idx="1700">
                <c:v>6.37</c:v>
              </c:pt>
              <c:pt idx="1701">
                <c:v>6.37</c:v>
              </c:pt>
              <c:pt idx="1702">
                <c:v>6.37</c:v>
              </c:pt>
              <c:pt idx="1703">
                <c:v>6.37</c:v>
              </c:pt>
              <c:pt idx="1704">
                <c:v>6.37</c:v>
              </c:pt>
              <c:pt idx="1705">
                <c:v>6.37</c:v>
              </c:pt>
              <c:pt idx="1706">
                <c:v>6.37</c:v>
              </c:pt>
              <c:pt idx="1707">
                <c:v>6.37</c:v>
              </c:pt>
              <c:pt idx="1708">
                <c:v>6.37</c:v>
              </c:pt>
              <c:pt idx="1709">
                <c:v>6.37</c:v>
              </c:pt>
              <c:pt idx="1710">
                <c:v>6.37</c:v>
              </c:pt>
              <c:pt idx="1711">
                <c:v>6.37</c:v>
              </c:pt>
              <c:pt idx="1712">
                <c:v>6.37</c:v>
              </c:pt>
              <c:pt idx="1713">
                <c:v>6.37</c:v>
              </c:pt>
              <c:pt idx="1714">
                <c:v>6.37</c:v>
              </c:pt>
              <c:pt idx="1715">
                <c:v>6.37</c:v>
              </c:pt>
              <c:pt idx="1716">
                <c:v>6.37</c:v>
              </c:pt>
              <c:pt idx="1717">
                <c:v>6.37</c:v>
              </c:pt>
              <c:pt idx="1718">
                <c:v>6.37</c:v>
              </c:pt>
              <c:pt idx="1719">
                <c:v>6.37</c:v>
              </c:pt>
              <c:pt idx="1720">
                <c:v>6.37</c:v>
              </c:pt>
              <c:pt idx="1721">
                <c:v>6.37</c:v>
              </c:pt>
              <c:pt idx="1722">
                <c:v>6.37</c:v>
              </c:pt>
              <c:pt idx="1723">
                <c:v>6.37</c:v>
              </c:pt>
              <c:pt idx="1724">
                <c:v>6.37</c:v>
              </c:pt>
              <c:pt idx="1725">
                <c:v>6.37</c:v>
              </c:pt>
              <c:pt idx="1726">
                <c:v>6.37</c:v>
              </c:pt>
              <c:pt idx="1727">
                <c:v>6.37</c:v>
              </c:pt>
              <c:pt idx="1728">
                <c:v>6.37</c:v>
              </c:pt>
              <c:pt idx="1729">
                <c:v>6.37</c:v>
              </c:pt>
              <c:pt idx="1730">
                <c:v>6.37</c:v>
              </c:pt>
              <c:pt idx="1731">
                <c:v>6.37</c:v>
              </c:pt>
              <c:pt idx="1732">
                <c:v>6.37</c:v>
              </c:pt>
              <c:pt idx="1733">
                <c:v>6.37</c:v>
              </c:pt>
              <c:pt idx="1734">
                <c:v>6.37</c:v>
              </c:pt>
              <c:pt idx="1735">
                <c:v>6.37</c:v>
              </c:pt>
              <c:pt idx="1736">
                <c:v>6.37</c:v>
              </c:pt>
              <c:pt idx="1737">
                <c:v>6.37</c:v>
              </c:pt>
              <c:pt idx="1738">
                <c:v>6.37</c:v>
              </c:pt>
              <c:pt idx="1739">
                <c:v>6.37</c:v>
              </c:pt>
              <c:pt idx="1740">
                <c:v>6.37</c:v>
              </c:pt>
              <c:pt idx="1741">
                <c:v>6.37</c:v>
              </c:pt>
              <c:pt idx="1742">
                <c:v>6.37</c:v>
              </c:pt>
              <c:pt idx="1743">
                <c:v>6.37</c:v>
              </c:pt>
              <c:pt idx="1744">
                <c:v>6.37</c:v>
              </c:pt>
              <c:pt idx="1745">
                <c:v>6.37</c:v>
              </c:pt>
              <c:pt idx="1746">
                <c:v>6.37</c:v>
              </c:pt>
              <c:pt idx="1747">
                <c:v>6.37</c:v>
              </c:pt>
              <c:pt idx="1748">
                <c:v>6.37</c:v>
              </c:pt>
              <c:pt idx="1749">
                <c:v>6.37</c:v>
              </c:pt>
              <c:pt idx="1750">
                <c:v>6.37</c:v>
              </c:pt>
              <c:pt idx="1751">
                <c:v>6.37</c:v>
              </c:pt>
              <c:pt idx="1752">
                <c:v>6.37</c:v>
              </c:pt>
              <c:pt idx="1753">
                <c:v>6.37</c:v>
              </c:pt>
              <c:pt idx="1754">
                <c:v>6.37</c:v>
              </c:pt>
              <c:pt idx="1755">
                <c:v>6.37</c:v>
              </c:pt>
              <c:pt idx="1756">
                <c:v>6.37</c:v>
              </c:pt>
              <c:pt idx="1757">
                <c:v>6.37</c:v>
              </c:pt>
              <c:pt idx="1758">
                <c:v>6.37</c:v>
              </c:pt>
              <c:pt idx="1759">
                <c:v>6.37</c:v>
              </c:pt>
              <c:pt idx="1760">
                <c:v>6.37</c:v>
              </c:pt>
              <c:pt idx="1761">
                <c:v>6.37</c:v>
              </c:pt>
              <c:pt idx="1762">
                <c:v>6.37</c:v>
              </c:pt>
              <c:pt idx="1763">
                <c:v>6.37</c:v>
              </c:pt>
              <c:pt idx="1764">
                <c:v>6.37</c:v>
              </c:pt>
              <c:pt idx="1765">
                <c:v>6.37</c:v>
              </c:pt>
              <c:pt idx="1766">
                <c:v>6.37</c:v>
              </c:pt>
              <c:pt idx="1767">
                <c:v>6.37</c:v>
              </c:pt>
              <c:pt idx="1768">
                <c:v>6.37</c:v>
              </c:pt>
              <c:pt idx="1769">
                <c:v>6.37</c:v>
              </c:pt>
              <c:pt idx="1770">
                <c:v>6.37</c:v>
              </c:pt>
              <c:pt idx="1771">
                <c:v>6.37</c:v>
              </c:pt>
              <c:pt idx="1772">
                <c:v>6.37</c:v>
              </c:pt>
              <c:pt idx="1773">
                <c:v>6.37</c:v>
              </c:pt>
              <c:pt idx="1774">
                <c:v>6.37</c:v>
              </c:pt>
              <c:pt idx="1775">
                <c:v>6.37</c:v>
              </c:pt>
              <c:pt idx="1776">
                <c:v>6.37</c:v>
              </c:pt>
              <c:pt idx="1777">
                <c:v>6.37</c:v>
              </c:pt>
              <c:pt idx="1778">
                <c:v>6.37</c:v>
              </c:pt>
              <c:pt idx="1779">
                <c:v>6.37</c:v>
              </c:pt>
              <c:pt idx="1780">
                <c:v>6.37</c:v>
              </c:pt>
              <c:pt idx="1781">
                <c:v>6.37</c:v>
              </c:pt>
              <c:pt idx="1782">
                <c:v>6.37</c:v>
              </c:pt>
              <c:pt idx="1783">
                <c:v>6.37</c:v>
              </c:pt>
              <c:pt idx="1784">
                <c:v>6.37</c:v>
              </c:pt>
              <c:pt idx="1785">
                <c:v>6.37</c:v>
              </c:pt>
              <c:pt idx="1786">
                <c:v>6.37</c:v>
              </c:pt>
              <c:pt idx="1787">
                <c:v>6.37</c:v>
              </c:pt>
              <c:pt idx="1788">
                <c:v>6.37</c:v>
              </c:pt>
              <c:pt idx="1789">
                <c:v>6.37</c:v>
              </c:pt>
              <c:pt idx="1790">
                <c:v>6.37</c:v>
              </c:pt>
              <c:pt idx="1791">
                <c:v>6.37</c:v>
              </c:pt>
              <c:pt idx="1792">
                <c:v>6.37</c:v>
              </c:pt>
              <c:pt idx="1793">
                <c:v>6.37</c:v>
              </c:pt>
              <c:pt idx="1794">
                <c:v>6.37</c:v>
              </c:pt>
              <c:pt idx="1795">
                <c:v>6.37</c:v>
              </c:pt>
              <c:pt idx="1796">
                <c:v>6.37</c:v>
              </c:pt>
              <c:pt idx="1797">
                <c:v>6.37</c:v>
              </c:pt>
              <c:pt idx="1798">
                <c:v>6.37</c:v>
              </c:pt>
              <c:pt idx="1799">
                <c:v>6.37</c:v>
              </c:pt>
              <c:pt idx="1800">
                <c:v>6.37</c:v>
              </c:pt>
              <c:pt idx="1801">
                <c:v>6.37</c:v>
              </c:pt>
              <c:pt idx="1802">
                <c:v>6.37</c:v>
              </c:pt>
              <c:pt idx="1803">
                <c:v>6.37</c:v>
              </c:pt>
              <c:pt idx="1804">
                <c:v>6.37</c:v>
              </c:pt>
              <c:pt idx="1805">
                <c:v>6.37</c:v>
              </c:pt>
              <c:pt idx="1806">
                <c:v>6.37</c:v>
              </c:pt>
              <c:pt idx="1807">
                <c:v>6.37</c:v>
              </c:pt>
              <c:pt idx="1808">
                <c:v>6.37</c:v>
              </c:pt>
              <c:pt idx="1809">
                <c:v>6.37</c:v>
              </c:pt>
              <c:pt idx="1810">
                <c:v>6.37</c:v>
              </c:pt>
              <c:pt idx="1811">
                <c:v>6.37</c:v>
              </c:pt>
              <c:pt idx="1812">
                <c:v>6.37</c:v>
              </c:pt>
              <c:pt idx="1813">
                <c:v>6.37</c:v>
              </c:pt>
              <c:pt idx="1814">
                <c:v>6.37</c:v>
              </c:pt>
              <c:pt idx="1815">
                <c:v>6.37</c:v>
              </c:pt>
              <c:pt idx="1816">
                <c:v>6.37</c:v>
              </c:pt>
              <c:pt idx="1817">
                <c:v>6.37</c:v>
              </c:pt>
              <c:pt idx="1818">
                <c:v>6.37</c:v>
              </c:pt>
              <c:pt idx="1819">
                <c:v>6.37</c:v>
              </c:pt>
              <c:pt idx="1820">
                <c:v>6.37</c:v>
              </c:pt>
              <c:pt idx="1821">
                <c:v>6.37</c:v>
              </c:pt>
              <c:pt idx="1822">
                <c:v>6.37</c:v>
              </c:pt>
              <c:pt idx="1823">
                <c:v>6.37</c:v>
              </c:pt>
              <c:pt idx="1824">
                <c:v>6.37</c:v>
              </c:pt>
              <c:pt idx="1825">
                <c:v>6.37</c:v>
              </c:pt>
              <c:pt idx="1826">
                <c:v>6.37</c:v>
              </c:pt>
              <c:pt idx="1827">
                <c:v>6.37</c:v>
              </c:pt>
              <c:pt idx="1828">
                <c:v>6.37</c:v>
              </c:pt>
              <c:pt idx="1829">
                <c:v>6.37</c:v>
              </c:pt>
              <c:pt idx="1830">
                <c:v>6.37</c:v>
              </c:pt>
              <c:pt idx="1831">
                <c:v>6.37</c:v>
              </c:pt>
              <c:pt idx="1832">
                <c:v>6.37</c:v>
              </c:pt>
              <c:pt idx="1833">
                <c:v>6.37</c:v>
              </c:pt>
              <c:pt idx="1834">
                <c:v>6.37</c:v>
              </c:pt>
              <c:pt idx="1835">
                <c:v>6.37</c:v>
              </c:pt>
              <c:pt idx="1836">
                <c:v>6.37</c:v>
              </c:pt>
              <c:pt idx="1837">
                <c:v>6.37</c:v>
              </c:pt>
              <c:pt idx="1838">
                <c:v>6.37</c:v>
              </c:pt>
              <c:pt idx="1839">
                <c:v>6.37</c:v>
              </c:pt>
              <c:pt idx="1840">
                <c:v>6.37</c:v>
              </c:pt>
              <c:pt idx="1841">
                <c:v>6.37</c:v>
              </c:pt>
              <c:pt idx="1842">
                <c:v>6.37</c:v>
              </c:pt>
              <c:pt idx="1843">
                <c:v>6.37</c:v>
              </c:pt>
              <c:pt idx="1844">
                <c:v>6.37</c:v>
              </c:pt>
              <c:pt idx="1845">
                <c:v>6.37</c:v>
              </c:pt>
              <c:pt idx="1846">
                <c:v>6.37</c:v>
              </c:pt>
              <c:pt idx="1847">
                <c:v>6.37</c:v>
              </c:pt>
              <c:pt idx="1848">
                <c:v>6.37</c:v>
              </c:pt>
              <c:pt idx="1849">
                <c:v>6.37</c:v>
              </c:pt>
              <c:pt idx="1850">
                <c:v>6.37</c:v>
              </c:pt>
              <c:pt idx="1851">
                <c:v>6.37</c:v>
              </c:pt>
              <c:pt idx="1852">
                <c:v>6.37</c:v>
              </c:pt>
              <c:pt idx="1853">
                <c:v>6.37</c:v>
              </c:pt>
              <c:pt idx="1854">
                <c:v>6.37</c:v>
              </c:pt>
              <c:pt idx="1855">
                <c:v>6.37</c:v>
              </c:pt>
              <c:pt idx="1856">
                <c:v>6.37</c:v>
              </c:pt>
              <c:pt idx="1857">
                <c:v>6.37</c:v>
              </c:pt>
              <c:pt idx="1858">
                <c:v>6.37</c:v>
              </c:pt>
              <c:pt idx="1859">
                <c:v>6.37</c:v>
              </c:pt>
              <c:pt idx="1860">
                <c:v>6.37</c:v>
              </c:pt>
              <c:pt idx="1861">
                <c:v>6.37</c:v>
              </c:pt>
              <c:pt idx="1862">
                <c:v>6.37</c:v>
              </c:pt>
              <c:pt idx="1863">
                <c:v>6.37</c:v>
              </c:pt>
              <c:pt idx="1864">
                <c:v>6.37</c:v>
              </c:pt>
              <c:pt idx="1865">
                <c:v>6.37</c:v>
              </c:pt>
              <c:pt idx="1866">
                <c:v>6.37</c:v>
              </c:pt>
              <c:pt idx="1867">
                <c:v>6.37</c:v>
              </c:pt>
              <c:pt idx="1868">
                <c:v>6.37</c:v>
              </c:pt>
              <c:pt idx="1869">
                <c:v>6.37</c:v>
              </c:pt>
              <c:pt idx="1870">
                <c:v>6.37</c:v>
              </c:pt>
              <c:pt idx="1871">
                <c:v>6.37</c:v>
              </c:pt>
              <c:pt idx="1872">
                <c:v>6.37</c:v>
              </c:pt>
              <c:pt idx="1873">
                <c:v>6.37</c:v>
              </c:pt>
              <c:pt idx="1874">
                <c:v>6.37</c:v>
              </c:pt>
              <c:pt idx="1875">
                <c:v>6.37</c:v>
              </c:pt>
              <c:pt idx="1876">
                <c:v>6.37</c:v>
              </c:pt>
              <c:pt idx="1877">
                <c:v>6.37</c:v>
              </c:pt>
              <c:pt idx="1878">
                <c:v>6.37</c:v>
              </c:pt>
              <c:pt idx="1879">
                <c:v>6.37</c:v>
              </c:pt>
              <c:pt idx="1880">
                <c:v>6.37</c:v>
              </c:pt>
              <c:pt idx="1881">
                <c:v>6.37</c:v>
              </c:pt>
              <c:pt idx="1882">
                <c:v>6.37</c:v>
              </c:pt>
              <c:pt idx="1883">
                <c:v>6.37</c:v>
              </c:pt>
              <c:pt idx="1884">
                <c:v>6.37</c:v>
              </c:pt>
              <c:pt idx="1885">
                <c:v>6.37</c:v>
              </c:pt>
              <c:pt idx="1886">
                <c:v>6.37</c:v>
              </c:pt>
              <c:pt idx="1887">
                <c:v>6.37</c:v>
              </c:pt>
              <c:pt idx="1888">
                <c:v>6.37</c:v>
              </c:pt>
              <c:pt idx="1889">
                <c:v>6.37</c:v>
              </c:pt>
              <c:pt idx="1890">
                <c:v>6.37</c:v>
              </c:pt>
              <c:pt idx="1891">
                <c:v>6.37</c:v>
              </c:pt>
              <c:pt idx="1892">
                <c:v>6.37</c:v>
              </c:pt>
              <c:pt idx="1893">
                <c:v>6.37</c:v>
              </c:pt>
              <c:pt idx="1894">
                <c:v>6.37</c:v>
              </c:pt>
              <c:pt idx="1895">
                <c:v>6.37</c:v>
              </c:pt>
              <c:pt idx="1896">
                <c:v>6.37</c:v>
              </c:pt>
              <c:pt idx="1897">
                <c:v>6.37</c:v>
              </c:pt>
              <c:pt idx="1898">
                <c:v>6.37</c:v>
              </c:pt>
              <c:pt idx="1899">
                <c:v>6.37</c:v>
              </c:pt>
              <c:pt idx="1900">
                <c:v>6.37</c:v>
              </c:pt>
              <c:pt idx="1901">
                <c:v>6.37</c:v>
              </c:pt>
              <c:pt idx="1902">
                <c:v>6.37</c:v>
              </c:pt>
              <c:pt idx="1903">
                <c:v>6.37</c:v>
              </c:pt>
              <c:pt idx="1904">
                <c:v>6.37</c:v>
              </c:pt>
              <c:pt idx="1905">
                <c:v>6.37</c:v>
              </c:pt>
              <c:pt idx="1906">
                <c:v>6.37</c:v>
              </c:pt>
              <c:pt idx="1907">
                <c:v>6.37</c:v>
              </c:pt>
              <c:pt idx="1908">
                <c:v>6.37</c:v>
              </c:pt>
              <c:pt idx="1909">
                <c:v>6.37</c:v>
              </c:pt>
              <c:pt idx="1910">
                <c:v>6.37</c:v>
              </c:pt>
              <c:pt idx="1911">
                <c:v>6.37</c:v>
              </c:pt>
              <c:pt idx="1912">
                <c:v>6.37</c:v>
              </c:pt>
              <c:pt idx="1913">
                <c:v>6.37</c:v>
              </c:pt>
              <c:pt idx="1914">
                <c:v>6.37</c:v>
              </c:pt>
              <c:pt idx="1915">
                <c:v>6.37</c:v>
              </c:pt>
              <c:pt idx="1916">
                <c:v>6.37</c:v>
              </c:pt>
              <c:pt idx="1917">
                <c:v>6.37</c:v>
              </c:pt>
              <c:pt idx="1918">
                <c:v>6.37</c:v>
              </c:pt>
              <c:pt idx="1919">
                <c:v>6.37</c:v>
              </c:pt>
              <c:pt idx="1920">
                <c:v>6.37</c:v>
              </c:pt>
              <c:pt idx="1921">
                <c:v>6.37</c:v>
              </c:pt>
              <c:pt idx="1922">
                <c:v>6.37</c:v>
              </c:pt>
              <c:pt idx="1923">
                <c:v>6.37</c:v>
              </c:pt>
              <c:pt idx="1924">
                <c:v>6.37</c:v>
              </c:pt>
              <c:pt idx="1925">
                <c:v>6.37</c:v>
              </c:pt>
              <c:pt idx="1926">
                <c:v>6.37</c:v>
              </c:pt>
              <c:pt idx="1927">
                <c:v>6.37</c:v>
              </c:pt>
              <c:pt idx="1928">
                <c:v>6.37</c:v>
              </c:pt>
              <c:pt idx="1929">
                <c:v>6.37</c:v>
              </c:pt>
              <c:pt idx="1930">
                <c:v>6.37</c:v>
              </c:pt>
              <c:pt idx="1931">
                <c:v>6.37</c:v>
              </c:pt>
              <c:pt idx="1932">
                <c:v>6.37</c:v>
              </c:pt>
              <c:pt idx="1933">
                <c:v>6.37</c:v>
              </c:pt>
              <c:pt idx="1934">
                <c:v>6.37</c:v>
              </c:pt>
              <c:pt idx="1935">
                <c:v>6.37</c:v>
              </c:pt>
              <c:pt idx="1936">
                <c:v>6.37</c:v>
              </c:pt>
              <c:pt idx="1937">
                <c:v>6.37</c:v>
              </c:pt>
              <c:pt idx="1938">
                <c:v>6.37</c:v>
              </c:pt>
              <c:pt idx="1939">
                <c:v>6.37</c:v>
              </c:pt>
              <c:pt idx="1940">
                <c:v>6.37</c:v>
              </c:pt>
              <c:pt idx="1941">
                <c:v>6.37</c:v>
              </c:pt>
              <c:pt idx="1942">
                <c:v>6.37</c:v>
              </c:pt>
              <c:pt idx="1943">
                <c:v>6.37</c:v>
              </c:pt>
              <c:pt idx="1944">
                <c:v>6.37</c:v>
              </c:pt>
              <c:pt idx="1945">
                <c:v>6.37</c:v>
              </c:pt>
              <c:pt idx="1946">
                <c:v>6.37</c:v>
              </c:pt>
              <c:pt idx="1947">
                <c:v>6.37</c:v>
              </c:pt>
              <c:pt idx="1948">
                <c:v>6.37</c:v>
              </c:pt>
              <c:pt idx="1949">
                <c:v>6.37</c:v>
              </c:pt>
              <c:pt idx="1950">
                <c:v>6.37</c:v>
              </c:pt>
              <c:pt idx="1951">
                <c:v>6.37</c:v>
              </c:pt>
              <c:pt idx="1952">
                <c:v>6.37</c:v>
              </c:pt>
              <c:pt idx="1953">
                <c:v>6.37</c:v>
              </c:pt>
              <c:pt idx="1954">
                <c:v>6.37</c:v>
              </c:pt>
              <c:pt idx="1955">
                <c:v>6.37</c:v>
              </c:pt>
              <c:pt idx="1956">
                <c:v>6.37</c:v>
              </c:pt>
              <c:pt idx="1957">
                <c:v>6.37</c:v>
              </c:pt>
              <c:pt idx="1958">
                <c:v>6.37</c:v>
              </c:pt>
              <c:pt idx="1959">
                <c:v>6.37</c:v>
              </c:pt>
              <c:pt idx="1960">
                <c:v>6.37</c:v>
              </c:pt>
              <c:pt idx="1961">
                <c:v>6.37</c:v>
              </c:pt>
              <c:pt idx="1962">
                <c:v>6.37</c:v>
              </c:pt>
              <c:pt idx="1963">
                <c:v>6.37</c:v>
              </c:pt>
              <c:pt idx="1964">
                <c:v>6.37</c:v>
              </c:pt>
              <c:pt idx="1965">
                <c:v>6.37</c:v>
              </c:pt>
              <c:pt idx="1966">
                <c:v>6.37</c:v>
              </c:pt>
              <c:pt idx="1967">
                <c:v>6.37</c:v>
              </c:pt>
              <c:pt idx="1968">
                <c:v>6.37</c:v>
              </c:pt>
              <c:pt idx="1969">
                <c:v>6.37</c:v>
              </c:pt>
              <c:pt idx="1970">
                <c:v>6.37</c:v>
              </c:pt>
              <c:pt idx="1971">
                <c:v>6.37</c:v>
              </c:pt>
              <c:pt idx="1972">
                <c:v>6.37</c:v>
              </c:pt>
              <c:pt idx="1973">
                <c:v>6.37</c:v>
              </c:pt>
              <c:pt idx="1974">
                <c:v>6.37</c:v>
              </c:pt>
              <c:pt idx="1975">
                <c:v>6.37</c:v>
              </c:pt>
              <c:pt idx="1976">
                <c:v>6.37</c:v>
              </c:pt>
              <c:pt idx="1977">
                <c:v>6.37</c:v>
              </c:pt>
              <c:pt idx="1978">
                <c:v>6.37</c:v>
              </c:pt>
              <c:pt idx="1979">
                <c:v>6.37</c:v>
              </c:pt>
              <c:pt idx="1980">
                <c:v>6.37</c:v>
              </c:pt>
              <c:pt idx="1981">
                <c:v>6.37</c:v>
              </c:pt>
              <c:pt idx="1982">
                <c:v>6.37</c:v>
              </c:pt>
              <c:pt idx="1983">
                <c:v>6.37</c:v>
              </c:pt>
              <c:pt idx="1984">
                <c:v>6.37</c:v>
              </c:pt>
              <c:pt idx="1985">
                <c:v>6.37</c:v>
              </c:pt>
              <c:pt idx="1986">
                <c:v>6.37</c:v>
              </c:pt>
              <c:pt idx="1987">
                <c:v>6.37</c:v>
              </c:pt>
              <c:pt idx="1988">
                <c:v>6.37</c:v>
              </c:pt>
              <c:pt idx="1989">
                <c:v>6.37</c:v>
              </c:pt>
              <c:pt idx="1990">
                <c:v>6.37</c:v>
              </c:pt>
              <c:pt idx="1991">
                <c:v>6.37</c:v>
              </c:pt>
              <c:pt idx="1992">
                <c:v>6.37</c:v>
              </c:pt>
              <c:pt idx="1993">
                <c:v>6.37</c:v>
              </c:pt>
              <c:pt idx="1994">
                <c:v>6.37</c:v>
              </c:pt>
              <c:pt idx="1995">
                <c:v>6.37</c:v>
              </c:pt>
              <c:pt idx="1996">
                <c:v>6.37</c:v>
              </c:pt>
              <c:pt idx="1997">
                <c:v>6.37</c:v>
              </c:pt>
              <c:pt idx="1998">
                <c:v>6.37</c:v>
              </c:pt>
              <c:pt idx="1999">
                <c:v>6.37</c:v>
              </c:pt>
              <c:pt idx="2000">
                <c:v>6.37</c:v>
              </c:pt>
              <c:pt idx="2001">
                <c:v>6.37</c:v>
              </c:pt>
              <c:pt idx="2002">
                <c:v>6.37</c:v>
              </c:pt>
              <c:pt idx="2003">
                <c:v>6.37</c:v>
              </c:pt>
              <c:pt idx="2004">
                <c:v>6.37</c:v>
              </c:pt>
              <c:pt idx="2005">
                <c:v>6.37</c:v>
              </c:pt>
              <c:pt idx="2006">
                <c:v>6.37</c:v>
              </c:pt>
              <c:pt idx="2007">
                <c:v>6.37</c:v>
              </c:pt>
              <c:pt idx="2008">
                <c:v>6.37</c:v>
              </c:pt>
              <c:pt idx="2009">
                <c:v>6.37</c:v>
              </c:pt>
              <c:pt idx="2010">
                <c:v>6.37</c:v>
              </c:pt>
              <c:pt idx="2011">
                <c:v>6.37</c:v>
              </c:pt>
              <c:pt idx="2012">
                <c:v>6.37</c:v>
              </c:pt>
              <c:pt idx="2013">
                <c:v>6.37</c:v>
              </c:pt>
              <c:pt idx="2014">
                <c:v>6.37</c:v>
              </c:pt>
              <c:pt idx="2015">
                <c:v>6.37</c:v>
              </c:pt>
              <c:pt idx="2016">
                <c:v>6.37</c:v>
              </c:pt>
              <c:pt idx="2017">
                <c:v>6.37</c:v>
              </c:pt>
              <c:pt idx="2018">
                <c:v>6.37</c:v>
              </c:pt>
              <c:pt idx="2019">
                <c:v>6.37</c:v>
              </c:pt>
              <c:pt idx="2020">
                <c:v>6.37</c:v>
              </c:pt>
              <c:pt idx="2021">
                <c:v>6.37</c:v>
              </c:pt>
              <c:pt idx="2022">
                <c:v>6.37</c:v>
              </c:pt>
              <c:pt idx="2023">
                <c:v>6.37</c:v>
              </c:pt>
              <c:pt idx="2024">
                <c:v>6.37</c:v>
              </c:pt>
              <c:pt idx="2025">
                <c:v>6.37</c:v>
              </c:pt>
              <c:pt idx="2026">
                <c:v>6.37</c:v>
              </c:pt>
              <c:pt idx="2027">
                <c:v>6.37</c:v>
              </c:pt>
              <c:pt idx="2028">
                <c:v>6.37</c:v>
              </c:pt>
              <c:pt idx="2029">
                <c:v>6.37</c:v>
              </c:pt>
              <c:pt idx="2030">
                <c:v>6.37</c:v>
              </c:pt>
              <c:pt idx="2031">
                <c:v>6.37</c:v>
              </c:pt>
              <c:pt idx="2032">
                <c:v>6.37</c:v>
              </c:pt>
              <c:pt idx="2033">
                <c:v>6.37</c:v>
              </c:pt>
              <c:pt idx="2034">
                <c:v>6.37</c:v>
              </c:pt>
              <c:pt idx="2035">
                <c:v>6.37</c:v>
              </c:pt>
              <c:pt idx="2036">
                <c:v>6.37</c:v>
              </c:pt>
              <c:pt idx="2037">
                <c:v>6.37</c:v>
              </c:pt>
              <c:pt idx="2038">
                <c:v>6.37</c:v>
              </c:pt>
              <c:pt idx="2039">
                <c:v>6.37</c:v>
              </c:pt>
              <c:pt idx="2040">
                <c:v>6.37</c:v>
              </c:pt>
              <c:pt idx="2041">
                <c:v>6.37</c:v>
              </c:pt>
              <c:pt idx="2042">
                <c:v>6.37</c:v>
              </c:pt>
              <c:pt idx="2043">
                <c:v>6.37</c:v>
              </c:pt>
              <c:pt idx="2044">
                <c:v>6.37</c:v>
              </c:pt>
              <c:pt idx="2045">
                <c:v>6.37</c:v>
              </c:pt>
              <c:pt idx="2046">
                <c:v>6.37</c:v>
              </c:pt>
              <c:pt idx="2047">
                <c:v>6.37</c:v>
              </c:pt>
              <c:pt idx="2048">
                <c:v>6.37</c:v>
              </c:pt>
              <c:pt idx="2049">
                <c:v>6.37</c:v>
              </c:pt>
              <c:pt idx="2050">
                <c:v>6.37</c:v>
              </c:pt>
              <c:pt idx="2051">
                <c:v>6.37</c:v>
              </c:pt>
              <c:pt idx="2052">
                <c:v>6.37</c:v>
              </c:pt>
              <c:pt idx="2053">
                <c:v>6.37</c:v>
              </c:pt>
              <c:pt idx="2054">
                <c:v>6.37</c:v>
              </c:pt>
              <c:pt idx="2055">
                <c:v>6.37</c:v>
              </c:pt>
              <c:pt idx="2056">
                <c:v>6.37</c:v>
              </c:pt>
              <c:pt idx="2057">
                <c:v>6.37</c:v>
              </c:pt>
              <c:pt idx="2058">
                <c:v>6.37</c:v>
              </c:pt>
              <c:pt idx="2059">
                <c:v>6.37</c:v>
              </c:pt>
              <c:pt idx="2060">
                <c:v>6.37</c:v>
              </c:pt>
              <c:pt idx="2061">
                <c:v>6.37</c:v>
              </c:pt>
              <c:pt idx="2062">
                <c:v>6.37</c:v>
              </c:pt>
              <c:pt idx="2063">
                <c:v>6.37</c:v>
              </c:pt>
              <c:pt idx="2064">
                <c:v>6.37</c:v>
              </c:pt>
              <c:pt idx="2065">
                <c:v>6.37</c:v>
              </c:pt>
              <c:pt idx="2066">
                <c:v>6.37</c:v>
              </c:pt>
              <c:pt idx="2067">
                <c:v>6.37</c:v>
              </c:pt>
              <c:pt idx="2068">
                <c:v>6.37</c:v>
              </c:pt>
              <c:pt idx="2069">
                <c:v>6.37</c:v>
              </c:pt>
              <c:pt idx="2070">
                <c:v>6.37</c:v>
              </c:pt>
              <c:pt idx="2071">
                <c:v>6.37</c:v>
              </c:pt>
              <c:pt idx="2072">
                <c:v>6.37</c:v>
              </c:pt>
              <c:pt idx="2073">
                <c:v>6.37</c:v>
              </c:pt>
              <c:pt idx="2074">
                <c:v>6.37</c:v>
              </c:pt>
              <c:pt idx="2075">
                <c:v>6.37</c:v>
              </c:pt>
              <c:pt idx="2076">
                <c:v>6.37</c:v>
              </c:pt>
              <c:pt idx="2077">
                <c:v>6.37</c:v>
              </c:pt>
              <c:pt idx="2078">
                <c:v>6.37</c:v>
              </c:pt>
              <c:pt idx="2079">
                <c:v>6.37</c:v>
              </c:pt>
              <c:pt idx="2080">
                <c:v>6.37</c:v>
              </c:pt>
              <c:pt idx="2081">
                <c:v>6.37</c:v>
              </c:pt>
              <c:pt idx="2082">
                <c:v>6.37</c:v>
              </c:pt>
              <c:pt idx="2083">
                <c:v>6.37</c:v>
              </c:pt>
              <c:pt idx="2084">
                <c:v>6.37</c:v>
              </c:pt>
              <c:pt idx="2085">
                <c:v>6.37</c:v>
              </c:pt>
              <c:pt idx="2086">
                <c:v>6.37</c:v>
              </c:pt>
              <c:pt idx="2087">
                <c:v>6.37</c:v>
              </c:pt>
              <c:pt idx="2088">
                <c:v>6.37</c:v>
              </c:pt>
              <c:pt idx="2089">
                <c:v>6.37</c:v>
              </c:pt>
              <c:pt idx="2090">
                <c:v>6.37</c:v>
              </c:pt>
              <c:pt idx="2091">
                <c:v>6.37</c:v>
              </c:pt>
              <c:pt idx="2092">
                <c:v>6.37</c:v>
              </c:pt>
              <c:pt idx="2093">
                <c:v>6.37</c:v>
              </c:pt>
              <c:pt idx="2094">
                <c:v>6.37</c:v>
              </c:pt>
              <c:pt idx="2095">
                <c:v>6.37</c:v>
              </c:pt>
              <c:pt idx="2096">
                <c:v>6.37</c:v>
              </c:pt>
              <c:pt idx="2097">
                <c:v>6.37</c:v>
              </c:pt>
              <c:pt idx="2098">
                <c:v>6.37</c:v>
              </c:pt>
              <c:pt idx="2099">
                <c:v>6.37</c:v>
              </c:pt>
              <c:pt idx="2100">
                <c:v>6.37</c:v>
              </c:pt>
              <c:pt idx="2101">
                <c:v>6.37</c:v>
              </c:pt>
              <c:pt idx="2102">
                <c:v>6.37</c:v>
              </c:pt>
              <c:pt idx="2103">
                <c:v>6.37</c:v>
              </c:pt>
              <c:pt idx="2104">
                <c:v>6.37</c:v>
              </c:pt>
              <c:pt idx="2105">
                <c:v>6.37</c:v>
              </c:pt>
              <c:pt idx="2106">
                <c:v>6.37</c:v>
              </c:pt>
              <c:pt idx="2107">
                <c:v>6.37</c:v>
              </c:pt>
              <c:pt idx="2108">
                <c:v>6.37</c:v>
              </c:pt>
              <c:pt idx="2109">
                <c:v>6.37</c:v>
              </c:pt>
              <c:pt idx="2110">
                <c:v>6.37</c:v>
              </c:pt>
              <c:pt idx="2111">
                <c:v>6.37</c:v>
              </c:pt>
              <c:pt idx="2112">
                <c:v>6.37</c:v>
              </c:pt>
              <c:pt idx="2113">
                <c:v>6.37</c:v>
              </c:pt>
              <c:pt idx="2114">
                <c:v>6.37</c:v>
              </c:pt>
              <c:pt idx="2115">
                <c:v>6.37</c:v>
              </c:pt>
              <c:pt idx="2116">
                <c:v>6.37</c:v>
              </c:pt>
              <c:pt idx="2117">
                <c:v>6.37</c:v>
              </c:pt>
              <c:pt idx="2118">
                <c:v>6.37</c:v>
              </c:pt>
              <c:pt idx="2119">
                <c:v>6.37</c:v>
              </c:pt>
              <c:pt idx="2120">
                <c:v>6.37</c:v>
              </c:pt>
              <c:pt idx="2121">
                <c:v>6.37</c:v>
              </c:pt>
              <c:pt idx="2122">
                <c:v>6.37</c:v>
              </c:pt>
              <c:pt idx="2123">
                <c:v>6.37</c:v>
              </c:pt>
              <c:pt idx="2124">
                <c:v>6.37</c:v>
              </c:pt>
              <c:pt idx="2125">
                <c:v>6.37</c:v>
              </c:pt>
              <c:pt idx="2126">
                <c:v>6.37</c:v>
              </c:pt>
              <c:pt idx="2127">
                <c:v>6.37</c:v>
              </c:pt>
              <c:pt idx="2128">
                <c:v>6.37</c:v>
              </c:pt>
              <c:pt idx="2129">
                <c:v>6.37</c:v>
              </c:pt>
              <c:pt idx="2130">
                <c:v>6.37</c:v>
              </c:pt>
              <c:pt idx="2131">
                <c:v>6.37</c:v>
              </c:pt>
              <c:pt idx="2132">
                <c:v>6.37</c:v>
              </c:pt>
              <c:pt idx="2133">
                <c:v>6.37</c:v>
              </c:pt>
              <c:pt idx="2134">
                <c:v>6.37</c:v>
              </c:pt>
              <c:pt idx="2135">
                <c:v>6.37</c:v>
              </c:pt>
              <c:pt idx="2136">
                <c:v>6.37</c:v>
              </c:pt>
              <c:pt idx="2137">
                <c:v>6.37</c:v>
              </c:pt>
              <c:pt idx="2138">
                <c:v>6.37</c:v>
              </c:pt>
              <c:pt idx="2139">
                <c:v>6.37</c:v>
              </c:pt>
              <c:pt idx="2140">
                <c:v>6.37</c:v>
              </c:pt>
              <c:pt idx="2141">
                <c:v>6.37</c:v>
              </c:pt>
              <c:pt idx="2142">
                <c:v>6.37</c:v>
              </c:pt>
              <c:pt idx="2143">
                <c:v>6.37</c:v>
              </c:pt>
              <c:pt idx="2144">
                <c:v>6.37</c:v>
              </c:pt>
              <c:pt idx="2145">
                <c:v>6.37</c:v>
              </c:pt>
              <c:pt idx="2146">
                <c:v>6.37</c:v>
              </c:pt>
              <c:pt idx="2147">
                <c:v>6.37</c:v>
              </c:pt>
              <c:pt idx="2148">
                <c:v>6.37</c:v>
              </c:pt>
              <c:pt idx="2149">
                <c:v>6.37</c:v>
              </c:pt>
              <c:pt idx="2150">
                <c:v>6.37</c:v>
              </c:pt>
              <c:pt idx="2151">
                <c:v>6.37</c:v>
              </c:pt>
              <c:pt idx="2152">
                <c:v>6.37</c:v>
              </c:pt>
              <c:pt idx="2153">
                <c:v>6.37</c:v>
              </c:pt>
              <c:pt idx="2154">
                <c:v>6.37</c:v>
              </c:pt>
              <c:pt idx="2155">
                <c:v>6.37</c:v>
              </c:pt>
              <c:pt idx="2156">
                <c:v>6.37</c:v>
              </c:pt>
              <c:pt idx="2157">
                <c:v>6.37</c:v>
              </c:pt>
              <c:pt idx="2158">
                <c:v>6.37</c:v>
              </c:pt>
              <c:pt idx="2159">
                <c:v>6.37</c:v>
              </c:pt>
              <c:pt idx="2160">
                <c:v>6.37</c:v>
              </c:pt>
              <c:pt idx="2161">
                <c:v>6.37</c:v>
              </c:pt>
              <c:pt idx="2162">
                <c:v>6.37</c:v>
              </c:pt>
              <c:pt idx="2163">
                <c:v>6.37</c:v>
              </c:pt>
              <c:pt idx="2164">
                <c:v>6.37</c:v>
              </c:pt>
              <c:pt idx="2165">
                <c:v>6.37</c:v>
              </c:pt>
              <c:pt idx="2166">
                <c:v>6.37</c:v>
              </c:pt>
              <c:pt idx="2167">
                <c:v>6.37</c:v>
              </c:pt>
              <c:pt idx="2168">
                <c:v>6.37</c:v>
              </c:pt>
              <c:pt idx="2169">
                <c:v>6.37</c:v>
              </c:pt>
              <c:pt idx="2170">
                <c:v>6.37</c:v>
              </c:pt>
              <c:pt idx="2171">
                <c:v>6.37</c:v>
              </c:pt>
              <c:pt idx="2172">
                <c:v>6.37</c:v>
              </c:pt>
              <c:pt idx="2173">
                <c:v>6.37</c:v>
              </c:pt>
              <c:pt idx="2174">
                <c:v>6.37</c:v>
              </c:pt>
              <c:pt idx="2175">
                <c:v>6.37</c:v>
              </c:pt>
              <c:pt idx="2176">
                <c:v>6.37</c:v>
              </c:pt>
              <c:pt idx="2177">
                <c:v>6.37</c:v>
              </c:pt>
              <c:pt idx="2178">
                <c:v>6.37</c:v>
              </c:pt>
              <c:pt idx="2179">
                <c:v>6.37</c:v>
              </c:pt>
              <c:pt idx="2180">
                <c:v>6.37</c:v>
              </c:pt>
              <c:pt idx="2181">
                <c:v>6.37</c:v>
              </c:pt>
              <c:pt idx="2182">
                <c:v>6.37</c:v>
              </c:pt>
              <c:pt idx="2183">
                <c:v>6.37</c:v>
              </c:pt>
              <c:pt idx="2184">
                <c:v>6.37</c:v>
              </c:pt>
              <c:pt idx="2185">
                <c:v>6.37</c:v>
              </c:pt>
              <c:pt idx="2186">
                <c:v>6.37</c:v>
              </c:pt>
              <c:pt idx="2187">
                <c:v>6.37</c:v>
              </c:pt>
              <c:pt idx="2188">
                <c:v>6.37</c:v>
              </c:pt>
              <c:pt idx="2189">
                <c:v>6.37</c:v>
              </c:pt>
              <c:pt idx="2190">
                <c:v>6.37</c:v>
              </c:pt>
              <c:pt idx="2191">
                <c:v>6.37</c:v>
              </c:pt>
              <c:pt idx="2192">
                <c:v>6.37</c:v>
              </c:pt>
              <c:pt idx="2193">
                <c:v>6.37</c:v>
              </c:pt>
              <c:pt idx="2194">
                <c:v>6.37</c:v>
              </c:pt>
              <c:pt idx="2195">
                <c:v>6.37</c:v>
              </c:pt>
              <c:pt idx="2196">
                <c:v>6.37</c:v>
              </c:pt>
              <c:pt idx="2197">
                <c:v>6.37</c:v>
              </c:pt>
              <c:pt idx="2198">
                <c:v>6.37</c:v>
              </c:pt>
              <c:pt idx="2199">
                <c:v>6.37</c:v>
              </c:pt>
              <c:pt idx="2200">
                <c:v>6.37</c:v>
              </c:pt>
              <c:pt idx="2201">
                <c:v>6.37</c:v>
              </c:pt>
              <c:pt idx="2202">
                <c:v>6.37</c:v>
              </c:pt>
              <c:pt idx="2203">
                <c:v>6.37</c:v>
              </c:pt>
              <c:pt idx="2204">
                <c:v>6.37</c:v>
              </c:pt>
              <c:pt idx="2205">
                <c:v>6.37</c:v>
              </c:pt>
              <c:pt idx="2206">
                <c:v>6.37</c:v>
              </c:pt>
              <c:pt idx="2207">
                <c:v>6.37</c:v>
              </c:pt>
              <c:pt idx="2208">
                <c:v>6.37</c:v>
              </c:pt>
              <c:pt idx="2209">
                <c:v>6.37</c:v>
              </c:pt>
              <c:pt idx="2210">
                <c:v>6.37</c:v>
              </c:pt>
              <c:pt idx="2211">
                <c:v>6.37</c:v>
              </c:pt>
              <c:pt idx="2212">
                <c:v>6.37</c:v>
              </c:pt>
              <c:pt idx="2213">
                <c:v>6.37</c:v>
              </c:pt>
              <c:pt idx="2214">
                <c:v>6.37</c:v>
              </c:pt>
              <c:pt idx="2215">
                <c:v>6.37</c:v>
              </c:pt>
              <c:pt idx="2216">
                <c:v>6.37</c:v>
              </c:pt>
              <c:pt idx="2217">
                <c:v>6.37</c:v>
              </c:pt>
              <c:pt idx="2218">
                <c:v>6.37</c:v>
              </c:pt>
              <c:pt idx="2219">
                <c:v>6.37</c:v>
              </c:pt>
              <c:pt idx="2220">
                <c:v>6.37</c:v>
              </c:pt>
              <c:pt idx="2221">
                <c:v>6.37</c:v>
              </c:pt>
              <c:pt idx="2222">
                <c:v>6.37</c:v>
              </c:pt>
              <c:pt idx="2223">
                <c:v>6.37</c:v>
              </c:pt>
              <c:pt idx="2224">
                <c:v>6.37</c:v>
              </c:pt>
              <c:pt idx="2225">
                <c:v>6.37</c:v>
              </c:pt>
              <c:pt idx="2226">
                <c:v>6.37</c:v>
              </c:pt>
              <c:pt idx="2227">
                <c:v>6.37</c:v>
              </c:pt>
              <c:pt idx="2228">
                <c:v>6.37</c:v>
              </c:pt>
              <c:pt idx="2229">
                <c:v>6.37</c:v>
              </c:pt>
              <c:pt idx="2230">
                <c:v>6.37</c:v>
              </c:pt>
              <c:pt idx="2231">
                <c:v>6.37</c:v>
              </c:pt>
              <c:pt idx="2232">
                <c:v>6.37</c:v>
              </c:pt>
              <c:pt idx="2233">
                <c:v>6.37</c:v>
              </c:pt>
              <c:pt idx="2234">
                <c:v>6.37</c:v>
              </c:pt>
              <c:pt idx="2235">
                <c:v>6.37</c:v>
              </c:pt>
              <c:pt idx="2236">
                <c:v>6.37</c:v>
              </c:pt>
              <c:pt idx="2237">
                <c:v>6.37</c:v>
              </c:pt>
              <c:pt idx="2238">
                <c:v>6.37</c:v>
              </c:pt>
              <c:pt idx="2239">
                <c:v>6.37</c:v>
              </c:pt>
              <c:pt idx="2240">
                <c:v>6.37</c:v>
              </c:pt>
              <c:pt idx="2241">
                <c:v>6.37</c:v>
              </c:pt>
              <c:pt idx="2242">
                <c:v>6.37</c:v>
              </c:pt>
              <c:pt idx="2243">
                <c:v>6.37</c:v>
              </c:pt>
              <c:pt idx="2244">
                <c:v>6.37</c:v>
              </c:pt>
              <c:pt idx="2245">
                <c:v>6.37</c:v>
              </c:pt>
              <c:pt idx="2246">
                <c:v>6.37</c:v>
              </c:pt>
              <c:pt idx="2247">
                <c:v>6.37</c:v>
              </c:pt>
              <c:pt idx="2248">
                <c:v>6.37</c:v>
              </c:pt>
              <c:pt idx="2249">
                <c:v>6.37</c:v>
              </c:pt>
              <c:pt idx="2250">
                <c:v>6.37</c:v>
              </c:pt>
              <c:pt idx="2251">
                <c:v>6.37</c:v>
              </c:pt>
              <c:pt idx="2252">
                <c:v>6.37</c:v>
              </c:pt>
              <c:pt idx="2253">
                <c:v>6.37</c:v>
              </c:pt>
              <c:pt idx="2254">
                <c:v>6.37</c:v>
              </c:pt>
              <c:pt idx="2255">
                <c:v>6.37</c:v>
              </c:pt>
              <c:pt idx="2256">
                <c:v>6.37</c:v>
              </c:pt>
              <c:pt idx="2257">
                <c:v>6.37</c:v>
              </c:pt>
              <c:pt idx="2258">
                <c:v>6.37</c:v>
              </c:pt>
              <c:pt idx="2259">
                <c:v>6.37</c:v>
              </c:pt>
              <c:pt idx="2260">
                <c:v>6.37</c:v>
              </c:pt>
              <c:pt idx="2261">
                <c:v>6.37</c:v>
              </c:pt>
              <c:pt idx="2262">
                <c:v>6.37</c:v>
              </c:pt>
              <c:pt idx="2263">
                <c:v>6.37</c:v>
              </c:pt>
              <c:pt idx="2264">
                <c:v>6.37</c:v>
              </c:pt>
              <c:pt idx="2265">
                <c:v>6.37</c:v>
              </c:pt>
              <c:pt idx="2266">
                <c:v>6.37</c:v>
              </c:pt>
              <c:pt idx="2267">
                <c:v>6.37</c:v>
              </c:pt>
              <c:pt idx="2268">
                <c:v>6.37</c:v>
              </c:pt>
              <c:pt idx="2269">
                <c:v>6.37</c:v>
              </c:pt>
              <c:pt idx="2270">
                <c:v>6.37</c:v>
              </c:pt>
              <c:pt idx="2271">
                <c:v>6.37</c:v>
              </c:pt>
              <c:pt idx="2272">
                <c:v>6.37</c:v>
              </c:pt>
              <c:pt idx="2273">
                <c:v>6.37</c:v>
              </c:pt>
              <c:pt idx="2274">
                <c:v>6.37</c:v>
              </c:pt>
              <c:pt idx="2275">
                <c:v>6.37</c:v>
              </c:pt>
              <c:pt idx="2276">
                <c:v>6.37</c:v>
              </c:pt>
              <c:pt idx="2277">
                <c:v>6.37</c:v>
              </c:pt>
              <c:pt idx="2278">
                <c:v>6.37</c:v>
              </c:pt>
              <c:pt idx="2279">
                <c:v>6.37</c:v>
              </c:pt>
              <c:pt idx="2280">
                <c:v>6.37</c:v>
              </c:pt>
              <c:pt idx="2281">
                <c:v>6.37</c:v>
              </c:pt>
              <c:pt idx="2282">
                <c:v>6.37</c:v>
              </c:pt>
              <c:pt idx="2283">
                <c:v>6.37</c:v>
              </c:pt>
              <c:pt idx="2284">
                <c:v>6.37</c:v>
              </c:pt>
              <c:pt idx="2285">
                <c:v>6.37</c:v>
              </c:pt>
              <c:pt idx="2286">
                <c:v>6.37</c:v>
              </c:pt>
              <c:pt idx="2287">
                <c:v>6.37</c:v>
              </c:pt>
              <c:pt idx="2288">
                <c:v>6.37</c:v>
              </c:pt>
              <c:pt idx="2289">
                <c:v>6.37</c:v>
              </c:pt>
              <c:pt idx="2290">
                <c:v>6.37</c:v>
              </c:pt>
              <c:pt idx="2291">
                <c:v>6.37</c:v>
              </c:pt>
              <c:pt idx="2292">
                <c:v>6.37</c:v>
              </c:pt>
              <c:pt idx="2293">
                <c:v>6.37</c:v>
              </c:pt>
              <c:pt idx="2294">
                <c:v>6.37</c:v>
              </c:pt>
              <c:pt idx="2295">
                <c:v>6.37</c:v>
              </c:pt>
              <c:pt idx="2296">
                <c:v>6.37</c:v>
              </c:pt>
              <c:pt idx="2297">
                <c:v>6.37</c:v>
              </c:pt>
              <c:pt idx="2298">
                <c:v>6.37</c:v>
              </c:pt>
              <c:pt idx="2299">
                <c:v>6.37</c:v>
              </c:pt>
              <c:pt idx="2300">
                <c:v>6.37</c:v>
              </c:pt>
              <c:pt idx="2301">
                <c:v>6.37</c:v>
              </c:pt>
              <c:pt idx="2302">
                <c:v>6.37</c:v>
              </c:pt>
              <c:pt idx="2303">
                <c:v>6.37</c:v>
              </c:pt>
              <c:pt idx="2304">
                <c:v>6.37</c:v>
              </c:pt>
              <c:pt idx="2305">
                <c:v>6.37</c:v>
              </c:pt>
              <c:pt idx="2306">
                <c:v>6.37</c:v>
              </c:pt>
              <c:pt idx="2307">
                <c:v>6.37</c:v>
              </c:pt>
              <c:pt idx="2308">
                <c:v>6.37</c:v>
              </c:pt>
              <c:pt idx="2309">
                <c:v>6.37</c:v>
              </c:pt>
              <c:pt idx="2310">
                <c:v>6.37</c:v>
              </c:pt>
              <c:pt idx="2311">
                <c:v>6.37</c:v>
              </c:pt>
              <c:pt idx="2312">
                <c:v>6.37</c:v>
              </c:pt>
              <c:pt idx="2313">
                <c:v>6.37</c:v>
              </c:pt>
              <c:pt idx="2314">
                <c:v>6.37</c:v>
              </c:pt>
              <c:pt idx="2315">
                <c:v>6.37</c:v>
              </c:pt>
              <c:pt idx="2316">
                <c:v>6.37</c:v>
              </c:pt>
              <c:pt idx="2317">
                <c:v>6.37</c:v>
              </c:pt>
              <c:pt idx="2318">
                <c:v>6.37</c:v>
              </c:pt>
              <c:pt idx="2319">
                <c:v>6.37</c:v>
              </c:pt>
              <c:pt idx="2320">
                <c:v>6.37</c:v>
              </c:pt>
              <c:pt idx="2321">
                <c:v>6.37</c:v>
              </c:pt>
              <c:pt idx="2322">
                <c:v>6.37</c:v>
              </c:pt>
              <c:pt idx="2323">
                <c:v>6.37</c:v>
              </c:pt>
              <c:pt idx="2324">
                <c:v>6.37</c:v>
              </c:pt>
              <c:pt idx="2325">
                <c:v>6.37</c:v>
              </c:pt>
              <c:pt idx="2326">
                <c:v>6.37</c:v>
              </c:pt>
              <c:pt idx="2327">
                <c:v>6.37</c:v>
              </c:pt>
              <c:pt idx="2328">
                <c:v>6.37</c:v>
              </c:pt>
              <c:pt idx="2329">
                <c:v>6.37</c:v>
              </c:pt>
              <c:pt idx="2330">
                <c:v>6.37</c:v>
              </c:pt>
              <c:pt idx="2331">
                <c:v>6.37</c:v>
              </c:pt>
              <c:pt idx="2332">
                <c:v>6.37</c:v>
              </c:pt>
              <c:pt idx="2333">
                <c:v>6.37</c:v>
              </c:pt>
              <c:pt idx="2334">
                <c:v>6.37</c:v>
              </c:pt>
              <c:pt idx="2335">
                <c:v>6.37</c:v>
              </c:pt>
              <c:pt idx="2336">
                <c:v>6.37</c:v>
              </c:pt>
              <c:pt idx="2337">
                <c:v>6.37</c:v>
              </c:pt>
              <c:pt idx="2338">
                <c:v>6.37</c:v>
              </c:pt>
              <c:pt idx="2339">
                <c:v>6.37</c:v>
              </c:pt>
              <c:pt idx="2340">
                <c:v>6.37</c:v>
              </c:pt>
              <c:pt idx="2341">
                <c:v>6.37</c:v>
              </c:pt>
              <c:pt idx="2342">
                <c:v>6.37</c:v>
              </c:pt>
              <c:pt idx="2343">
                <c:v>6.37</c:v>
              </c:pt>
              <c:pt idx="2344">
                <c:v>6.37</c:v>
              </c:pt>
              <c:pt idx="2345">
                <c:v>6.37</c:v>
              </c:pt>
              <c:pt idx="2346">
                <c:v>6.37</c:v>
              </c:pt>
              <c:pt idx="2347">
                <c:v>6.37</c:v>
              </c:pt>
              <c:pt idx="2348">
                <c:v>6.37</c:v>
              </c:pt>
              <c:pt idx="2349">
                <c:v>6.37</c:v>
              </c:pt>
              <c:pt idx="2350">
                <c:v>6.37</c:v>
              </c:pt>
              <c:pt idx="2351">
                <c:v>6.37</c:v>
              </c:pt>
              <c:pt idx="2352">
                <c:v>6.37</c:v>
              </c:pt>
              <c:pt idx="2353">
                <c:v>6.37</c:v>
              </c:pt>
              <c:pt idx="2354">
                <c:v>6.37</c:v>
              </c:pt>
              <c:pt idx="2355">
                <c:v>6.37</c:v>
              </c:pt>
              <c:pt idx="2356">
                <c:v>6.37</c:v>
              </c:pt>
              <c:pt idx="2357">
                <c:v>6.37</c:v>
              </c:pt>
              <c:pt idx="2358">
                <c:v>6.37</c:v>
              </c:pt>
              <c:pt idx="2359">
                <c:v>6.37</c:v>
              </c:pt>
              <c:pt idx="2360">
                <c:v>6.37</c:v>
              </c:pt>
              <c:pt idx="2361">
                <c:v>6.37</c:v>
              </c:pt>
              <c:pt idx="2362">
                <c:v>6.37</c:v>
              </c:pt>
              <c:pt idx="2363">
                <c:v>6.37</c:v>
              </c:pt>
              <c:pt idx="2364">
                <c:v>6.37</c:v>
              </c:pt>
              <c:pt idx="2365">
                <c:v>6.37</c:v>
              </c:pt>
              <c:pt idx="2366">
                <c:v>6.37</c:v>
              </c:pt>
              <c:pt idx="2367">
                <c:v>6.37</c:v>
              </c:pt>
              <c:pt idx="2368">
                <c:v>6.37</c:v>
              </c:pt>
              <c:pt idx="2369">
                <c:v>6.37</c:v>
              </c:pt>
              <c:pt idx="2370">
                <c:v>6.37</c:v>
              </c:pt>
              <c:pt idx="2371">
                <c:v>6.37</c:v>
              </c:pt>
              <c:pt idx="2372">
                <c:v>6.37</c:v>
              </c:pt>
              <c:pt idx="2373">
                <c:v>6.37</c:v>
              </c:pt>
              <c:pt idx="2374">
                <c:v>6.37</c:v>
              </c:pt>
              <c:pt idx="2375">
                <c:v>6.37</c:v>
              </c:pt>
              <c:pt idx="2376">
                <c:v>6.37</c:v>
              </c:pt>
              <c:pt idx="2377">
                <c:v>6.37</c:v>
              </c:pt>
              <c:pt idx="2378">
                <c:v>6.37</c:v>
              </c:pt>
              <c:pt idx="2379">
                <c:v>6.37</c:v>
              </c:pt>
              <c:pt idx="2380">
                <c:v>6.37</c:v>
              </c:pt>
              <c:pt idx="2381">
                <c:v>6.37</c:v>
              </c:pt>
              <c:pt idx="2382">
                <c:v>6.37</c:v>
              </c:pt>
              <c:pt idx="2383">
                <c:v>6.37</c:v>
              </c:pt>
              <c:pt idx="2384">
                <c:v>6.37</c:v>
              </c:pt>
              <c:pt idx="2385">
                <c:v>6.37</c:v>
              </c:pt>
              <c:pt idx="2386">
                <c:v>6.37</c:v>
              </c:pt>
              <c:pt idx="2387">
                <c:v>6.37</c:v>
              </c:pt>
              <c:pt idx="2388">
                <c:v>6.37</c:v>
              </c:pt>
              <c:pt idx="2389">
                <c:v>6.37</c:v>
              </c:pt>
              <c:pt idx="2390">
                <c:v>6.37</c:v>
              </c:pt>
              <c:pt idx="2391">
                <c:v>6.37</c:v>
              </c:pt>
              <c:pt idx="2392">
                <c:v>6.37</c:v>
              </c:pt>
              <c:pt idx="2393">
                <c:v>6.37</c:v>
              </c:pt>
              <c:pt idx="2394">
                <c:v>6.37</c:v>
              </c:pt>
              <c:pt idx="2395">
                <c:v>6.37</c:v>
              </c:pt>
              <c:pt idx="2396">
                <c:v>6.37</c:v>
              </c:pt>
              <c:pt idx="2397">
                <c:v>6.37</c:v>
              </c:pt>
              <c:pt idx="2398">
                <c:v>6.37</c:v>
              </c:pt>
              <c:pt idx="2399">
                <c:v>6.37</c:v>
              </c:pt>
              <c:pt idx="2400">
                <c:v>6.37</c:v>
              </c:pt>
              <c:pt idx="2401">
                <c:v>6.37</c:v>
              </c:pt>
              <c:pt idx="2402">
                <c:v>6.37</c:v>
              </c:pt>
              <c:pt idx="2403">
                <c:v>6.37</c:v>
              </c:pt>
              <c:pt idx="2404">
                <c:v>6.37</c:v>
              </c:pt>
              <c:pt idx="2405">
                <c:v>6.37</c:v>
              </c:pt>
              <c:pt idx="2406">
                <c:v>6.37</c:v>
              </c:pt>
              <c:pt idx="2407">
                <c:v>6.37</c:v>
              </c:pt>
              <c:pt idx="2408">
                <c:v>6.37</c:v>
              </c:pt>
              <c:pt idx="2409">
                <c:v>6.37</c:v>
              </c:pt>
              <c:pt idx="2410">
                <c:v>6.37</c:v>
              </c:pt>
              <c:pt idx="2411">
                <c:v>6.37</c:v>
              </c:pt>
              <c:pt idx="2412">
                <c:v>6.37</c:v>
              </c:pt>
              <c:pt idx="2413">
                <c:v>6.37</c:v>
              </c:pt>
              <c:pt idx="2414">
                <c:v>6.37</c:v>
              </c:pt>
              <c:pt idx="2415">
                <c:v>6.37</c:v>
              </c:pt>
              <c:pt idx="2416">
                <c:v>6.37</c:v>
              </c:pt>
              <c:pt idx="2417">
                <c:v>6.37</c:v>
              </c:pt>
              <c:pt idx="2418">
                <c:v>6.37</c:v>
              </c:pt>
              <c:pt idx="2419">
                <c:v>6.37</c:v>
              </c:pt>
              <c:pt idx="2420">
                <c:v>6.37</c:v>
              </c:pt>
              <c:pt idx="2421">
                <c:v>6.37</c:v>
              </c:pt>
              <c:pt idx="2422">
                <c:v>6.37</c:v>
              </c:pt>
              <c:pt idx="2423">
                <c:v>6.37</c:v>
              </c:pt>
              <c:pt idx="2424">
                <c:v>6.37</c:v>
              </c:pt>
              <c:pt idx="2425">
                <c:v>6.37</c:v>
              </c:pt>
              <c:pt idx="2426">
                <c:v>6.37</c:v>
              </c:pt>
              <c:pt idx="2427">
                <c:v>6.37</c:v>
              </c:pt>
              <c:pt idx="2428">
                <c:v>6.37</c:v>
              </c:pt>
              <c:pt idx="2429">
                <c:v>6.37</c:v>
              </c:pt>
              <c:pt idx="2430">
                <c:v>6.37</c:v>
              </c:pt>
              <c:pt idx="2431">
                <c:v>6.37</c:v>
              </c:pt>
              <c:pt idx="2432">
                <c:v>6.37</c:v>
              </c:pt>
              <c:pt idx="2433">
                <c:v>6.37</c:v>
              </c:pt>
              <c:pt idx="2434">
                <c:v>6.37</c:v>
              </c:pt>
              <c:pt idx="2435">
                <c:v>6.37</c:v>
              </c:pt>
              <c:pt idx="2436">
                <c:v>6.37</c:v>
              </c:pt>
              <c:pt idx="2437">
                <c:v>6.37</c:v>
              </c:pt>
              <c:pt idx="2438">
                <c:v>6.37</c:v>
              </c:pt>
              <c:pt idx="2439">
                <c:v>6.37</c:v>
              </c:pt>
              <c:pt idx="2440">
                <c:v>6.37</c:v>
              </c:pt>
              <c:pt idx="2441">
                <c:v>6.37</c:v>
              </c:pt>
              <c:pt idx="2442">
                <c:v>6.37</c:v>
              </c:pt>
              <c:pt idx="2443">
                <c:v>6.37</c:v>
              </c:pt>
              <c:pt idx="2444">
                <c:v>6.37</c:v>
              </c:pt>
              <c:pt idx="2445">
                <c:v>6.37</c:v>
              </c:pt>
              <c:pt idx="2446">
                <c:v>6.37</c:v>
              </c:pt>
              <c:pt idx="2447">
                <c:v>6.37</c:v>
              </c:pt>
              <c:pt idx="2448">
                <c:v>6.37</c:v>
              </c:pt>
              <c:pt idx="2449">
                <c:v>6.37</c:v>
              </c:pt>
              <c:pt idx="2450">
                <c:v>6.37</c:v>
              </c:pt>
              <c:pt idx="2451">
                <c:v>6.37</c:v>
              </c:pt>
              <c:pt idx="2452">
                <c:v>6.37</c:v>
              </c:pt>
              <c:pt idx="2453">
                <c:v>6.37</c:v>
              </c:pt>
              <c:pt idx="2454">
                <c:v>6.37</c:v>
              </c:pt>
              <c:pt idx="2455">
                <c:v>6.37</c:v>
              </c:pt>
              <c:pt idx="2456">
                <c:v>6.37</c:v>
              </c:pt>
              <c:pt idx="2457">
                <c:v>6.37</c:v>
              </c:pt>
              <c:pt idx="2458">
                <c:v>6.37</c:v>
              </c:pt>
              <c:pt idx="2459">
                <c:v>6.37</c:v>
              </c:pt>
              <c:pt idx="2460">
                <c:v>6.37</c:v>
              </c:pt>
              <c:pt idx="2461">
                <c:v>6.37</c:v>
              </c:pt>
              <c:pt idx="2462">
                <c:v>6.37</c:v>
              </c:pt>
              <c:pt idx="2463">
                <c:v>6.37</c:v>
              </c:pt>
              <c:pt idx="2464">
                <c:v>6.37</c:v>
              </c:pt>
              <c:pt idx="2465">
                <c:v>6.37</c:v>
              </c:pt>
              <c:pt idx="2466">
                <c:v>6.37</c:v>
              </c:pt>
              <c:pt idx="2467">
                <c:v>6.37</c:v>
              </c:pt>
              <c:pt idx="2468">
                <c:v>6.37</c:v>
              </c:pt>
              <c:pt idx="2469">
                <c:v>6.37</c:v>
              </c:pt>
              <c:pt idx="2470">
                <c:v>6.37</c:v>
              </c:pt>
              <c:pt idx="2471">
                <c:v>6.37</c:v>
              </c:pt>
              <c:pt idx="2472">
                <c:v>6.37</c:v>
              </c:pt>
              <c:pt idx="2473">
                <c:v>6.37</c:v>
              </c:pt>
              <c:pt idx="2474">
                <c:v>6.37</c:v>
              </c:pt>
              <c:pt idx="2475">
                <c:v>6.37</c:v>
              </c:pt>
              <c:pt idx="2476">
                <c:v>6.37</c:v>
              </c:pt>
              <c:pt idx="2477">
                <c:v>6.37</c:v>
              </c:pt>
              <c:pt idx="2478">
                <c:v>6.37</c:v>
              </c:pt>
              <c:pt idx="2479">
                <c:v>6.37</c:v>
              </c:pt>
              <c:pt idx="2480">
                <c:v>6.37</c:v>
              </c:pt>
              <c:pt idx="2481">
                <c:v>6.37</c:v>
              </c:pt>
              <c:pt idx="2482">
                <c:v>6.37</c:v>
              </c:pt>
              <c:pt idx="2483">
                <c:v>6.37</c:v>
              </c:pt>
              <c:pt idx="2484">
                <c:v>6.37</c:v>
              </c:pt>
              <c:pt idx="2485">
                <c:v>6.37</c:v>
              </c:pt>
              <c:pt idx="2486">
                <c:v>6.37</c:v>
              </c:pt>
              <c:pt idx="2487">
                <c:v>6.37</c:v>
              </c:pt>
              <c:pt idx="2488">
                <c:v>6.37</c:v>
              </c:pt>
              <c:pt idx="2489">
                <c:v>6.37</c:v>
              </c:pt>
              <c:pt idx="2490">
                <c:v>6.37</c:v>
              </c:pt>
              <c:pt idx="2491">
                <c:v>6.37</c:v>
              </c:pt>
              <c:pt idx="2492">
                <c:v>6.37</c:v>
              </c:pt>
              <c:pt idx="2493">
                <c:v>6.37</c:v>
              </c:pt>
              <c:pt idx="2494">
                <c:v>6.37</c:v>
              </c:pt>
              <c:pt idx="2495">
                <c:v>6.37</c:v>
              </c:pt>
              <c:pt idx="2496">
                <c:v>6.37</c:v>
              </c:pt>
              <c:pt idx="2497">
                <c:v>6.37</c:v>
              </c:pt>
              <c:pt idx="2498">
                <c:v>6.37</c:v>
              </c:pt>
              <c:pt idx="2499">
                <c:v>6.37</c:v>
              </c:pt>
              <c:pt idx="2500">
                <c:v>6.37</c:v>
              </c:pt>
              <c:pt idx="2501">
                <c:v>6.37</c:v>
              </c:pt>
              <c:pt idx="2502">
                <c:v>6.37</c:v>
              </c:pt>
              <c:pt idx="2503">
                <c:v>6.37</c:v>
              </c:pt>
              <c:pt idx="2504">
                <c:v>6.37</c:v>
              </c:pt>
              <c:pt idx="2505">
                <c:v>6.37</c:v>
              </c:pt>
              <c:pt idx="2506">
                <c:v>6.37</c:v>
              </c:pt>
              <c:pt idx="2507">
                <c:v>6.37</c:v>
              </c:pt>
              <c:pt idx="2508">
                <c:v>6.37</c:v>
              </c:pt>
              <c:pt idx="2509">
                <c:v>6.37</c:v>
              </c:pt>
              <c:pt idx="2510">
                <c:v>6.37</c:v>
              </c:pt>
              <c:pt idx="2511">
                <c:v>6.37</c:v>
              </c:pt>
              <c:pt idx="2512">
                <c:v>6.37</c:v>
              </c:pt>
              <c:pt idx="2513">
                <c:v>6.37</c:v>
              </c:pt>
              <c:pt idx="2514">
                <c:v>6.37</c:v>
              </c:pt>
              <c:pt idx="2515">
                <c:v>6.37</c:v>
              </c:pt>
              <c:pt idx="2516">
                <c:v>6.37</c:v>
              </c:pt>
              <c:pt idx="2517">
                <c:v>6.37</c:v>
              </c:pt>
              <c:pt idx="2518">
                <c:v>6.37</c:v>
              </c:pt>
              <c:pt idx="2519">
                <c:v>6.37</c:v>
              </c:pt>
              <c:pt idx="2520">
                <c:v>6.37</c:v>
              </c:pt>
              <c:pt idx="2521">
                <c:v>6.37</c:v>
              </c:pt>
              <c:pt idx="2522">
                <c:v>6.37</c:v>
              </c:pt>
              <c:pt idx="2523">
                <c:v>6.37</c:v>
              </c:pt>
              <c:pt idx="2524">
                <c:v>6.37</c:v>
              </c:pt>
              <c:pt idx="2525">
                <c:v>6.37</c:v>
              </c:pt>
              <c:pt idx="2526">
                <c:v>6.37</c:v>
              </c:pt>
              <c:pt idx="2527">
                <c:v>6.37</c:v>
              </c:pt>
              <c:pt idx="2528">
                <c:v>6.37</c:v>
              </c:pt>
              <c:pt idx="2529">
                <c:v>6.37</c:v>
              </c:pt>
              <c:pt idx="2530">
                <c:v>6.37</c:v>
              </c:pt>
              <c:pt idx="2531">
                <c:v>6.37</c:v>
              </c:pt>
              <c:pt idx="2532">
                <c:v>6.37</c:v>
              </c:pt>
              <c:pt idx="2533">
                <c:v>6.37</c:v>
              </c:pt>
              <c:pt idx="2534">
                <c:v>6.37</c:v>
              </c:pt>
              <c:pt idx="2535">
                <c:v>6.37</c:v>
              </c:pt>
              <c:pt idx="2536">
                <c:v>6.37</c:v>
              </c:pt>
              <c:pt idx="2537">
                <c:v>6.37</c:v>
              </c:pt>
              <c:pt idx="2538">
                <c:v>6.37</c:v>
              </c:pt>
              <c:pt idx="2539">
                <c:v>6.37</c:v>
              </c:pt>
              <c:pt idx="2540">
                <c:v>6.37</c:v>
              </c:pt>
              <c:pt idx="2541">
                <c:v>6.37</c:v>
              </c:pt>
              <c:pt idx="2542">
                <c:v>6.37</c:v>
              </c:pt>
              <c:pt idx="2543">
                <c:v>6.37</c:v>
              </c:pt>
              <c:pt idx="2544">
                <c:v>6.37</c:v>
              </c:pt>
              <c:pt idx="2545">
                <c:v>6.37</c:v>
              </c:pt>
              <c:pt idx="2546">
                <c:v>6.37</c:v>
              </c:pt>
              <c:pt idx="2547">
                <c:v>6.37</c:v>
              </c:pt>
              <c:pt idx="2548">
                <c:v>6.37</c:v>
              </c:pt>
              <c:pt idx="2549">
                <c:v>6.37</c:v>
              </c:pt>
              <c:pt idx="2550">
                <c:v>6.37</c:v>
              </c:pt>
              <c:pt idx="2551">
                <c:v>6.37</c:v>
              </c:pt>
              <c:pt idx="2552">
                <c:v>6.37</c:v>
              </c:pt>
              <c:pt idx="2553">
                <c:v>6.37</c:v>
              </c:pt>
              <c:pt idx="2554">
                <c:v>6.37</c:v>
              </c:pt>
              <c:pt idx="2555">
                <c:v>6.37</c:v>
              </c:pt>
              <c:pt idx="2556">
                <c:v>6.37</c:v>
              </c:pt>
              <c:pt idx="2557">
                <c:v>6.37</c:v>
              </c:pt>
              <c:pt idx="2558">
                <c:v>6.37</c:v>
              </c:pt>
              <c:pt idx="2559">
                <c:v>6.37</c:v>
              </c:pt>
              <c:pt idx="2560">
                <c:v>6.37</c:v>
              </c:pt>
              <c:pt idx="2561">
                <c:v>6.37</c:v>
              </c:pt>
              <c:pt idx="2562">
                <c:v>6.37</c:v>
              </c:pt>
              <c:pt idx="2563">
                <c:v>6.37</c:v>
              </c:pt>
              <c:pt idx="2564">
                <c:v>6.37</c:v>
              </c:pt>
              <c:pt idx="2565">
                <c:v>6.37</c:v>
              </c:pt>
              <c:pt idx="2566">
                <c:v>6.37</c:v>
              </c:pt>
              <c:pt idx="2567">
                <c:v>6.37</c:v>
              </c:pt>
              <c:pt idx="2568">
                <c:v>6.37</c:v>
              </c:pt>
              <c:pt idx="2569">
                <c:v>6.37</c:v>
              </c:pt>
              <c:pt idx="2570">
                <c:v>6.37</c:v>
              </c:pt>
              <c:pt idx="2571">
                <c:v>6.37</c:v>
              </c:pt>
              <c:pt idx="2572">
                <c:v>6.37</c:v>
              </c:pt>
              <c:pt idx="2573">
                <c:v>6.37</c:v>
              </c:pt>
              <c:pt idx="2574">
                <c:v>6.37</c:v>
              </c:pt>
              <c:pt idx="2575">
                <c:v>6.37</c:v>
              </c:pt>
              <c:pt idx="2576">
                <c:v>6.37</c:v>
              </c:pt>
              <c:pt idx="2577">
                <c:v>6.37</c:v>
              </c:pt>
              <c:pt idx="2578">
                <c:v>6.37</c:v>
              </c:pt>
              <c:pt idx="2579">
                <c:v>6.37</c:v>
              </c:pt>
              <c:pt idx="2580">
                <c:v>6.37</c:v>
              </c:pt>
              <c:pt idx="2581">
                <c:v>6.37</c:v>
              </c:pt>
              <c:pt idx="2582">
                <c:v>6.37</c:v>
              </c:pt>
              <c:pt idx="2583">
                <c:v>6.37</c:v>
              </c:pt>
              <c:pt idx="2584">
                <c:v>6.37</c:v>
              </c:pt>
              <c:pt idx="2585">
                <c:v>6.37</c:v>
              </c:pt>
              <c:pt idx="2586">
                <c:v>6.37</c:v>
              </c:pt>
              <c:pt idx="2587">
                <c:v>6.37</c:v>
              </c:pt>
              <c:pt idx="2588">
                <c:v>6.37</c:v>
              </c:pt>
              <c:pt idx="2589">
                <c:v>6.37</c:v>
              </c:pt>
              <c:pt idx="2590">
                <c:v>6.37</c:v>
              </c:pt>
              <c:pt idx="2591">
                <c:v>6.37</c:v>
              </c:pt>
              <c:pt idx="2592">
                <c:v>6.37</c:v>
              </c:pt>
              <c:pt idx="2593">
                <c:v>6.37</c:v>
              </c:pt>
              <c:pt idx="2594">
                <c:v>6.37</c:v>
              </c:pt>
              <c:pt idx="2595">
                <c:v>6.37</c:v>
              </c:pt>
              <c:pt idx="2596">
                <c:v>6.37</c:v>
              </c:pt>
              <c:pt idx="2597">
                <c:v>6.37</c:v>
              </c:pt>
              <c:pt idx="2598">
                <c:v>6.37</c:v>
              </c:pt>
              <c:pt idx="2599">
                <c:v>6.37</c:v>
              </c:pt>
              <c:pt idx="2600">
                <c:v>6.37</c:v>
              </c:pt>
              <c:pt idx="2601">
                <c:v>6.37</c:v>
              </c:pt>
              <c:pt idx="2602">
                <c:v>6.37</c:v>
              </c:pt>
              <c:pt idx="2603">
                <c:v>6.37</c:v>
              </c:pt>
              <c:pt idx="2604">
                <c:v>6.37</c:v>
              </c:pt>
              <c:pt idx="2605">
                <c:v>6.37</c:v>
              </c:pt>
              <c:pt idx="2606">
                <c:v>6.37</c:v>
              </c:pt>
              <c:pt idx="2607">
                <c:v>6.37</c:v>
              </c:pt>
              <c:pt idx="2608">
                <c:v>6.37</c:v>
              </c:pt>
              <c:pt idx="2609">
                <c:v>6.37</c:v>
              </c:pt>
              <c:pt idx="2610">
                <c:v>6.37</c:v>
              </c:pt>
              <c:pt idx="2611">
                <c:v>6.37</c:v>
              </c:pt>
              <c:pt idx="2612">
                <c:v>6.37</c:v>
              </c:pt>
              <c:pt idx="2613">
                <c:v>6.37</c:v>
              </c:pt>
              <c:pt idx="2614">
                <c:v>6.37</c:v>
              </c:pt>
              <c:pt idx="2615">
                <c:v>6.37</c:v>
              </c:pt>
              <c:pt idx="2616">
                <c:v>6.37</c:v>
              </c:pt>
              <c:pt idx="2617">
                <c:v>6.37</c:v>
              </c:pt>
              <c:pt idx="2618">
                <c:v>6.37</c:v>
              </c:pt>
              <c:pt idx="2619">
                <c:v>6.37</c:v>
              </c:pt>
              <c:pt idx="2620">
                <c:v>6.37</c:v>
              </c:pt>
              <c:pt idx="2621">
                <c:v>6.37</c:v>
              </c:pt>
              <c:pt idx="2622">
                <c:v>6.37</c:v>
              </c:pt>
              <c:pt idx="2623">
                <c:v>6.37</c:v>
              </c:pt>
              <c:pt idx="2624">
                <c:v>6.37</c:v>
              </c:pt>
              <c:pt idx="2625">
                <c:v>6.37</c:v>
              </c:pt>
              <c:pt idx="2626">
                <c:v>6.37</c:v>
              </c:pt>
              <c:pt idx="2627">
                <c:v>6.37</c:v>
              </c:pt>
              <c:pt idx="2628">
                <c:v>6.37</c:v>
              </c:pt>
              <c:pt idx="2629">
                <c:v>6.37</c:v>
              </c:pt>
              <c:pt idx="2630">
                <c:v>6.37</c:v>
              </c:pt>
              <c:pt idx="2631">
                <c:v>6.37</c:v>
              </c:pt>
              <c:pt idx="2632">
                <c:v>6.37</c:v>
              </c:pt>
              <c:pt idx="2633">
                <c:v>6.37</c:v>
              </c:pt>
              <c:pt idx="2634">
                <c:v>6.37</c:v>
              </c:pt>
              <c:pt idx="2635">
                <c:v>6.37</c:v>
              </c:pt>
              <c:pt idx="2636">
                <c:v>6.37</c:v>
              </c:pt>
              <c:pt idx="2637">
                <c:v>6.37</c:v>
              </c:pt>
              <c:pt idx="2638">
                <c:v>6.37</c:v>
              </c:pt>
              <c:pt idx="2639">
                <c:v>6.37</c:v>
              </c:pt>
              <c:pt idx="2640">
                <c:v>6.37</c:v>
              </c:pt>
              <c:pt idx="2641">
                <c:v>6.37</c:v>
              </c:pt>
              <c:pt idx="2642">
                <c:v>6.37</c:v>
              </c:pt>
              <c:pt idx="2643">
                <c:v>6.37</c:v>
              </c:pt>
              <c:pt idx="2644">
                <c:v>6.37</c:v>
              </c:pt>
              <c:pt idx="2645">
                <c:v>6.37</c:v>
              </c:pt>
              <c:pt idx="2646">
                <c:v>6.37</c:v>
              </c:pt>
              <c:pt idx="2647">
                <c:v>6.37</c:v>
              </c:pt>
              <c:pt idx="2648">
                <c:v>6.37</c:v>
              </c:pt>
              <c:pt idx="2649">
                <c:v>6.37</c:v>
              </c:pt>
              <c:pt idx="2650">
                <c:v>6.37</c:v>
              </c:pt>
              <c:pt idx="2651">
                <c:v>6.37</c:v>
              </c:pt>
              <c:pt idx="2652">
                <c:v>6.37</c:v>
              </c:pt>
              <c:pt idx="2653">
                <c:v>6.37</c:v>
              </c:pt>
              <c:pt idx="2654">
                <c:v>6.37</c:v>
              </c:pt>
              <c:pt idx="2655">
                <c:v>6.37</c:v>
              </c:pt>
              <c:pt idx="2656">
                <c:v>6.37</c:v>
              </c:pt>
              <c:pt idx="2657">
                <c:v>6.37</c:v>
              </c:pt>
              <c:pt idx="2658">
                <c:v>6.37</c:v>
              </c:pt>
              <c:pt idx="2659">
                <c:v>6.37</c:v>
              </c:pt>
              <c:pt idx="2660">
                <c:v>6.37</c:v>
              </c:pt>
              <c:pt idx="2661">
                <c:v>6.37</c:v>
              </c:pt>
              <c:pt idx="2662">
                <c:v>6.37</c:v>
              </c:pt>
              <c:pt idx="2663">
                <c:v>6.37</c:v>
              </c:pt>
              <c:pt idx="2664">
                <c:v>6.37</c:v>
              </c:pt>
              <c:pt idx="2665">
                <c:v>6.37</c:v>
              </c:pt>
              <c:pt idx="2666">
                <c:v>6.37</c:v>
              </c:pt>
              <c:pt idx="2667">
                <c:v>6.37</c:v>
              </c:pt>
              <c:pt idx="2668">
                <c:v>6.37</c:v>
              </c:pt>
              <c:pt idx="2669">
                <c:v>6.37</c:v>
              </c:pt>
              <c:pt idx="2670">
                <c:v>6.37</c:v>
              </c:pt>
              <c:pt idx="2671">
                <c:v>6.37</c:v>
              </c:pt>
              <c:pt idx="2672">
                <c:v>6.37</c:v>
              </c:pt>
              <c:pt idx="2673">
                <c:v>6.37</c:v>
              </c:pt>
              <c:pt idx="2674">
                <c:v>6.37</c:v>
              </c:pt>
              <c:pt idx="2675">
                <c:v>6.37</c:v>
              </c:pt>
              <c:pt idx="2676">
                <c:v>6.37</c:v>
              </c:pt>
              <c:pt idx="2677">
                <c:v>6.37</c:v>
              </c:pt>
              <c:pt idx="2678">
                <c:v>6.37</c:v>
              </c:pt>
              <c:pt idx="2679">
                <c:v>6.37</c:v>
              </c:pt>
              <c:pt idx="2680">
                <c:v>6.37</c:v>
              </c:pt>
              <c:pt idx="2681">
                <c:v>6.37</c:v>
              </c:pt>
              <c:pt idx="2682">
                <c:v>6.37</c:v>
              </c:pt>
              <c:pt idx="2683">
                <c:v>6.37</c:v>
              </c:pt>
              <c:pt idx="2684">
                <c:v>6.37</c:v>
              </c:pt>
              <c:pt idx="2685">
                <c:v>6.37</c:v>
              </c:pt>
              <c:pt idx="2686">
                <c:v>6.37</c:v>
              </c:pt>
              <c:pt idx="2687">
                <c:v>6.37</c:v>
              </c:pt>
              <c:pt idx="2688">
                <c:v>6.37</c:v>
              </c:pt>
              <c:pt idx="2689">
                <c:v>6.37</c:v>
              </c:pt>
              <c:pt idx="2690">
                <c:v>6.37</c:v>
              </c:pt>
              <c:pt idx="2691">
                <c:v>6.37</c:v>
              </c:pt>
              <c:pt idx="2692">
                <c:v>6.37</c:v>
              </c:pt>
              <c:pt idx="2693">
                <c:v>6.37</c:v>
              </c:pt>
              <c:pt idx="2694">
                <c:v>6.37</c:v>
              </c:pt>
              <c:pt idx="2695">
                <c:v>6.37</c:v>
              </c:pt>
              <c:pt idx="2696">
                <c:v>6.37</c:v>
              </c:pt>
              <c:pt idx="2697">
                <c:v>6.37</c:v>
              </c:pt>
              <c:pt idx="2698">
                <c:v>6.37</c:v>
              </c:pt>
              <c:pt idx="2699">
                <c:v>6.37</c:v>
              </c:pt>
              <c:pt idx="2700">
                <c:v>6.37</c:v>
              </c:pt>
              <c:pt idx="2701">
                <c:v>6.37</c:v>
              </c:pt>
              <c:pt idx="2702">
                <c:v>6.37</c:v>
              </c:pt>
              <c:pt idx="2703">
                <c:v>6.37</c:v>
              </c:pt>
              <c:pt idx="2704">
                <c:v>6.37</c:v>
              </c:pt>
              <c:pt idx="2705">
                <c:v>6.37</c:v>
              </c:pt>
              <c:pt idx="2706">
                <c:v>6.37</c:v>
              </c:pt>
              <c:pt idx="2707">
                <c:v>6.37</c:v>
              </c:pt>
              <c:pt idx="2708">
                <c:v>6.37</c:v>
              </c:pt>
              <c:pt idx="2709">
                <c:v>6.37</c:v>
              </c:pt>
              <c:pt idx="2710">
                <c:v>6.37</c:v>
              </c:pt>
              <c:pt idx="2711">
                <c:v>6.37</c:v>
              </c:pt>
              <c:pt idx="2712">
                <c:v>6.37</c:v>
              </c:pt>
              <c:pt idx="2713">
                <c:v>6.37</c:v>
              </c:pt>
              <c:pt idx="2714">
                <c:v>6.37</c:v>
              </c:pt>
              <c:pt idx="2715">
                <c:v>6.37</c:v>
              </c:pt>
              <c:pt idx="2716">
                <c:v>6.37</c:v>
              </c:pt>
              <c:pt idx="2717">
                <c:v>6.37</c:v>
              </c:pt>
              <c:pt idx="2718">
                <c:v>6.37</c:v>
              </c:pt>
              <c:pt idx="2719">
                <c:v>6.37</c:v>
              </c:pt>
              <c:pt idx="2720">
                <c:v>6.37</c:v>
              </c:pt>
              <c:pt idx="2721">
                <c:v>6.37</c:v>
              </c:pt>
              <c:pt idx="2722">
                <c:v>6.37</c:v>
              </c:pt>
              <c:pt idx="2723">
                <c:v>6.37</c:v>
              </c:pt>
              <c:pt idx="2724">
                <c:v>6.37</c:v>
              </c:pt>
              <c:pt idx="2725">
                <c:v>6.37</c:v>
              </c:pt>
              <c:pt idx="2726">
                <c:v>6.37</c:v>
              </c:pt>
              <c:pt idx="2727">
                <c:v>6.37</c:v>
              </c:pt>
              <c:pt idx="2728">
                <c:v>6.37</c:v>
              </c:pt>
              <c:pt idx="2729">
                <c:v>6.37</c:v>
              </c:pt>
              <c:pt idx="2730">
                <c:v>6.37</c:v>
              </c:pt>
              <c:pt idx="2731">
                <c:v>6.37</c:v>
              </c:pt>
              <c:pt idx="2732">
                <c:v>6.37</c:v>
              </c:pt>
              <c:pt idx="2733">
                <c:v>6.37</c:v>
              </c:pt>
              <c:pt idx="2734">
                <c:v>6.37</c:v>
              </c:pt>
              <c:pt idx="2735">
                <c:v>6.37</c:v>
              </c:pt>
              <c:pt idx="2736">
                <c:v>6.37</c:v>
              </c:pt>
              <c:pt idx="2737">
                <c:v>6.37</c:v>
              </c:pt>
              <c:pt idx="2738">
                <c:v>6.37</c:v>
              </c:pt>
              <c:pt idx="2739">
                <c:v>6.37</c:v>
              </c:pt>
              <c:pt idx="2740">
                <c:v>6.37</c:v>
              </c:pt>
              <c:pt idx="2741">
                <c:v>6.37</c:v>
              </c:pt>
              <c:pt idx="2742">
                <c:v>6.37</c:v>
              </c:pt>
              <c:pt idx="2743">
                <c:v>6.37</c:v>
              </c:pt>
              <c:pt idx="2744">
                <c:v>6.37</c:v>
              </c:pt>
              <c:pt idx="2745">
                <c:v>6.37</c:v>
              </c:pt>
              <c:pt idx="2746">
                <c:v>6.37</c:v>
              </c:pt>
              <c:pt idx="2747">
                <c:v>6.37</c:v>
              </c:pt>
              <c:pt idx="2748">
                <c:v>6.37</c:v>
              </c:pt>
              <c:pt idx="2749">
                <c:v>6.37</c:v>
              </c:pt>
              <c:pt idx="2750">
                <c:v>6.37</c:v>
              </c:pt>
              <c:pt idx="2751">
                <c:v>6.37</c:v>
              </c:pt>
              <c:pt idx="2752">
                <c:v>6.37</c:v>
              </c:pt>
              <c:pt idx="2753">
                <c:v>6.37</c:v>
              </c:pt>
              <c:pt idx="2754">
                <c:v>6.37</c:v>
              </c:pt>
              <c:pt idx="2755">
                <c:v>6.37</c:v>
              </c:pt>
              <c:pt idx="2756">
                <c:v>6.37</c:v>
              </c:pt>
              <c:pt idx="2757">
                <c:v>6.37</c:v>
              </c:pt>
              <c:pt idx="2758">
                <c:v>6.37</c:v>
              </c:pt>
              <c:pt idx="2759">
                <c:v>6.37</c:v>
              </c:pt>
              <c:pt idx="2760">
                <c:v>6.37</c:v>
              </c:pt>
              <c:pt idx="2761">
                <c:v>6.37</c:v>
              </c:pt>
              <c:pt idx="2762">
                <c:v>6.37</c:v>
              </c:pt>
              <c:pt idx="2763">
                <c:v>6.37</c:v>
              </c:pt>
              <c:pt idx="2764">
                <c:v>6.37</c:v>
              </c:pt>
              <c:pt idx="2765">
                <c:v>6.37</c:v>
              </c:pt>
              <c:pt idx="2766">
                <c:v>6.37</c:v>
              </c:pt>
              <c:pt idx="2767">
                <c:v>6.37</c:v>
              </c:pt>
              <c:pt idx="2768">
                <c:v>6.37</c:v>
              </c:pt>
              <c:pt idx="2769">
                <c:v>6.37</c:v>
              </c:pt>
              <c:pt idx="2770">
                <c:v>6.37</c:v>
              </c:pt>
              <c:pt idx="2771">
                <c:v>6.37</c:v>
              </c:pt>
              <c:pt idx="2772">
                <c:v>6.37</c:v>
              </c:pt>
              <c:pt idx="2773">
                <c:v>6.37</c:v>
              </c:pt>
              <c:pt idx="2774">
                <c:v>6.37</c:v>
              </c:pt>
              <c:pt idx="2775">
                <c:v>6.37</c:v>
              </c:pt>
              <c:pt idx="2776">
                <c:v>6.37</c:v>
              </c:pt>
              <c:pt idx="2777">
                <c:v>6.37</c:v>
              </c:pt>
              <c:pt idx="2778">
                <c:v>6.37</c:v>
              </c:pt>
              <c:pt idx="2779">
                <c:v>6.37</c:v>
              </c:pt>
              <c:pt idx="2780">
                <c:v>6.37</c:v>
              </c:pt>
              <c:pt idx="2781">
                <c:v>6.37</c:v>
              </c:pt>
              <c:pt idx="2782">
                <c:v>6.37</c:v>
              </c:pt>
              <c:pt idx="2783">
                <c:v>6.37</c:v>
              </c:pt>
              <c:pt idx="2784">
                <c:v>6.37</c:v>
              </c:pt>
              <c:pt idx="2785">
                <c:v>6.37</c:v>
              </c:pt>
              <c:pt idx="2786">
                <c:v>6.37</c:v>
              </c:pt>
              <c:pt idx="2787">
                <c:v>6.37</c:v>
              </c:pt>
              <c:pt idx="2788">
                <c:v>6.37</c:v>
              </c:pt>
              <c:pt idx="2789">
                <c:v>6.37</c:v>
              </c:pt>
              <c:pt idx="2790">
                <c:v>6.37</c:v>
              </c:pt>
              <c:pt idx="2791">
                <c:v>6.37</c:v>
              </c:pt>
              <c:pt idx="2792">
                <c:v>6.37</c:v>
              </c:pt>
              <c:pt idx="2793">
                <c:v>6.37</c:v>
              </c:pt>
              <c:pt idx="2794">
                <c:v>6.37</c:v>
              </c:pt>
              <c:pt idx="2795">
                <c:v>6.37</c:v>
              </c:pt>
              <c:pt idx="2796">
                <c:v>6.37</c:v>
              </c:pt>
              <c:pt idx="2797">
                <c:v>6.37</c:v>
              </c:pt>
              <c:pt idx="2798">
                <c:v>6.37</c:v>
              </c:pt>
              <c:pt idx="2799">
                <c:v>6.37</c:v>
              </c:pt>
              <c:pt idx="2800">
                <c:v>6.37</c:v>
              </c:pt>
              <c:pt idx="2801">
                <c:v>6.37</c:v>
              </c:pt>
              <c:pt idx="2802">
                <c:v>6.37</c:v>
              </c:pt>
              <c:pt idx="2803">
                <c:v>6.37</c:v>
              </c:pt>
              <c:pt idx="2804">
                <c:v>6.37</c:v>
              </c:pt>
              <c:pt idx="2805">
                <c:v>6.37</c:v>
              </c:pt>
              <c:pt idx="2806">
                <c:v>6.37</c:v>
              </c:pt>
              <c:pt idx="2807">
                <c:v>6.37</c:v>
              </c:pt>
              <c:pt idx="2808">
                <c:v>6.37</c:v>
              </c:pt>
              <c:pt idx="2809">
                <c:v>6.37</c:v>
              </c:pt>
              <c:pt idx="2810">
                <c:v>6.37</c:v>
              </c:pt>
              <c:pt idx="2811">
                <c:v>6.37</c:v>
              </c:pt>
              <c:pt idx="2812">
                <c:v>6.37</c:v>
              </c:pt>
              <c:pt idx="2813">
                <c:v>6.37</c:v>
              </c:pt>
              <c:pt idx="2814">
                <c:v>6.37</c:v>
              </c:pt>
              <c:pt idx="2815">
                <c:v>6.37</c:v>
              </c:pt>
              <c:pt idx="2816">
                <c:v>6.37</c:v>
              </c:pt>
              <c:pt idx="2817">
                <c:v>6.37</c:v>
              </c:pt>
              <c:pt idx="2818">
                <c:v>6.37</c:v>
              </c:pt>
              <c:pt idx="2819">
                <c:v>6.37</c:v>
              </c:pt>
              <c:pt idx="2820">
                <c:v>6.37</c:v>
              </c:pt>
              <c:pt idx="2821">
                <c:v>6.37</c:v>
              </c:pt>
              <c:pt idx="2822">
                <c:v>6.37</c:v>
              </c:pt>
              <c:pt idx="2823">
                <c:v>6.37</c:v>
              </c:pt>
              <c:pt idx="2824">
                <c:v>6.37</c:v>
              </c:pt>
              <c:pt idx="2825">
                <c:v>6.37</c:v>
              </c:pt>
              <c:pt idx="2826">
                <c:v>6.37</c:v>
              </c:pt>
              <c:pt idx="2827">
                <c:v>6.37</c:v>
              </c:pt>
              <c:pt idx="2828">
                <c:v>6.37</c:v>
              </c:pt>
              <c:pt idx="2829">
                <c:v>6.37</c:v>
              </c:pt>
              <c:pt idx="2830">
                <c:v>6.37</c:v>
              </c:pt>
              <c:pt idx="2831">
                <c:v>6.37</c:v>
              </c:pt>
              <c:pt idx="2832">
                <c:v>6.37</c:v>
              </c:pt>
              <c:pt idx="2833">
                <c:v>6.37</c:v>
              </c:pt>
              <c:pt idx="2834">
                <c:v>6.37</c:v>
              </c:pt>
              <c:pt idx="2835">
                <c:v>6.37</c:v>
              </c:pt>
              <c:pt idx="2836">
                <c:v>6.37</c:v>
              </c:pt>
              <c:pt idx="2837">
                <c:v>6.37</c:v>
              </c:pt>
              <c:pt idx="2838">
                <c:v>6.37</c:v>
              </c:pt>
              <c:pt idx="2839">
                <c:v>6.37</c:v>
              </c:pt>
              <c:pt idx="2840">
                <c:v>6.37</c:v>
              </c:pt>
              <c:pt idx="2841">
                <c:v>6.37</c:v>
              </c:pt>
              <c:pt idx="2842">
                <c:v>6.37</c:v>
              </c:pt>
              <c:pt idx="2843">
                <c:v>6.37</c:v>
              </c:pt>
              <c:pt idx="2844">
                <c:v>6.37</c:v>
              </c:pt>
              <c:pt idx="2845">
                <c:v>6.37</c:v>
              </c:pt>
              <c:pt idx="2846">
                <c:v>6.37</c:v>
              </c:pt>
              <c:pt idx="2847">
                <c:v>6.37</c:v>
              </c:pt>
              <c:pt idx="2848">
                <c:v>6.37</c:v>
              </c:pt>
              <c:pt idx="2849">
                <c:v>6.37</c:v>
              </c:pt>
              <c:pt idx="2850">
                <c:v>6.37</c:v>
              </c:pt>
              <c:pt idx="2851">
                <c:v>6.37</c:v>
              </c:pt>
              <c:pt idx="2852">
                <c:v>6.37</c:v>
              </c:pt>
              <c:pt idx="2853">
                <c:v>6.37</c:v>
              </c:pt>
              <c:pt idx="2854">
                <c:v>6.37</c:v>
              </c:pt>
              <c:pt idx="2855">
                <c:v>6.37</c:v>
              </c:pt>
              <c:pt idx="2856">
                <c:v>6.37</c:v>
              </c:pt>
              <c:pt idx="2857">
                <c:v>6.37</c:v>
              </c:pt>
              <c:pt idx="2858">
                <c:v>6.37</c:v>
              </c:pt>
              <c:pt idx="2859">
                <c:v>6.37</c:v>
              </c:pt>
              <c:pt idx="2860">
                <c:v>6.37</c:v>
              </c:pt>
              <c:pt idx="2861">
                <c:v>6.37</c:v>
              </c:pt>
              <c:pt idx="2862">
                <c:v>6.37</c:v>
              </c:pt>
              <c:pt idx="2863">
                <c:v>6.37</c:v>
              </c:pt>
              <c:pt idx="2864">
                <c:v>6.37</c:v>
              </c:pt>
              <c:pt idx="2865">
                <c:v>6.37</c:v>
              </c:pt>
              <c:pt idx="2866">
                <c:v>6.37</c:v>
              </c:pt>
              <c:pt idx="2867">
                <c:v>6.37</c:v>
              </c:pt>
              <c:pt idx="2868">
                <c:v>6.37</c:v>
              </c:pt>
              <c:pt idx="2869">
                <c:v>6.37</c:v>
              </c:pt>
              <c:pt idx="2870">
                <c:v>6.37</c:v>
              </c:pt>
              <c:pt idx="2871">
                <c:v>6.37</c:v>
              </c:pt>
              <c:pt idx="2872">
                <c:v>6.37</c:v>
              </c:pt>
              <c:pt idx="2873">
                <c:v>6.37</c:v>
              </c:pt>
              <c:pt idx="2874">
                <c:v>6.37</c:v>
              </c:pt>
              <c:pt idx="2875">
                <c:v>6.37</c:v>
              </c:pt>
              <c:pt idx="2876">
                <c:v>6.37</c:v>
              </c:pt>
              <c:pt idx="2877">
                <c:v>6.37</c:v>
              </c:pt>
              <c:pt idx="2878">
                <c:v>6.37</c:v>
              </c:pt>
              <c:pt idx="2879">
                <c:v>6.37</c:v>
              </c:pt>
              <c:pt idx="2880">
                <c:v>6.37</c:v>
              </c:pt>
              <c:pt idx="2881">
                <c:v>6.37</c:v>
              </c:pt>
              <c:pt idx="2882">
                <c:v>6.37</c:v>
              </c:pt>
              <c:pt idx="2883">
                <c:v>6.37</c:v>
              </c:pt>
              <c:pt idx="2884">
                <c:v>6.37</c:v>
              </c:pt>
              <c:pt idx="2885">
                <c:v>6.37</c:v>
              </c:pt>
              <c:pt idx="2886">
                <c:v>6.37</c:v>
              </c:pt>
            </c:numLit>
          </c:val>
          <c:smooth val="0"/>
          <c:extLst>
            <c:ext xmlns:c16="http://schemas.microsoft.com/office/drawing/2014/chart" uri="{C3380CC4-5D6E-409C-BE32-E72D297353CC}">
              <c16:uniqueId val="{00000004-4557-4156-8111-616AB5FB2C46}"/>
            </c:ext>
          </c:extLst>
        </c:ser>
        <c:ser>
          <c:idx val="2"/>
          <c:order val="2"/>
          <c:spPr>
            <a:ln w="28575" cap="rnd">
              <a:solidFill>
                <a:schemeClr val="accent3"/>
              </a:solidFill>
              <a:round/>
            </a:ln>
            <a:effectLst/>
          </c:spPr>
          <c:marker>
            <c:symbol val="none"/>
          </c:marker>
          <c:dLbls>
            <c:dLbl>
              <c:idx val="2351"/>
              <c:layout>
                <c:manualLayout>
                  <c:x val="-2.9232643118148598E-2"/>
                  <c:y val="2.9333333333333236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r>
                      <a:rPr lang="en-US" b="1">
                        <a:solidFill>
                          <a:schemeClr val="tx2"/>
                        </a:solidFill>
                      </a:rPr>
                      <a:t>Ministerial Direction (</a:t>
                    </a:r>
                    <a:fld id="{CB38295E-EFD6-40C2-AC03-06C9F842017A}" type="VALUE">
                      <a:rPr lang="en-US" b="1">
                        <a:solidFill>
                          <a:schemeClr val="tx2"/>
                        </a:solidFill>
                      </a:rPr>
                      <a:pPr>
                        <a:defRPr b="1">
                          <a:solidFill>
                            <a:schemeClr val="tx2"/>
                          </a:solidFill>
                        </a:defRPr>
                      </a:pPr>
                      <a:t>[VALUE]</a:t>
                    </a:fld>
                    <a:r>
                      <a:rPr lang="en-US" b="1">
                        <a:solidFill>
                          <a:schemeClr val="tx2"/>
                        </a:solidFill>
                      </a:rPr>
                      <a:t>%)</a:t>
                    </a:r>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557-4156-8111-616AB5FB2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887"/>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38533</c:v>
              </c:pt>
              <c:pt idx="22">
                <c:v>38534</c:v>
              </c:pt>
              <c:pt idx="23">
                <c:v>38537</c:v>
              </c:pt>
              <c:pt idx="24">
                <c:v>38538</c:v>
              </c:pt>
              <c:pt idx="25">
                <c:v>38539</c:v>
              </c:pt>
              <c:pt idx="26">
                <c:v>38540</c:v>
              </c:pt>
              <c:pt idx="27">
                <c:v>38541</c:v>
              </c:pt>
              <c:pt idx="28">
                <c:v>38544</c:v>
              </c:pt>
              <c:pt idx="29">
                <c:v>38545</c:v>
              </c:pt>
              <c:pt idx="30">
                <c:v>38546</c:v>
              </c:pt>
              <c:pt idx="31">
                <c:v>38547</c:v>
              </c:pt>
              <c:pt idx="32">
                <c:v>38548</c:v>
              </c:pt>
              <c:pt idx="33">
                <c:v>38551</c:v>
              </c:pt>
              <c:pt idx="34">
                <c:v>38552</c:v>
              </c:pt>
              <c:pt idx="35">
                <c:v>38553</c:v>
              </c:pt>
              <c:pt idx="36">
                <c:v>38554</c:v>
              </c:pt>
              <c:pt idx="37">
                <c:v>38555</c:v>
              </c:pt>
              <c:pt idx="38">
                <c:v>38558</c:v>
              </c:pt>
              <c:pt idx="39">
                <c:v>38559</c:v>
              </c:pt>
              <c:pt idx="40">
                <c:v>38560</c:v>
              </c:pt>
              <c:pt idx="41">
                <c:v>38561</c:v>
              </c:pt>
              <c:pt idx="42">
                <c:v>38562</c:v>
              </c:pt>
              <c:pt idx="43">
                <c:v>38625</c:v>
              </c:pt>
              <c:pt idx="44">
                <c:v>38628</c:v>
              </c:pt>
              <c:pt idx="45">
                <c:v>38629</c:v>
              </c:pt>
              <c:pt idx="46">
                <c:v>38630</c:v>
              </c:pt>
              <c:pt idx="47">
                <c:v>38631</c:v>
              </c:pt>
              <c:pt idx="48">
                <c:v>38632</c:v>
              </c:pt>
              <c:pt idx="49">
                <c:v>38635</c:v>
              </c:pt>
              <c:pt idx="50">
                <c:v>38636</c:v>
              </c:pt>
              <c:pt idx="51">
                <c:v>38637</c:v>
              </c:pt>
              <c:pt idx="52">
                <c:v>38638</c:v>
              </c:pt>
              <c:pt idx="53">
                <c:v>38639</c:v>
              </c:pt>
              <c:pt idx="54">
                <c:v>38642</c:v>
              </c:pt>
              <c:pt idx="55">
                <c:v>38643</c:v>
              </c:pt>
              <c:pt idx="56">
                <c:v>38644</c:v>
              </c:pt>
              <c:pt idx="57">
                <c:v>38645</c:v>
              </c:pt>
              <c:pt idx="58">
                <c:v>38646</c:v>
              </c:pt>
              <c:pt idx="59">
                <c:v>38649</c:v>
              </c:pt>
              <c:pt idx="60">
                <c:v>38650</c:v>
              </c:pt>
              <c:pt idx="61">
                <c:v>38651</c:v>
              </c:pt>
              <c:pt idx="62">
                <c:v>38652</c:v>
              </c:pt>
              <c:pt idx="63">
                <c:v>38653</c:v>
              </c:pt>
              <c:pt idx="64">
                <c:v>38656</c:v>
              </c:pt>
              <c:pt idx="65">
                <c:v>38657</c:v>
              </c:pt>
              <c:pt idx="66">
                <c:v>38658</c:v>
              </c:pt>
              <c:pt idx="67">
                <c:v>38659</c:v>
              </c:pt>
              <c:pt idx="68">
                <c:v>38660</c:v>
              </c:pt>
              <c:pt idx="69">
                <c:v>38663</c:v>
              </c:pt>
              <c:pt idx="70">
                <c:v>38664</c:v>
              </c:pt>
              <c:pt idx="71">
                <c:v>38665</c:v>
              </c:pt>
              <c:pt idx="72">
                <c:v>38666</c:v>
              </c:pt>
              <c:pt idx="73">
                <c:v>38667</c:v>
              </c:pt>
              <c:pt idx="74">
                <c:v>38670</c:v>
              </c:pt>
              <c:pt idx="75">
                <c:v>38671</c:v>
              </c:pt>
              <c:pt idx="76">
                <c:v>38672</c:v>
              </c:pt>
              <c:pt idx="77">
                <c:v>38673</c:v>
              </c:pt>
              <c:pt idx="78">
                <c:v>38674</c:v>
              </c:pt>
              <c:pt idx="79">
                <c:v>38677</c:v>
              </c:pt>
              <c:pt idx="80">
                <c:v>38678</c:v>
              </c:pt>
              <c:pt idx="81">
                <c:v>38679</c:v>
              </c:pt>
              <c:pt idx="82">
                <c:v>38680</c:v>
              </c:pt>
              <c:pt idx="83">
                <c:v>38681</c:v>
              </c:pt>
              <c:pt idx="84">
                <c:v>38684</c:v>
              </c:pt>
              <c:pt idx="85">
                <c:v>38685</c:v>
              </c:pt>
              <c:pt idx="86">
                <c:v>38686</c:v>
              </c:pt>
              <c:pt idx="87">
                <c:v>38687</c:v>
              </c:pt>
              <c:pt idx="88">
                <c:v>38688</c:v>
              </c:pt>
              <c:pt idx="89">
                <c:v>38691</c:v>
              </c:pt>
              <c:pt idx="90">
                <c:v>38692</c:v>
              </c:pt>
              <c:pt idx="91">
                <c:v>38693</c:v>
              </c:pt>
              <c:pt idx="92">
                <c:v>38694</c:v>
              </c:pt>
              <c:pt idx="93">
                <c:v>38695</c:v>
              </c:pt>
              <c:pt idx="94">
                <c:v>38698</c:v>
              </c:pt>
              <c:pt idx="95">
                <c:v>38699</c:v>
              </c:pt>
              <c:pt idx="96">
                <c:v>38700</c:v>
              </c:pt>
              <c:pt idx="97">
                <c:v>38701</c:v>
              </c:pt>
              <c:pt idx="98">
                <c:v>38702</c:v>
              </c:pt>
              <c:pt idx="99">
                <c:v>38705</c:v>
              </c:pt>
              <c:pt idx="100">
                <c:v>38706</c:v>
              </c:pt>
              <c:pt idx="101">
                <c:v>38707</c:v>
              </c:pt>
              <c:pt idx="102">
                <c:v>38708</c:v>
              </c:pt>
              <c:pt idx="103">
                <c:v>38709</c:v>
              </c:pt>
              <c:pt idx="104">
                <c:v>38714</c:v>
              </c:pt>
              <c:pt idx="105">
                <c:v>38715</c:v>
              </c:pt>
              <c:pt idx="106">
                <c:v>38716</c:v>
              </c:pt>
              <c:pt idx="107">
                <c:v>38720</c:v>
              </c:pt>
              <c:pt idx="108">
                <c:v>38721</c:v>
              </c:pt>
              <c:pt idx="109">
                <c:v>38722</c:v>
              </c:pt>
              <c:pt idx="110">
                <c:v>38723</c:v>
              </c:pt>
              <c:pt idx="111">
                <c:v>38726</c:v>
              </c:pt>
              <c:pt idx="112">
                <c:v>38727</c:v>
              </c:pt>
              <c:pt idx="113">
                <c:v>38728</c:v>
              </c:pt>
              <c:pt idx="114">
                <c:v>38729</c:v>
              </c:pt>
              <c:pt idx="115">
                <c:v>38730</c:v>
              </c:pt>
              <c:pt idx="116">
                <c:v>38733</c:v>
              </c:pt>
              <c:pt idx="117">
                <c:v>38734</c:v>
              </c:pt>
              <c:pt idx="118">
                <c:v>38735</c:v>
              </c:pt>
              <c:pt idx="119">
                <c:v>38736</c:v>
              </c:pt>
              <c:pt idx="120">
                <c:v>38737</c:v>
              </c:pt>
              <c:pt idx="121">
                <c:v>38740</c:v>
              </c:pt>
              <c:pt idx="122">
                <c:v>38741</c:v>
              </c:pt>
              <c:pt idx="123">
                <c:v>38742</c:v>
              </c:pt>
              <c:pt idx="124">
                <c:v>38744</c:v>
              </c:pt>
              <c:pt idx="125">
                <c:v>38747</c:v>
              </c:pt>
              <c:pt idx="126">
                <c:v>38748</c:v>
              </c:pt>
              <c:pt idx="127">
                <c:v>38749</c:v>
              </c:pt>
              <c:pt idx="128">
                <c:v>38750</c:v>
              </c:pt>
              <c:pt idx="129">
                <c:v>38751</c:v>
              </c:pt>
              <c:pt idx="130">
                <c:v>38754</c:v>
              </c:pt>
              <c:pt idx="131">
                <c:v>38755</c:v>
              </c:pt>
              <c:pt idx="132">
                <c:v>38756</c:v>
              </c:pt>
              <c:pt idx="133">
                <c:v>38757</c:v>
              </c:pt>
              <c:pt idx="134">
                <c:v>38758</c:v>
              </c:pt>
              <c:pt idx="135">
                <c:v>38761</c:v>
              </c:pt>
              <c:pt idx="136">
                <c:v>38762</c:v>
              </c:pt>
              <c:pt idx="137">
                <c:v>38763</c:v>
              </c:pt>
              <c:pt idx="138">
                <c:v>38764</c:v>
              </c:pt>
              <c:pt idx="139">
                <c:v>38765</c:v>
              </c:pt>
              <c:pt idx="140">
                <c:v>38768</c:v>
              </c:pt>
              <c:pt idx="141">
                <c:v>38769</c:v>
              </c:pt>
              <c:pt idx="142">
                <c:v>38770</c:v>
              </c:pt>
              <c:pt idx="143">
                <c:v>38771</c:v>
              </c:pt>
              <c:pt idx="144">
                <c:v>38772</c:v>
              </c:pt>
              <c:pt idx="145">
                <c:v>38775</c:v>
              </c:pt>
              <c:pt idx="146">
                <c:v>38776</c:v>
              </c:pt>
              <c:pt idx="147">
                <c:v>38777</c:v>
              </c:pt>
              <c:pt idx="148">
                <c:v>38778</c:v>
              </c:pt>
              <c:pt idx="149">
                <c:v>38779</c:v>
              </c:pt>
              <c:pt idx="150">
                <c:v>38782</c:v>
              </c:pt>
              <c:pt idx="151">
                <c:v>38783</c:v>
              </c:pt>
              <c:pt idx="152">
                <c:v>38784</c:v>
              </c:pt>
              <c:pt idx="153">
                <c:v>38785</c:v>
              </c:pt>
              <c:pt idx="154">
                <c:v>38786</c:v>
              </c:pt>
              <c:pt idx="155">
                <c:v>38789</c:v>
              </c:pt>
              <c:pt idx="156">
                <c:v>38790</c:v>
              </c:pt>
              <c:pt idx="157">
                <c:v>38791</c:v>
              </c:pt>
              <c:pt idx="158">
                <c:v>38792</c:v>
              </c:pt>
              <c:pt idx="159">
                <c:v>38793</c:v>
              </c:pt>
              <c:pt idx="160">
                <c:v>38796</c:v>
              </c:pt>
              <c:pt idx="161">
                <c:v>38797</c:v>
              </c:pt>
              <c:pt idx="162">
                <c:v>38798</c:v>
              </c:pt>
              <c:pt idx="163">
                <c:v>38799</c:v>
              </c:pt>
              <c:pt idx="164">
                <c:v>38800</c:v>
              </c:pt>
              <c:pt idx="165">
                <c:v>38803</c:v>
              </c:pt>
              <c:pt idx="166">
                <c:v>38804</c:v>
              </c:pt>
              <c:pt idx="167">
                <c:v>38805</c:v>
              </c:pt>
              <c:pt idx="168">
                <c:v>38806</c:v>
              </c:pt>
              <c:pt idx="169">
                <c:v>38807</c:v>
              </c:pt>
              <c:pt idx="170">
                <c:v>38810</c:v>
              </c:pt>
              <c:pt idx="171">
                <c:v>38811</c:v>
              </c:pt>
              <c:pt idx="172">
                <c:v>38812</c:v>
              </c:pt>
              <c:pt idx="173">
                <c:v>38813</c:v>
              </c:pt>
              <c:pt idx="174">
                <c:v>38814</c:v>
              </c:pt>
              <c:pt idx="175">
                <c:v>38817</c:v>
              </c:pt>
              <c:pt idx="176">
                <c:v>38818</c:v>
              </c:pt>
              <c:pt idx="177">
                <c:v>38819</c:v>
              </c:pt>
              <c:pt idx="178">
                <c:v>38820</c:v>
              </c:pt>
              <c:pt idx="179">
                <c:v>38825</c:v>
              </c:pt>
              <c:pt idx="180">
                <c:v>38826</c:v>
              </c:pt>
              <c:pt idx="181">
                <c:v>38827</c:v>
              </c:pt>
              <c:pt idx="182">
                <c:v>38828</c:v>
              </c:pt>
              <c:pt idx="183">
                <c:v>38831</c:v>
              </c:pt>
              <c:pt idx="184">
                <c:v>38833</c:v>
              </c:pt>
              <c:pt idx="185">
                <c:v>38834</c:v>
              </c:pt>
              <c:pt idx="186">
                <c:v>38835</c:v>
              </c:pt>
              <c:pt idx="187">
                <c:v>38838</c:v>
              </c:pt>
              <c:pt idx="188">
                <c:v>38839</c:v>
              </c:pt>
              <c:pt idx="189">
                <c:v>38840</c:v>
              </c:pt>
              <c:pt idx="190">
                <c:v>38841</c:v>
              </c:pt>
              <c:pt idx="191">
                <c:v>38842</c:v>
              </c:pt>
              <c:pt idx="192">
                <c:v>38845</c:v>
              </c:pt>
              <c:pt idx="193">
                <c:v>38846</c:v>
              </c:pt>
              <c:pt idx="194">
                <c:v>38847</c:v>
              </c:pt>
              <c:pt idx="195">
                <c:v>38848</c:v>
              </c:pt>
              <c:pt idx="196">
                <c:v>38849</c:v>
              </c:pt>
              <c:pt idx="197">
                <c:v>38852</c:v>
              </c:pt>
              <c:pt idx="198">
                <c:v>38853</c:v>
              </c:pt>
              <c:pt idx="199">
                <c:v>38854</c:v>
              </c:pt>
              <c:pt idx="200">
                <c:v>38855</c:v>
              </c:pt>
              <c:pt idx="201">
                <c:v>38856</c:v>
              </c:pt>
              <c:pt idx="202">
                <c:v>38859</c:v>
              </c:pt>
              <c:pt idx="203">
                <c:v>38860</c:v>
              </c:pt>
              <c:pt idx="204">
                <c:v>38861</c:v>
              </c:pt>
              <c:pt idx="205">
                <c:v>38862</c:v>
              </c:pt>
              <c:pt idx="206">
                <c:v>38863</c:v>
              </c:pt>
              <c:pt idx="207">
                <c:v>38866</c:v>
              </c:pt>
              <c:pt idx="208">
                <c:v>38867</c:v>
              </c:pt>
              <c:pt idx="209">
                <c:v>38868</c:v>
              </c:pt>
              <c:pt idx="210">
                <c:v>38869</c:v>
              </c:pt>
              <c:pt idx="211">
                <c:v>38870</c:v>
              </c:pt>
              <c:pt idx="212">
                <c:v>38873</c:v>
              </c:pt>
              <c:pt idx="213">
                <c:v>38874</c:v>
              </c:pt>
              <c:pt idx="214">
                <c:v>38875</c:v>
              </c:pt>
              <c:pt idx="215">
                <c:v>38876</c:v>
              </c:pt>
              <c:pt idx="216">
                <c:v>38877</c:v>
              </c:pt>
              <c:pt idx="217">
                <c:v>38881</c:v>
              </c:pt>
              <c:pt idx="218">
                <c:v>38882</c:v>
              </c:pt>
              <c:pt idx="219">
                <c:v>38883</c:v>
              </c:pt>
              <c:pt idx="220">
                <c:v>38884</c:v>
              </c:pt>
              <c:pt idx="221">
                <c:v>38887</c:v>
              </c:pt>
              <c:pt idx="222">
                <c:v>38888</c:v>
              </c:pt>
              <c:pt idx="223">
                <c:v>38889</c:v>
              </c:pt>
              <c:pt idx="224">
                <c:v>38890</c:v>
              </c:pt>
              <c:pt idx="225">
                <c:v>38891</c:v>
              </c:pt>
              <c:pt idx="226">
                <c:v>38894</c:v>
              </c:pt>
              <c:pt idx="227">
                <c:v>38895</c:v>
              </c:pt>
              <c:pt idx="228">
                <c:v>38896</c:v>
              </c:pt>
              <c:pt idx="229">
                <c:v>38897</c:v>
              </c:pt>
              <c:pt idx="230">
                <c:v>38898</c:v>
              </c:pt>
              <c:pt idx="231">
                <c:v>38901</c:v>
              </c:pt>
              <c:pt idx="232">
                <c:v>38902</c:v>
              </c:pt>
              <c:pt idx="233">
                <c:v>38903</c:v>
              </c:pt>
              <c:pt idx="234">
                <c:v>38904</c:v>
              </c:pt>
              <c:pt idx="235">
                <c:v>38905</c:v>
              </c:pt>
              <c:pt idx="236">
                <c:v>38908</c:v>
              </c:pt>
              <c:pt idx="237">
                <c:v>38909</c:v>
              </c:pt>
              <c:pt idx="238">
                <c:v>38910</c:v>
              </c:pt>
              <c:pt idx="239">
                <c:v>38911</c:v>
              </c:pt>
              <c:pt idx="240">
                <c:v>38912</c:v>
              </c:pt>
              <c:pt idx="241">
                <c:v>38915</c:v>
              </c:pt>
              <c:pt idx="242">
                <c:v>38916</c:v>
              </c:pt>
              <c:pt idx="243">
                <c:v>38917</c:v>
              </c:pt>
              <c:pt idx="244">
                <c:v>38918</c:v>
              </c:pt>
              <c:pt idx="245">
                <c:v>38919</c:v>
              </c:pt>
              <c:pt idx="246">
                <c:v>38922</c:v>
              </c:pt>
              <c:pt idx="247">
                <c:v>38923</c:v>
              </c:pt>
              <c:pt idx="248">
                <c:v>38924</c:v>
              </c:pt>
              <c:pt idx="249">
                <c:v>38925</c:v>
              </c:pt>
              <c:pt idx="250">
                <c:v>38926</c:v>
              </c:pt>
              <c:pt idx="251">
                <c:v>38929</c:v>
              </c:pt>
              <c:pt idx="252">
                <c:v>38930</c:v>
              </c:pt>
              <c:pt idx="253">
                <c:v>38931</c:v>
              </c:pt>
              <c:pt idx="254">
                <c:v>38932</c:v>
              </c:pt>
              <c:pt idx="255">
                <c:v>38933</c:v>
              </c:pt>
              <c:pt idx="256">
                <c:v>38936</c:v>
              </c:pt>
              <c:pt idx="257">
                <c:v>38937</c:v>
              </c:pt>
              <c:pt idx="258">
                <c:v>38938</c:v>
              </c:pt>
              <c:pt idx="259">
                <c:v>38939</c:v>
              </c:pt>
              <c:pt idx="260">
                <c:v>38940</c:v>
              </c:pt>
              <c:pt idx="261">
                <c:v>38943</c:v>
              </c:pt>
              <c:pt idx="262">
                <c:v>38944</c:v>
              </c:pt>
              <c:pt idx="263">
                <c:v>38945</c:v>
              </c:pt>
              <c:pt idx="264">
                <c:v>38946</c:v>
              </c:pt>
              <c:pt idx="265">
                <c:v>38947</c:v>
              </c:pt>
              <c:pt idx="266">
                <c:v>38950</c:v>
              </c:pt>
              <c:pt idx="267">
                <c:v>38951</c:v>
              </c:pt>
              <c:pt idx="268">
                <c:v>38952</c:v>
              </c:pt>
              <c:pt idx="269">
                <c:v>38953</c:v>
              </c:pt>
              <c:pt idx="270">
                <c:v>38954</c:v>
              </c:pt>
              <c:pt idx="271">
                <c:v>38957</c:v>
              </c:pt>
              <c:pt idx="272">
                <c:v>38958</c:v>
              </c:pt>
              <c:pt idx="273">
                <c:v>38959</c:v>
              </c:pt>
              <c:pt idx="274">
                <c:v>38960</c:v>
              </c:pt>
              <c:pt idx="275">
                <c:v>38961</c:v>
              </c:pt>
              <c:pt idx="276">
                <c:v>38964</c:v>
              </c:pt>
              <c:pt idx="277">
                <c:v>38965</c:v>
              </c:pt>
              <c:pt idx="278">
                <c:v>38966</c:v>
              </c:pt>
              <c:pt idx="279">
                <c:v>38967</c:v>
              </c:pt>
              <c:pt idx="280">
                <c:v>38968</c:v>
              </c:pt>
              <c:pt idx="281">
                <c:v>38971</c:v>
              </c:pt>
              <c:pt idx="282">
                <c:v>38972</c:v>
              </c:pt>
              <c:pt idx="283">
                <c:v>38973</c:v>
              </c:pt>
              <c:pt idx="284">
                <c:v>38974</c:v>
              </c:pt>
              <c:pt idx="285">
                <c:v>38975</c:v>
              </c:pt>
              <c:pt idx="286">
                <c:v>38978</c:v>
              </c:pt>
              <c:pt idx="287">
                <c:v>38979</c:v>
              </c:pt>
              <c:pt idx="288">
                <c:v>38980</c:v>
              </c:pt>
              <c:pt idx="289">
                <c:v>38981</c:v>
              </c:pt>
              <c:pt idx="290">
                <c:v>38982</c:v>
              </c:pt>
              <c:pt idx="291">
                <c:v>38985</c:v>
              </c:pt>
              <c:pt idx="292">
                <c:v>38986</c:v>
              </c:pt>
              <c:pt idx="293">
                <c:v>38987</c:v>
              </c:pt>
              <c:pt idx="294">
                <c:v>38988</c:v>
              </c:pt>
              <c:pt idx="295">
                <c:v>38989</c:v>
              </c:pt>
              <c:pt idx="296">
                <c:v>38992</c:v>
              </c:pt>
              <c:pt idx="297">
                <c:v>38993</c:v>
              </c:pt>
              <c:pt idx="298">
                <c:v>38994</c:v>
              </c:pt>
              <c:pt idx="299">
                <c:v>38995</c:v>
              </c:pt>
              <c:pt idx="300">
                <c:v>38996</c:v>
              </c:pt>
              <c:pt idx="301">
                <c:v>38999</c:v>
              </c:pt>
              <c:pt idx="302">
                <c:v>39000</c:v>
              </c:pt>
              <c:pt idx="303">
                <c:v>39001</c:v>
              </c:pt>
              <c:pt idx="304">
                <c:v>39002</c:v>
              </c:pt>
              <c:pt idx="305">
                <c:v>39003</c:v>
              </c:pt>
              <c:pt idx="306">
                <c:v>39006</c:v>
              </c:pt>
              <c:pt idx="307">
                <c:v>39007</c:v>
              </c:pt>
              <c:pt idx="308">
                <c:v>39008</c:v>
              </c:pt>
              <c:pt idx="309">
                <c:v>39009</c:v>
              </c:pt>
              <c:pt idx="310">
                <c:v>39010</c:v>
              </c:pt>
              <c:pt idx="311">
                <c:v>39013</c:v>
              </c:pt>
              <c:pt idx="312">
                <c:v>39014</c:v>
              </c:pt>
              <c:pt idx="313">
                <c:v>39015</c:v>
              </c:pt>
              <c:pt idx="314">
                <c:v>39016</c:v>
              </c:pt>
              <c:pt idx="315">
                <c:v>39017</c:v>
              </c:pt>
              <c:pt idx="316">
                <c:v>39020</c:v>
              </c:pt>
              <c:pt idx="317">
                <c:v>39021</c:v>
              </c:pt>
              <c:pt idx="318">
                <c:v>39022</c:v>
              </c:pt>
              <c:pt idx="319">
                <c:v>39023</c:v>
              </c:pt>
              <c:pt idx="320">
                <c:v>39024</c:v>
              </c:pt>
              <c:pt idx="321">
                <c:v>39027</c:v>
              </c:pt>
              <c:pt idx="322">
                <c:v>39028</c:v>
              </c:pt>
              <c:pt idx="323">
                <c:v>39029</c:v>
              </c:pt>
              <c:pt idx="324">
                <c:v>39030</c:v>
              </c:pt>
              <c:pt idx="325">
                <c:v>39031</c:v>
              </c:pt>
              <c:pt idx="326">
                <c:v>39034</c:v>
              </c:pt>
              <c:pt idx="327">
                <c:v>39035</c:v>
              </c:pt>
              <c:pt idx="328">
                <c:v>39036</c:v>
              </c:pt>
              <c:pt idx="329">
                <c:v>39037</c:v>
              </c:pt>
              <c:pt idx="330">
                <c:v>39038</c:v>
              </c:pt>
              <c:pt idx="331">
                <c:v>39041</c:v>
              </c:pt>
              <c:pt idx="332">
                <c:v>39042</c:v>
              </c:pt>
              <c:pt idx="333">
                <c:v>39043</c:v>
              </c:pt>
              <c:pt idx="334">
                <c:v>39044</c:v>
              </c:pt>
              <c:pt idx="335">
                <c:v>39045</c:v>
              </c:pt>
              <c:pt idx="336">
                <c:v>39048</c:v>
              </c:pt>
              <c:pt idx="337">
                <c:v>39049</c:v>
              </c:pt>
              <c:pt idx="338">
                <c:v>39050</c:v>
              </c:pt>
              <c:pt idx="339">
                <c:v>39051</c:v>
              </c:pt>
              <c:pt idx="340">
                <c:v>39052</c:v>
              </c:pt>
              <c:pt idx="341">
                <c:v>39055</c:v>
              </c:pt>
              <c:pt idx="342">
                <c:v>39056</c:v>
              </c:pt>
              <c:pt idx="343">
                <c:v>39057</c:v>
              </c:pt>
              <c:pt idx="344">
                <c:v>39058</c:v>
              </c:pt>
              <c:pt idx="345">
                <c:v>39059</c:v>
              </c:pt>
              <c:pt idx="346">
                <c:v>39062</c:v>
              </c:pt>
              <c:pt idx="347">
                <c:v>39063</c:v>
              </c:pt>
              <c:pt idx="348">
                <c:v>39064</c:v>
              </c:pt>
              <c:pt idx="349">
                <c:v>39065</c:v>
              </c:pt>
              <c:pt idx="350">
                <c:v>39066</c:v>
              </c:pt>
              <c:pt idx="351">
                <c:v>39069</c:v>
              </c:pt>
              <c:pt idx="352">
                <c:v>39070</c:v>
              </c:pt>
              <c:pt idx="353">
                <c:v>39071</c:v>
              </c:pt>
              <c:pt idx="354">
                <c:v>39072</c:v>
              </c:pt>
              <c:pt idx="355">
                <c:v>39073</c:v>
              </c:pt>
              <c:pt idx="356">
                <c:v>39078</c:v>
              </c:pt>
              <c:pt idx="357">
                <c:v>39079</c:v>
              </c:pt>
              <c:pt idx="358">
                <c:v>39080</c:v>
              </c:pt>
              <c:pt idx="359">
                <c:v>39084</c:v>
              </c:pt>
              <c:pt idx="360">
                <c:v>39085</c:v>
              </c:pt>
              <c:pt idx="361">
                <c:v>39086</c:v>
              </c:pt>
              <c:pt idx="362">
                <c:v>39087</c:v>
              </c:pt>
              <c:pt idx="363">
                <c:v>39090</c:v>
              </c:pt>
              <c:pt idx="364">
                <c:v>39091</c:v>
              </c:pt>
              <c:pt idx="365">
                <c:v>39092</c:v>
              </c:pt>
              <c:pt idx="366">
                <c:v>39093</c:v>
              </c:pt>
              <c:pt idx="367">
                <c:v>39094</c:v>
              </c:pt>
              <c:pt idx="368">
                <c:v>39097</c:v>
              </c:pt>
              <c:pt idx="369">
                <c:v>39098</c:v>
              </c:pt>
              <c:pt idx="370">
                <c:v>39099</c:v>
              </c:pt>
              <c:pt idx="371">
                <c:v>39100</c:v>
              </c:pt>
              <c:pt idx="372">
                <c:v>39101</c:v>
              </c:pt>
              <c:pt idx="373">
                <c:v>39104</c:v>
              </c:pt>
              <c:pt idx="374">
                <c:v>39105</c:v>
              </c:pt>
              <c:pt idx="375">
                <c:v>39106</c:v>
              </c:pt>
              <c:pt idx="376">
                <c:v>39107</c:v>
              </c:pt>
              <c:pt idx="377">
                <c:v>39111</c:v>
              </c:pt>
              <c:pt idx="378">
                <c:v>39112</c:v>
              </c:pt>
              <c:pt idx="379">
                <c:v>39113</c:v>
              </c:pt>
              <c:pt idx="380">
                <c:v>39114</c:v>
              </c:pt>
              <c:pt idx="381">
                <c:v>39115</c:v>
              </c:pt>
              <c:pt idx="382">
                <c:v>39118</c:v>
              </c:pt>
              <c:pt idx="383">
                <c:v>39119</c:v>
              </c:pt>
              <c:pt idx="384">
                <c:v>39120</c:v>
              </c:pt>
              <c:pt idx="385">
                <c:v>39121</c:v>
              </c:pt>
              <c:pt idx="386">
                <c:v>39122</c:v>
              </c:pt>
              <c:pt idx="387">
                <c:v>39125</c:v>
              </c:pt>
              <c:pt idx="388">
                <c:v>39126</c:v>
              </c:pt>
              <c:pt idx="389">
                <c:v>39127</c:v>
              </c:pt>
              <c:pt idx="390">
                <c:v>39128</c:v>
              </c:pt>
              <c:pt idx="391">
                <c:v>39129</c:v>
              </c:pt>
              <c:pt idx="392">
                <c:v>39132</c:v>
              </c:pt>
              <c:pt idx="393">
                <c:v>39133</c:v>
              </c:pt>
              <c:pt idx="394">
                <c:v>39134</c:v>
              </c:pt>
              <c:pt idx="395">
                <c:v>39135</c:v>
              </c:pt>
              <c:pt idx="396">
                <c:v>39136</c:v>
              </c:pt>
              <c:pt idx="397">
                <c:v>39139</c:v>
              </c:pt>
              <c:pt idx="398">
                <c:v>39140</c:v>
              </c:pt>
              <c:pt idx="399">
                <c:v>39141</c:v>
              </c:pt>
              <c:pt idx="400">
                <c:v>39142</c:v>
              </c:pt>
              <c:pt idx="401">
                <c:v>39143</c:v>
              </c:pt>
              <c:pt idx="402">
                <c:v>39146</c:v>
              </c:pt>
              <c:pt idx="403">
                <c:v>39147</c:v>
              </c:pt>
              <c:pt idx="404">
                <c:v>39148</c:v>
              </c:pt>
              <c:pt idx="405">
                <c:v>39149</c:v>
              </c:pt>
              <c:pt idx="406">
                <c:v>39150</c:v>
              </c:pt>
              <c:pt idx="407">
                <c:v>39153</c:v>
              </c:pt>
              <c:pt idx="408">
                <c:v>39154</c:v>
              </c:pt>
              <c:pt idx="409">
                <c:v>39155</c:v>
              </c:pt>
              <c:pt idx="410">
                <c:v>39156</c:v>
              </c:pt>
              <c:pt idx="411">
                <c:v>39157</c:v>
              </c:pt>
              <c:pt idx="412">
                <c:v>39160</c:v>
              </c:pt>
              <c:pt idx="413">
                <c:v>39161</c:v>
              </c:pt>
              <c:pt idx="414">
                <c:v>39162</c:v>
              </c:pt>
              <c:pt idx="415">
                <c:v>39163</c:v>
              </c:pt>
              <c:pt idx="416">
                <c:v>39164</c:v>
              </c:pt>
              <c:pt idx="417">
                <c:v>39167</c:v>
              </c:pt>
              <c:pt idx="418">
                <c:v>39168</c:v>
              </c:pt>
              <c:pt idx="419">
                <c:v>39169</c:v>
              </c:pt>
              <c:pt idx="420">
                <c:v>39170</c:v>
              </c:pt>
              <c:pt idx="421">
                <c:v>39171</c:v>
              </c:pt>
              <c:pt idx="422">
                <c:v>39174</c:v>
              </c:pt>
              <c:pt idx="423">
                <c:v>39175</c:v>
              </c:pt>
              <c:pt idx="424">
                <c:v>39176</c:v>
              </c:pt>
              <c:pt idx="425">
                <c:v>39177</c:v>
              </c:pt>
              <c:pt idx="426">
                <c:v>39182</c:v>
              </c:pt>
              <c:pt idx="427">
                <c:v>39183</c:v>
              </c:pt>
              <c:pt idx="428">
                <c:v>39184</c:v>
              </c:pt>
              <c:pt idx="429">
                <c:v>39185</c:v>
              </c:pt>
              <c:pt idx="430">
                <c:v>39188</c:v>
              </c:pt>
              <c:pt idx="431">
                <c:v>39189</c:v>
              </c:pt>
              <c:pt idx="432">
                <c:v>39190</c:v>
              </c:pt>
              <c:pt idx="433">
                <c:v>39191</c:v>
              </c:pt>
              <c:pt idx="434">
                <c:v>39192</c:v>
              </c:pt>
              <c:pt idx="435">
                <c:v>39195</c:v>
              </c:pt>
              <c:pt idx="436">
                <c:v>39196</c:v>
              </c:pt>
              <c:pt idx="437">
                <c:v>39198</c:v>
              </c:pt>
              <c:pt idx="438">
                <c:v>39199</c:v>
              </c:pt>
              <c:pt idx="439">
                <c:v>39202</c:v>
              </c:pt>
              <c:pt idx="440">
                <c:v>39203</c:v>
              </c:pt>
              <c:pt idx="441">
                <c:v>39204</c:v>
              </c:pt>
              <c:pt idx="442">
                <c:v>39205</c:v>
              </c:pt>
              <c:pt idx="443">
                <c:v>39206</c:v>
              </c:pt>
              <c:pt idx="444">
                <c:v>39209</c:v>
              </c:pt>
              <c:pt idx="445">
                <c:v>39210</c:v>
              </c:pt>
              <c:pt idx="446">
                <c:v>39211</c:v>
              </c:pt>
              <c:pt idx="447">
                <c:v>39212</c:v>
              </c:pt>
              <c:pt idx="448">
                <c:v>39213</c:v>
              </c:pt>
              <c:pt idx="449">
                <c:v>39216</c:v>
              </c:pt>
              <c:pt idx="450">
                <c:v>39217</c:v>
              </c:pt>
              <c:pt idx="451">
                <c:v>39218</c:v>
              </c:pt>
              <c:pt idx="452">
                <c:v>39219</c:v>
              </c:pt>
              <c:pt idx="453">
                <c:v>39220</c:v>
              </c:pt>
              <c:pt idx="454">
                <c:v>39223</c:v>
              </c:pt>
              <c:pt idx="455">
                <c:v>39224</c:v>
              </c:pt>
              <c:pt idx="456">
                <c:v>39225</c:v>
              </c:pt>
              <c:pt idx="457">
                <c:v>39226</c:v>
              </c:pt>
              <c:pt idx="458">
                <c:v>39227</c:v>
              </c:pt>
              <c:pt idx="459">
                <c:v>39230</c:v>
              </c:pt>
              <c:pt idx="460">
                <c:v>39231</c:v>
              </c:pt>
              <c:pt idx="461">
                <c:v>39232</c:v>
              </c:pt>
              <c:pt idx="462">
                <c:v>39233</c:v>
              </c:pt>
              <c:pt idx="463">
                <c:v>39234</c:v>
              </c:pt>
              <c:pt idx="464">
                <c:v>39237</c:v>
              </c:pt>
              <c:pt idx="465">
                <c:v>39238</c:v>
              </c:pt>
              <c:pt idx="466">
                <c:v>39239</c:v>
              </c:pt>
              <c:pt idx="467">
                <c:v>39240</c:v>
              </c:pt>
              <c:pt idx="468">
                <c:v>39241</c:v>
              </c:pt>
              <c:pt idx="469">
                <c:v>39245</c:v>
              </c:pt>
              <c:pt idx="470">
                <c:v>39246</c:v>
              </c:pt>
              <c:pt idx="471">
                <c:v>39247</c:v>
              </c:pt>
              <c:pt idx="472">
                <c:v>39248</c:v>
              </c:pt>
              <c:pt idx="473">
                <c:v>39251</c:v>
              </c:pt>
              <c:pt idx="474">
                <c:v>39252</c:v>
              </c:pt>
              <c:pt idx="475">
                <c:v>39253</c:v>
              </c:pt>
              <c:pt idx="476">
                <c:v>39254</c:v>
              </c:pt>
              <c:pt idx="477">
                <c:v>39255</c:v>
              </c:pt>
              <c:pt idx="478">
                <c:v>39258</c:v>
              </c:pt>
              <c:pt idx="479">
                <c:v>39259</c:v>
              </c:pt>
              <c:pt idx="480">
                <c:v>39260</c:v>
              </c:pt>
              <c:pt idx="481">
                <c:v>39261</c:v>
              </c:pt>
              <c:pt idx="482">
                <c:v>39262</c:v>
              </c:pt>
              <c:pt idx="483">
                <c:v>39265</c:v>
              </c:pt>
              <c:pt idx="484">
                <c:v>39266</c:v>
              </c:pt>
              <c:pt idx="485">
                <c:v>39267</c:v>
              </c:pt>
              <c:pt idx="486">
                <c:v>39268</c:v>
              </c:pt>
              <c:pt idx="487">
                <c:v>39269</c:v>
              </c:pt>
              <c:pt idx="488">
                <c:v>39272</c:v>
              </c:pt>
              <c:pt idx="489">
                <c:v>39273</c:v>
              </c:pt>
              <c:pt idx="490">
                <c:v>39274</c:v>
              </c:pt>
              <c:pt idx="491">
                <c:v>39275</c:v>
              </c:pt>
              <c:pt idx="492">
                <c:v>39276</c:v>
              </c:pt>
              <c:pt idx="493">
                <c:v>39279</c:v>
              </c:pt>
              <c:pt idx="494">
                <c:v>39280</c:v>
              </c:pt>
              <c:pt idx="495">
                <c:v>39281</c:v>
              </c:pt>
              <c:pt idx="496">
                <c:v>39282</c:v>
              </c:pt>
              <c:pt idx="497">
                <c:v>39283</c:v>
              </c:pt>
              <c:pt idx="498">
                <c:v>39286</c:v>
              </c:pt>
              <c:pt idx="499">
                <c:v>39287</c:v>
              </c:pt>
              <c:pt idx="500">
                <c:v>39288</c:v>
              </c:pt>
              <c:pt idx="501">
                <c:v>39289</c:v>
              </c:pt>
              <c:pt idx="502">
                <c:v>39290</c:v>
              </c:pt>
              <c:pt idx="503">
                <c:v>39293</c:v>
              </c:pt>
              <c:pt idx="504">
                <c:v>39294</c:v>
              </c:pt>
              <c:pt idx="505">
                <c:v>39295</c:v>
              </c:pt>
              <c:pt idx="506">
                <c:v>39296</c:v>
              </c:pt>
              <c:pt idx="507">
                <c:v>39297</c:v>
              </c:pt>
              <c:pt idx="508">
                <c:v>39300</c:v>
              </c:pt>
              <c:pt idx="509">
                <c:v>39301</c:v>
              </c:pt>
              <c:pt idx="510">
                <c:v>39302</c:v>
              </c:pt>
              <c:pt idx="511">
                <c:v>39303</c:v>
              </c:pt>
              <c:pt idx="512">
                <c:v>39304</c:v>
              </c:pt>
              <c:pt idx="513">
                <c:v>39307</c:v>
              </c:pt>
              <c:pt idx="514">
                <c:v>39308</c:v>
              </c:pt>
              <c:pt idx="515">
                <c:v>39309</c:v>
              </c:pt>
              <c:pt idx="516">
                <c:v>39310</c:v>
              </c:pt>
              <c:pt idx="517">
                <c:v>39311</c:v>
              </c:pt>
              <c:pt idx="518">
                <c:v>39314</c:v>
              </c:pt>
              <c:pt idx="519">
                <c:v>39315</c:v>
              </c:pt>
              <c:pt idx="520">
                <c:v>39316</c:v>
              </c:pt>
              <c:pt idx="521">
                <c:v>39317</c:v>
              </c:pt>
              <c:pt idx="522">
                <c:v>39318</c:v>
              </c:pt>
              <c:pt idx="523">
                <c:v>39321</c:v>
              </c:pt>
              <c:pt idx="524">
                <c:v>39322</c:v>
              </c:pt>
              <c:pt idx="525">
                <c:v>39323</c:v>
              </c:pt>
              <c:pt idx="526">
                <c:v>39324</c:v>
              </c:pt>
              <c:pt idx="527">
                <c:v>39325</c:v>
              </c:pt>
              <c:pt idx="528">
                <c:v>39568</c:v>
              </c:pt>
              <c:pt idx="529">
                <c:v>39569</c:v>
              </c:pt>
              <c:pt idx="530">
                <c:v>39570</c:v>
              </c:pt>
              <c:pt idx="531">
                <c:v>39573</c:v>
              </c:pt>
              <c:pt idx="532">
                <c:v>39574</c:v>
              </c:pt>
              <c:pt idx="533">
                <c:v>39575</c:v>
              </c:pt>
              <c:pt idx="534">
                <c:v>39576</c:v>
              </c:pt>
              <c:pt idx="535">
                <c:v>39577</c:v>
              </c:pt>
              <c:pt idx="536">
                <c:v>39580</c:v>
              </c:pt>
              <c:pt idx="537">
                <c:v>39581</c:v>
              </c:pt>
              <c:pt idx="538">
                <c:v>39582</c:v>
              </c:pt>
              <c:pt idx="539">
                <c:v>39583</c:v>
              </c:pt>
              <c:pt idx="540">
                <c:v>39584</c:v>
              </c:pt>
              <c:pt idx="541">
                <c:v>39587</c:v>
              </c:pt>
              <c:pt idx="542">
                <c:v>39588</c:v>
              </c:pt>
              <c:pt idx="543">
                <c:v>39589</c:v>
              </c:pt>
              <c:pt idx="544">
                <c:v>39590</c:v>
              </c:pt>
              <c:pt idx="545">
                <c:v>39591</c:v>
              </c:pt>
              <c:pt idx="546">
                <c:v>39594</c:v>
              </c:pt>
              <c:pt idx="547">
                <c:v>39595</c:v>
              </c:pt>
              <c:pt idx="548">
                <c:v>39596</c:v>
              </c:pt>
              <c:pt idx="549">
                <c:v>39597</c:v>
              </c:pt>
              <c:pt idx="550">
                <c:v>39598</c:v>
              </c:pt>
              <c:pt idx="551">
                <c:v>39660</c:v>
              </c:pt>
              <c:pt idx="552">
                <c:v>39661</c:v>
              </c:pt>
              <c:pt idx="553">
                <c:v>39664</c:v>
              </c:pt>
              <c:pt idx="554">
                <c:v>39665</c:v>
              </c:pt>
              <c:pt idx="555">
                <c:v>39666</c:v>
              </c:pt>
              <c:pt idx="556">
                <c:v>39667</c:v>
              </c:pt>
              <c:pt idx="557">
                <c:v>39668</c:v>
              </c:pt>
              <c:pt idx="558">
                <c:v>39671</c:v>
              </c:pt>
              <c:pt idx="559">
                <c:v>39672</c:v>
              </c:pt>
              <c:pt idx="560">
                <c:v>39673</c:v>
              </c:pt>
              <c:pt idx="561">
                <c:v>39674</c:v>
              </c:pt>
              <c:pt idx="562">
                <c:v>39675</c:v>
              </c:pt>
              <c:pt idx="563">
                <c:v>39678</c:v>
              </c:pt>
              <c:pt idx="564">
                <c:v>39679</c:v>
              </c:pt>
              <c:pt idx="565">
                <c:v>39680</c:v>
              </c:pt>
              <c:pt idx="566">
                <c:v>39681</c:v>
              </c:pt>
              <c:pt idx="567">
                <c:v>39682</c:v>
              </c:pt>
              <c:pt idx="568">
                <c:v>39685</c:v>
              </c:pt>
              <c:pt idx="569">
                <c:v>39686</c:v>
              </c:pt>
              <c:pt idx="570">
                <c:v>39687</c:v>
              </c:pt>
              <c:pt idx="571">
                <c:v>39688</c:v>
              </c:pt>
              <c:pt idx="572">
                <c:v>39689</c:v>
              </c:pt>
              <c:pt idx="573">
                <c:v>39692</c:v>
              </c:pt>
              <c:pt idx="574">
                <c:v>39693</c:v>
              </c:pt>
              <c:pt idx="575">
                <c:v>39694</c:v>
              </c:pt>
              <c:pt idx="576">
                <c:v>39695</c:v>
              </c:pt>
              <c:pt idx="577">
                <c:v>39696</c:v>
              </c:pt>
              <c:pt idx="578">
                <c:v>39699</c:v>
              </c:pt>
              <c:pt idx="579">
                <c:v>39700</c:v>
              </c:pt>
              <c:pt idx="580">
                <c:v>39701</c:v>
              </c:pt>
              <c:pt idx="581">
                <c:v>39702</c:v>
              </c:pt>
              <c:pt idx="582">
                <c:v>39703</c:v>
              </c:pt>
              <c:pt idx="583">
                <c:v>39706</c:v>
              </c:pt>
              <c:pt idx="584">
                <c:v>39707</c:v>
              </c:pt>
              <c:pt idx="585">
                <c:v>39708</c:v>
              </c:pt>
              <c:pt idx="586">
                <c:v>39709</c:v>
              </c:pt>
              <c:pt idx="587">
                <c:v>39710</c:v>
              </c:pt>
              <c:pt idx="588">
                <c:v>39713</c:v>
              </c:pt>
              <c:pt idx="589">
                <c:v>39714</c:v>
              </c:pt>
              <c:pt idx="590">
                <c:v>39715</c:v>
              </c:pt>
              <c:pt idx="591">
                <c:v>39716</c:v>
              </c:pt>
              <c:pt idx="592">
                <c:v>39717</c:v>
              </c:pt>
              <c:pt idx="593">
                <c:v>39720</c:v>
              </c:pt>
              <c:pt idx="594">
                <c:v>39721</c:v>
              </c:pt>
              <c:pt idx="595">
                <c:v>39722</c:v>
              </c:pt>
              <c:pt idx="596">
                <c:v>39723</c:v>
              </c:pt>
              <c:pt idx="597">
                <c:v>39724</c:v>
              </c:pt>
              <c:pt idx="598">
                <c:v>39727</c:v>
              </c:pt>
              <c:pt idx="599">
                <c:v>39728</c:v>
              </c:pt>
              <c:pt idx="600">
                <c:v>39729</c:v>
              </c:pt>
              <c:pt idx="601">
                <c:v>39730</c:v>
              </c:pt>
              <c:pt idx="602">
                <c:v>39731</c:v>
              </c:pt>
              <c:pt idx="603">
                <c:v>39734</c:v>
              </c:pt>
              <c:pt idx="604">
                <c:v>39735</c:v>
              </c:pt>
              <c:pt idx="605">
                <c:v>39736</c:v>
              </c:pt>
              <c:pt idx="606">
                <c:v>39737</c:v>
              </c:pt>
              <c:pt idx="607">
                <c:v>39738</c:v>
              </c:pt>
              <c:pt idx="608">
                <c:v>39741</c:v>
              </c:pt>
              <c:pt idx="609">
                <c:v>39742</c:v>
              </c:pt>
              <c:pt idx="610">
                <c:v>39743</c:v>
              </c:pt>
              <c:pt idx="611">
                <c:v>39744</c:v>
              </c:pt>
              <c:pt idx="612">
                <c:v>39745</c:v>
              </c:pt>
              <c:pt idx="613">
                <c:v>39748</c:v>
              </c:pt>
              <c:pt idx="614">
                <c:v>39749</c:v>
              </c:pt>
              <c:pt idx="615">
                <c:v>39750</c:v>
              </c:pt>
              <c:pt idx="616">
                <c:v>39751</c:v>
              </c:pt>
              <c:pt idx="617">
                <c:v>39752</c:v>
              </c:pt>
              <c:pt idx="618">
                <c:v>39755</c:v>
              </c:pt>
              <c:pt idx="619">
                <c:v>39756</c:v>
              </c:pt>
              <c:pt idx="620">
                <c:v>39757</c:v>
              </c:pt>
              <c:pt idx="621">
                <c:v>39758</c:v>
              </c:pt>
              <c:pt idx="622">
                <c:v>39759</c:v>
              </c:pt>
              <c:pt idx="623">
                <c:v>39762</c:v>
              </c:pt>
              <c:pt idx="624">
                <c:v>39763</c:v>
              </c:pt>
              <c:pt idx="625">
                <c:v>39764</c:v>
              </c:pt>
              <c:pt idx="626">
                <c:v>39765</c:v>
              </c:pt>
              <c:pt idx="627">
                <c:v>39766</c:v>
              </c:pt>
              <c:pt idx="628">
                <c:v>39769</c:v>
              </c:pt>
              <c:pt idx="629">
                <c:v>39770</c:v>
              </c:pt>
              <c:pt idx="630">
                <c:v>39771</c:v>
              </c:pt>
              <c:pt idx="631">
                <c:v>39772</c:v>
              </c:pt>
              <c:pt idx="632">
                <c:v>39773</c:v>
              </c:pt>
              <c:pt idx="633">
                <c:v>39776</c:v>
              </c:pt>
              <c:pt idx="634">
                <c:v>39777</c:v>
              </c:pt>
              <c:pt idx="635">
                <c:v>39778</c:v>
              </c:pt>
              <c:pt idx="636">
                <c:v>39779</c:v>
              </c:pt>
              <c:pt idx="637">
                <c:v>39780</c:v>
              </c:pt>
              <c:pt idx="638">
                <c:v>39783</c:v>
              </c:pt>
              <c:pt idx="639">
                <c:v>39784</c:v>
              </c:pt>
              <c:pt idx="640">
                <c:v>39785</c:v>
              </c:pt>
              <c:pt idx="641">
                <c:v>39786</c:v>
              </c:pt>
              <c:pt idx="642">
                <c:v>39787</c:v>
              </c:pt>
              <c:pt idx="643">
                <c:v>39790</c:v>
              </c:pt>
              <c:pt idx="644">
                <c:v>39791</c:v>
              </c:pt>
              <c:pt idx="645">
                <c:v>39792</c:v>
              </c:pt>
              <c:pt idx="646">
                <c:v>39793</c:v>
              </c:pt>
              <c:pt idx="647">
                <c:v>39794</c:v>
              </c:pt>
              <c:pt idx="648">
                <c:v>39797</c:v>
              </c:pt>
              <c:pt idx="649">
                <c:v>39798</c:v>
              </c:pt>
              <c:pt idx="650">
                <c:v>39799</c:v>
              </c:pt>
              <c:pt idx="651">
                <c:v>39800</c:v>
              </c:pt>
              <c:pt idx="652">
                <c:v>39801</c:v>
              </c:pt>
              <c:pt idx="653">
                <c:v>39804</c:v>
              </c:pt>
              <c:pt idx="654">
                <c:v>39805</c:v>
              </c:pt>
              <c:pt idx="655">
                <c:v>39806</c:v>
              </c:pt>
              <c:pt idx="656">
                <c:v>39811</c:v>
              </c:pt>
              <c:pt idx="657">
                <c:v>39812</c:v>
              </c:pt>
              <c:pt idx="658">
                <c:v>39813</c:v>
              </c:pt>
              <c:pt idx="659">
                <c:v>39815</c:v>
              </c:pt>
              <c:pt idx="660">
                <c:v>39818</c:v>
              </c:pt>
              <c:pt idx="661">
                <c:v>39819</c:v>
              </c:pt>
              <c:pt idx="662">
                <c:v>39820</c:v>
              </c:pt>
              <c:pt idx="663">
                <c:v>39821</c:v>
              </c:pt>
              <c:pt idx="664">
                <c:v>39822</c:v>
              </c:pt>
              <c:pt idx="665">
                <c:v>39825</c:v>
              </c:pt>
              <c:pt idx="666">
                <c:v>39826</c:v>
              </c:pt>
              <c:pt idx="667">
                <c:v>39827</c:v>
              </c:pt>
              <c:pt idx="668">
                <c:v>39828</c:v>
              </c:pt>
              <c:pt idx="669">
                <c:v>39829</c:v>
              </c:pt>
              <c:pt idx="670">
                <c:v>39832</c:v>
              </c:pt>
              <c:pt idx="671">
                <c:v>39833</c:v>
              </c:pt>
              <c:pt idx="672">
                <c:v>39834</c:v>
              </c:pt>
              <c:pt idx="673">
                <c:v>39835</c:v>
              </c:pt>
              <c:pt idx="674">
                <c:v>39836</c:v>
              </c:pt>
              <c:pt idx="675">
                <c:v>39840</c:v>
              </c:pt>
              <c:pt idx="676">
                <c:v>39841</c:v>
              </c:pt>
              <c:pt idx="677">
                <c:v>39842</c:v>
              </c:pt>
              <c:pt idx="678">
                <c:v>39843</c:v>
              </c:pt>
              <c:pt idx="679">
                <c:v>39846</c:v>
              </c:pt>
              <c:pt idx="680">
                <c:v>39847</c:v>
              </c:pt>
              <c:pt idx="681">
                <c:v>39848</c:v>
              </c:pt>
              <c:pt idx="682">
                <c:v>39849</c:v>
              </c:pt>
              <c:pt idx="683">
                <c:v>39850</c:v>
              </c:pt>
              <c:pt idx="684">
                <c:v>39853</c:v>
              </c:pt>
              <c:pt idx="685">
                <c:v>39854</c:v>
              </c:pt>
              <c:pt idx="686">
                <c:v>39855</c:v>
              </c:pt>
              <c:pt idx="687">
                <c:v>39856</c:v>
              </c:pt>
              <c:pt idx="688">
                <c:v>39857</c:v>
              </c:pt>
              <c:pt idx="689">
                <c:v>39860</c:v>
              </c:pt>
              <c:pt idx="690">
                <c:v>39861</c:v>
              </c:pt>
              <c:pt idx="691">
                <c:v>39862</c:v>
              </c:pt>
              <c:pt idx="692">
                <c:v>39863</c:v>
              </c:pt>
              <c:pt idx="693">
                <c:v>39864</c:v>
              </c:pt>
              <c:pt idx="694">
                <c:v>39867</c:v>
              </c:pt>
              <c:pt idx="695">
                <c:v>39868</c:v>
              </c:pt>
              <c:pt idx="696">
                <c:v>39869</c:v>
              </c:pt>
              <c:pt idx="697">
                <c:v>39870</c:v>
              </c:pt>
              <c:pt idx="698">
                <c:v>39871</c:v>
              </c:pt>
              <c:pt idx="699">
                <c:v>39874</c:v>
              </c:pt>
              <c:pt idx="700">
                <c:v>39875</c:v>
              </c:pt>
              <c:pt idx="701">
                <c:v>39876</c:v>
              </c:pt>
              <c:pt idx="702">
                <c:v>39877</c:v>
              </c:pt>
              <c:pt idx="703">
                <c:v>39878</c:v>
              </c:pt>
              <c:pt idx="704">
                <c:v>39881</c:v>
              </c:pt>
              <c:pt idx="705">
                <c:v>39882</c:v>
              </c:pt>
              <c:pt idx="706">
                <c:v>39883</c:v>
              </c:pt>
              <c:pt idx="707">
                <c:v>39884</c:v>
              </c:pt>
              <c:pt idx="708">
                <c:v>39885</c:v>
              </c:pt>
              <c:pt idx="709">
                <c:v>39888</c:v>
              </c:pt>
              <c:pt idx="710">
                <c:v>39889</c:v>
              </c:pt>
              <c:pt idx="711">
                <c:v>39890</c:v>
              </c:pt>
              <c:pt idx="712">
                <c:v>39891</c:v>
              </c:pt>
              <c:pt idx="713">
                <c:v>39892</c:v>
              </c:pt>
              <c:pt idx="714">
                <c:v>39895</c:v>
              </c:pt>
              <c:pt idx="715">
                <c:v>39896</c:v>
              </c:pt>
              <c:pt idx="716">
                <c:v>39897</c:v>
              </c:pt>
              <c:pt idx="717">
                <c:v>39898</c:v>
              </c:pt>
              <c:pt idx="718">
                <c:v>39899</c:v>
              </c:pt>
              <c:pt idx="719">
                <c:v>39902</c:v>
              </c:pt>
              <c:pt idx="720">
                <c:v>39903</c:v>
              </c:pt>
              <c:pt idx="721">
                <c:v>39904</c:v>
              </c:pt>
              <c:pt idx="722">
                <c:v>39905</c:v>
              </c:pt>
              <c:pt idx="723">
                <c:v>39906</c:v>
              </c:pt>
              <c:pt idx="724">
                <c:v>39909</c:v>
              </c:pt>
              <c:pt idx="725">
                <c:v>39910</c:v>
              </c:pt>
              <c:pt idx="726">
                <c:v>39911</c:v>
              </c:pt>
              <c:pt idx="727">
                <c:v>39912</c:v>
              </c:pt>
              <c:pt idx="728">
                <c:v>39917</c:v>
              </c:pt>
              <c:pt idx="729">
                <c:v>39918</c:v>
              </c:pt>
              <c:pt idx="730">
                <c:v>39919</c:v>
              </c:pt>
              <c:pt idx="731">
                <c:v>39920</c:v>
              </c:pt>
              <c:pt idx="732">
                <c:v>39923</c:v>
              </c:pt>
              <c:pt idx="733">
                <c:v>39924</c:v>
              </c:pt>
              <c:pt idx="734">
                <c:v>39925</c:v>
              </c:pt>
              <c:pt idx="735">
                <c:v>39926</c:v>
              </c:pt>
              <c:pt idx="736">
                <c:v>39927</c:v>
              </c:pt>
              <c:pt idx="737">
                <c:v>39930</c:v>
              </c:pt>
              <c:pt idx="738">
                <c:v>39931</c:v>
              </c:pt>
              <c:pt idx="739">
                <c:v>39932</c:v>
              </c:pt>
              <c:pt idx="740">
                <c:v>39933</c:v>
              </c:pt>
              <c:pt idx="741">
                <c:v>39934</c:v>
              </c:pt>
              <c:pt idx="742">
                <c:v>39937</c:v>
              </c:pt>
              <c:pt idx="743">
                <c:v>39938</c:v>
              </c:pt>
              <c:pt idx="744">
                <c:v>39939</c:v>
              </c:pt>
              <c:pt idx="745">
                <c:v>39940</c:v>
              </c:pt>
              <c:pt idx="746">
                <c:v>39941</c:v>
              </c:pt>
              <c:pt idx="747">
                <c:v>39944</c:v>
              </c:pt>
              <c:pt idx="748">
                <c:v>39945</c:v>
              </c:pt>
              <c:pt idx="749">
                <c:v>39946</c:v>
              </c:pt>
              <c:pt idx="750">
                <c:v>39947</c:v>
              </c:pt>
              <c:pt idx="751">
                <c:v>39948</c:v>
              </c:pt>
              <c:pt idx="752">
                <c:v>39951</c:v>
              </c:pt>
              <c:pt idx="753">
                <c:v>39952</c:v>
              </c:pt>
              <c:pt idx="754">
                <c:v>39953</c:v>
              </c:pt>
              <c:pt idx="755">
                <c:v>39954</c:v>
              </c:pt>
              <c:pt idx="756">
                <c:v>39955</c:v>
              </c:pt>
              <c:pt idx="757">
                <c:v>39958</c:v>
              </c:pt>
              <c:pt idx="758">
                <c:v>39959</c:v>
              </c:pt>
              <c:pt idx="759">
                <c:v>39960</c:v>
              </c:pt>
              <c:pt idx="760">
                <c:v>39961</c:v>
              </c:pt>
              <c:pt idx="761">
                <c:v>39962</c:v>
              </c:pt>
              <c:pt idx="762">
                <c:v>39965</c:v>
              </c:pt>
              <c:pt idx="763">
                <c:v>39966</c:v>
              </c:pt>
              <c:pt idx="764">
                <c:v>39967</c:v>
              </c:pt>
              <c:pt idx="765">
                <c:v>39968</c:v>
              </c:pt>
              <c:pt idx="766">
                <c:v>39969</c:v>
              </c:pt>
              <c:pt idx="767">
                <c:v>39973</c:v>
              </c:pt>
              <c:pt idx="768">
                <c:v>39974</c:v>
              </c:pt>
              <c:pt idx="769">
                <c:v>39975</c:v>
              </c:pt>
              <c:pt idx="770">
                <c:v>39976</c:v>
              </c:pt>
              <c:pt idx="771">
                <c:v>39979</c:v>
              </c:pt>
              <c:pt idx="772">
                <c:v>39980</c:v>
              </c:pt>
              <c:pt idx="773">
                <c:v>39981</c:v>
              </c:pt>
              <c:pt idx="774">
                <c:v>39982</c:v>
              </c:pt>
              <c:pt idx="775">
                <c:v>39983</c:v>
              </c:pt>
              <c:pt idx="776">
                <c:v>39986</c:v>
              </c:pt>
              <c:pt idx="777">
                <c:v>39987</c:v>
              </c:pt>
              <c:pt idx="778">
                <c:v>39988</c:v>
              </c:pt>
              <c:pt idx="779">
                <c:v>39989</c:v>
              </c:pt>
              <c:pt idx="780">
                <c:v>39990</c:v>
              </c:pt>
              <c:pt idx="781">
                <c:v>39993</c:v>
              </c:pt>
              <c:pt idx="782">
                <c:v>39994</c:v>
              </c:pt>
              <c:pt idx="783">
                <c:v>39995</c:v>
              </c:pt>
              <c:pt idx="784">
                <c:v>39996</c:v>
              </c:pt>
              <c:pt idx="785">
                <c:v>39997</c:v>
              </c:pt>
              <c:pt idx="786">
                <c:v>40000</c:v>
              </c:pt>
              <c:pt idx="787">
                <c:v>40001</c:v>
              </c:pt>
              <c:pt idx="788">
                <c:v>40002</c:v>
              </c:pt>
              <c:pt idx="789">
                <c:v>40003</c:v>
              </c:pt>
              <c:pt idx="790">
                <c:v>40004</c:v>
              </c:pt>
              <c:pt idx="791">
                <c:v>40007</c:v>
              </c:pt>
              <c:pt idx="792">
                <c:v>40008</c:v>
              </c:pt>
              <c:pt idx="793">
                <c:v>40009</c:v>
              </c:pt>
              <c:pt idx="794">
                <c:v>40010</c:v>
              </c:pt>
              <c:pt idx="795">
                <c:v>40011</c:v>
              </c:pt>
              <c:pt idx="796">
                <c:v>40014</c:v>
              </c:pt>
              <c:pt idx="797">
                <c:v>40015</c:v>
              </c:pt>
              <c:pt idx="798">
                <c:v>40016</c:v>
              </c:pt>
              <c:pt idx="799">
                <c:v>40017</c:v>
              </c:pt>
              <c:pt idx="800">
                <c:v>40018</c:v>
              </c:pt>
              <c:pt idx="801">
                <c:v>40021</c:v>
              </c:pt>
              <c:pt idx="802">
                <c:v>40022</c:v>
              </c:pt>
              <c:pt idx="803">
                <c:v>40023</c:v>
              </c:pt>
              <c:pt idx="804">
                <c:v>40024</c:v>
              </c:pt>
              <c:pt idx="805">
                <c:v>40025</c:v>
              </c:pt>
              <c:pt idx="806">
                <c:v>40028</c:v>
              </c:pt>
              <c:pt idx="807">
                <c:v>40029</c:v>
              </c:pt>
              <c:pt idx="808">
                <c:v>40030</c:v>
              </c:pt>
              <c:pt idx="809">
                <c:v>40031</c:v>
              </c:pt>
              <c:pt idx="810">
                <c:v>40032</c:v>
              </c:pt>
              <c:pt idx="811">
                <c:v>40035</c:v>
              </c:pt>
              <c:pt idx="812">
                <c:v>40036</c:v>
              </c:pt>
              <c:pt idx="813">
                <c:v>40037</c:v>
              </c:pt>
              <c:pt idx="814">
                <c:v>40038</c:v>
              </c:pt>
              <c:pt idx="815">
                <c:v>40039</c:v>
              </c:pt>
              <c:pt idx="816">
                <c:v>40042</c:v>
              </c:pt>
              <c:pt idx="817">
                <c:v>40043</c:v>
              </c:pt>
              <c:pt idx="818">
                <c:v>40044</c:v>
              </c:pt>
              <c:pt idx="819">
                <c:v>40045</c:v>
              </c:pt>
              <c:pt idx="820">
                <c:v>40046</c:v>
              </c:pt>
              <c:pt idx="821">
                <c:v>40049</c:v>
              </c:pt>
              <c:pt idx="822">
                <c:v>40050</c:v>
              </c:pt>
              <c:pt idx="823">
                <c:v>40051</c:v>
              </c:pt>
              <c:pt idx="824">
                <c:v>40052</c:v>
              </c:pt>
              <c:pt idx="825">
                <c:v>40053</c:v>
              </c:pt>
              <c:pt idx="826">
                <c:v>40056</c:v>
              </c:pt>
              <c:pt idx="827">
                <c:v>40057</c:v>
              </c:pt>
              <c:pt idx="828">
                <c:v>40058</c:v>
              </c:pt>
              <c:pt idx="829">
                <c:v>40059</c:v>
              </c:pt>
              <c:pt idx="830">
                <c:v>40060</c:v>
              </c:pt>
              <c:pt idx="831">
                <c:v>40063</c:v>
              </c:pt>
              <c:pt idx="832">
                <c:v>40064</c:v>
              </c:pt>
              <c:pt idx="833">
                <c:v>40065</c:v>
              </c:pt>
              <c:pt idx="834">
                <c:v>40066</c:v>
              </c:pt>
              <c:pt idx="835">
                <c:v>40067</c:v>
              </c:pt>
              <c:pt idx="836">
                <c:v>40070</c:v>
              </c:pt>
              <c:pt idx="837">
                <c:v>40071</c:v>
              </c:pt>
              <c:pt idx="838">
                <c:v>40072</c:v>
              </c:pt>
              <c:pt idx="839">
                <c:v>40073</c:v>
              </c:pt>
              <c:pt idx="840">
                <c:v>40074</c:v>
              </c:pt>
              <c:pt idx="841">
                <c:v>40077</c:v>
              </c:pt>
              <c:pt idx="842">
                <c:v>40078</c:v>
              </c:pt>
              <c:pt idx="843">
                <c:v>40079</c:v>
              </c:pt>
              <c:pt idx="844">
                <c:v>40080</c:v>
              </c:pt>
              <c:pt idx="845">
                <c:v>40081</c:v>
              </c:pt>
              <c:pt idx="846">
                <c:v>40084</c:v>
              </c:pt>
              <c:pt idx="847">
                <c:v>40085</c:v>
              </c:pt>
              <c:pt idx="848">
                <c:v>40086</c:v>
              </c:pt>
              <c:pt idx="849">
                <c:v>40087</c:v>
              </c:pt>
              <c:pt idx="850">
                <c:v>40088</c:v>
              </c:pt>
              <c:pt idx="851">
                <c:v>40091</c:v>
              </c:pt>
              <c:pt idx="852">
                <c:v>40092</c:v>
              </c:pt>
              <c:pt idx="853">
                <c:v>40093</c:v>
              </c:pt>
              <c:pt idx="854">
                <c:v>40094</c:v>
              </c:pt>
              <c:pt idx="855">
                <c:v>40095</c:v>
              </c:pt>
              <c:pt idx="856">
                <c:v>40098</c:v>
              </c:pt>
              <c:pt idx="857">
                <c:v>40099</c:v>
              </c:pt>
              <c:pt idx="858">
                <c:v>40100</c:v>
              </c:pt>
              <c:pt idx="859">
                <c:v>40101</c:v>
              </c:pt>
              <c:pt idx="860">
                <c:v>40102</c:v>
              </c:pt>
              <c:pt idx="861">
                <c:v>40105</c:v>
              </c:pt>
              <c:pt idx="862">
                <c:v>40106</c:v>
              </c:pt>
              <c:pt idx="863">
                <c:v>40107</c:v>
              </c:pt>
              <c:pt idx="864">
                <c:v>40108</c:v>
              </c:pt>
              <c:pt idx="865">
                <c:v>40109</c:v>
              </c:pt>
              <c:pt idx="866">
                <c:v>40112</c:v>
              </c:pt>
              <c:pt idx="867">
                <c:v>40113</c:v>
              </c:pt>
              <c:pt idx="868">
                <c:v>40114</c:v>
              </c:pt>
              <c:pt idx="869">
                <c:v>40115</c:v>
              </c:pt>
              <c:pt idx="870">
                <c:v>40116</c:v>
              </c:pt>
              <c:pt idx="871">
                <c:v>40119</c:v>
              </c:pt>
              <c:pt idx="872">
                <c:v>40120</c:v>
              </c:pt>
              <c:pt idx="873">
                <c:v>40121</c:v>
              </c:pt>
              <c:pt idx="874">
                <c:v>40122</c:v>
              </c:pt>
              <c:pt idx="875">
                <c:v>40123</c:v>
              </c:pt>
              <c:pt idx="876">
                <c:v>40126</c:v>
              </c:pt>
              <c:pt idx="877">
                <c:v>40127</c:v>
              </c:pt>
              <c:pt idx="878">
                <c:v>40128</c:v>
              </c:pt>
              <c:pt idx="879">
                <c:v>40129</c:v>
              </c:pt>
              <c:pt idx="880">
                <c:v>40130</c:v>
              </c:pt>
              <c:pt idx="881">
                <c:v>40133</c:v>
              </c:pt>
              <c:pt idx="882">
                <c:v>40134</c:v>
              </c:pt>
              <c:pt idx="883">
                <c:v>40135</c:v>
              </c:pt>
              <c:pt idx="884">
                <c:v>40136</c:v>
              </c:pt>
              <c:pt idx="885">
                <c:v>40137</c:v>
              </c:pt>
              <c:pt idx="886">
                <c:v>40140</c:v>
              </c:pt>
              <c:pt idx="887">
                <c:v>40141</c:v>
              </c:pt>
              <c:pt idx="888">
                <c:v>40142</c:v>
              </c:pt>
              <c:pt idx="889">
                <c:v>40143</c:v>
              </c:pt>
              <c:pt idx="890">
                <c:v>40144</c:v>
              </c:pt>
              <c:pt idx="891">
                <c:v>40147</c:v>
              </c:pt>
              <c:pt idx="892">
                <c:v>40148</c:v>
              </c:pt>
              <c:pt idx="893">
                <c:v>40149</c:v>
              </c:pt>
              <c:pt idx="894">
                <c:v>40150</c:v>
              </c:pt>
              <c:pt idx="895">
                <c:v>40151</c:v>
              </c:pt>
              <c:pt idx="896">
                <c:v>40154</c:v>
              </c:pt>
              <c:pt idx="897">
                <c:v>40155</c:v>
              </c:pt>
              <c:pt idx="898">
                <c:v>40156</c:v>
              </c:pt>
              <c:pt idx="899">
                <c:v>40157</c:v>
              </c:pt>
              <c:pt idx="900">
                <c:v>40158</c:v>
              </c:pt>
              <c:pt idx="901">
                <c:v>40161</c:v>
              </c:pt>
              <c:pt idx="902">
                <c:v>40162</c:v>
              </c:pt>
              <c:pt idx="903">
                <c:v>40163</c:v>
              </c:pt>
              <c:pt idx="904">
                <c:v>40164</c:v>
              </c:pt>
              <c:pt idx="905">
                <c:v>40165</c:v>
              </c:pt>
              <c:pt idx="906">
                <c:v>40168</c:v>
              </c:pt>
              <c:pt idx="907">
                <c:v>40169</c:v>
              </c:pt>
              <c:pt idx="908">
                <c:v>40170</c:v>
              </c:pt>
              <c:pt idx="909">
                <c:v>40171</c:v>
              </c:pt>
              <c:pt idx="910">
                <c:v>40176</c:v>
              </c:pt>
              <c:pt idx="911">
                <c:v>40177</c:v>
              </c:pt>
              <c:pt idx="912">
                <c:v>40178</c:v>
              </c:pt>
              <c:pt idx="913">
                <c:v>40182</c:v>
              </c:pt>
              <c:pt idx="914">
                <c:v>40183</c:v>
              </c:pt>
              <c:pt idx="915">
                <c:v>40184</c:v>
              </c:pt>
              <c:pt idx="916">
                <c:v>40185</c:v>
              </c:pt>
              <c:pt idx="917">
                <c:v>40186</c:v>
              </c:pt>
              <c:pt idx="918">
                <c:v>40189</c:v>
              </c:pt>
              <c:pt idx="919">
                <c:v>40190</c:v>
              </c:pt>
              <c:pt idx="920">
                <c:v>40191</c:v>
              </c:pt>
              <c:pt idx="921">
                <c:v>40192</c:v>
              </c:pt>
              <c:pt idx="922">
                <c:v>40193</c:v>
              </c:pt>
              <c:pt idx="923">
                <c:v>40196</c:v>
              </c:pt>
              <c:pt idx="924">
                <c:v>40197</c:v>
              </c:pt>
              <c:pt idx="925">
                <c:v>40198</c:v>
              </c:pt>
              <c:pt idx="926">
                <c:v>40199</c:v>
              </c:pt>
              <c:pt idx="927">
                <c:v>40200</c:v>
              </c:pt>
              <c:pt idx="928">
                <c:v>40203</c:v>
              </c:pt>
              <c:pt idx="929">
                <c:v>40205</c:v>
              </c:pt>
              <c:pt idx="930">
                <c:v>40206</c:v>
              </c:pt>
              <c:pt idx="931">
                <c:v>40207</c:v>
              </c:pt>
              <c:pt idx="932">
                <c:v>40210</c:v>
              </c:pt>
              <c:pt idx="933">
                <c:v>40211</c:v>
              </c:pt>
              <c:pt idx="934">
                <c:v>40212</c:v>
              </c:pt>
              <c:pt idx="935">
                <c:v>40213</c:v>
              </c:pt>
              <c:pt idx="936">
                <c:v>40214</c:v>
              </c:pt>
              <c:pt idx="937">
                <c:v>40217</c:v>
              </c:pt>
              <c:pt idx="938">
                <c:v>40218</c:v>
              </c:pt>
              <c:pt idx="939">
                <c:v>40219</c:v>
              </c:pt>
              <c:pt idx="940">
                <c:v>40220</c:v>
              </c:pt>
              <c:pt idx="941">
                <c:v>40221</c:v>
              </c:pt>
              <c:pt idx="942">
                <c:v>40224</c:v>
              </c:pt>
              <c:pt idx="943">
                <c:v>40225</c:v>
              </c:pt>
              <c:pt idx="944">
                <c:v>40226</c:v>
              </c:pt>
              <c:pt idx="945">
                <c:v>40227</c:v>
              </c:pt>
              <c:pt idx="946">
                <c:v>40228</c:v>
              </c:pt>
              <c:pt idx="947">
                <c:v>40231</c:v>
              </c:pt>
              <c:pt idx="948">
                <c:v>40232</c:v>
              </c:pt>
              <c:pt idx="949">
                <c:v>40233</c:v>
              </c:pt>
              <c:pt idx="950">
                <c:v>40234</c:v>
              </c:pt>
              <c:pt idx="951">
                <c:v>40235</c:v>
              </c:pt>
              <c:pt idx="952">
                <c:v>40238</c:v>
              </c:pt>
              <c:pt idx="953">
                <c:v>40239</c:v>
              </c:pt>
              <c:pt idx="954">
                <c:v>40240</c:v>
              </c:pt>
              <c:pt idx="955">
                <c:v>40241</c:v>
              </c:pt>
              <c:pt idx="956">
                <c:v>40242</c:v>
              </c:pt>
              <c:pt idx="957">
                <c:v>40245</c:v>
              </c:pt>
              <c:pt idx="958">
                <c:v>40246</c:v>
              </c:pt>
              <c:pt idx="959">
                <c:v>40247</c:v>
              </c:pt>
              <c:pt idx="960">
                <c:v>40248</c:v>
              </c:pt>
              <c:pt idx="961">
                <c:v>40249</c:v>
              </c:pt>
              <c:pt idx="962">
                <c:v>40252</c:v>
              </c:pt>
              <c:pt idx="963">
                <c:v>40253</c:v>
              </c:pt>
              <c:pt idx="964">
                <c:v>40254</c:v>
              </c:pt>
              <c:pt idx="965">
                <c:v>40255</c:v>
              </c:pt>
              <c:pt idx="966">
                <c:v>40256</c:v>
              </c:pt>
              <c:pt idx="967">
                <c:v>40259</c:v>
              </c:pt>
              <c:pt idx="968">
                <c:v>40260</c:v>
              </c:pt>
              <c:pt idx="969">
                <c:v>40261</c:v>
              </c:pt>
              <c:pt idx="970">
                <c:v>40262</c:v>
              </c:pt>
              <c:pt idx="971">
                <c:v>40263</c:v>
              </c:pt>
              <c:pt idx="972">
                <c:v>40266</c:v>
              </c:pt>
              <c:pt idx="973">
                <c:v>40267</c:v>
              </c:pt>
              <c:pt idx="974">
                <c:v>40268</c:v>
              </c:pt>
              <c:pt idx="975">
                <c:v>40269</c:v>
              </c:pt>
              <c:pt idx="976">
                <c:v>40274</c:v>
              </c:pt>
              <c:pt idx="977">
                <c:v>40275</c:v>
              </c:pt>
              <c:pt idx="978">
                <c:v>40276</c:v>
              </c:pt>
              <c:pt idx="979">
                <c:v>40277</c:v>
              </c:pt>
              <c:pt idx="980">
                <c:v>40280</c:v>
              </c:pt>
              <c:pt idx="981">
                <c:v>40281</c:v>
              </c:pt>
              <c:pt idx="982">
                <c:v>40282</c:v>
              </c:pt>
              <c:pt idx="983">
                <c:v>40283</c:v>
              </c:pt>
              <c:pt idx="984">
                <c:v>40284</c:v>
              </c:pt>
              <c:pt idx="985">
                <c:v>40287</c:v>
              </c:pt>
              <c:pt idx="986">
                <c:v>40288</c:v>
              </c:pt>
              <c:pt idx="987">
                <c:v>40289</c:v>
              </c:pt>
              <c:pt idx="988">
                <c:v>40290</c:v>
              </c:pt>
              <c:pt idx="989">
                <c:v>40291</c:v>
              </c:pt>
              <c:pt idx="990">
                <c:v>40295</c:v>
              </c:pt>
              <c:pt idx="991">
                <c:v>40296</c:v>
              </c:pt>
              <c:pt idx="992">
                <c:v>40297</c:v>
              </c:pt>
              <c:pt idx="993">
                <c:v>40298</c:v>
              </c:pt>
              <c:pt idx="994">
                <c:v>40301</c:v>
              </c:pt>
              <c:pt idx="995">
                <c:v>40302</c:v>
              </c:pt>
              <c:pt idx="996">
                <c:v>40303</c:v>
              </c:pt>
              <c:pt idx="997">
                <c:v>40304</c:v>
              </c:pt>
              <c:pt idx="998">
                <c:v>40305</c:v>
              </c:pt>
              <c:pt idx="999">
                <c:v>40308</c:v>
              </c:pt>
              <c:pt idx="1000">
                <c:v>40309</c:v>
              </c:pt>
              <c:pt idx="1001">
                <c:v>40310</c:v>
              </c:pt>
              <c:pt idx="1002">
                <c:v>40311</c:v>
              </c:pt>
              <c:pt idx="1003">
                <c:v>40312</c:v>
              </c:pt>
              <c:pt idx="1004">
                <c:v>40315</c:v>
              </c:pt>
              <c:pt idx="1005">
                <c:v>40316</c:v>
              </c:pt>
              <c:pt idx="1006">
                <c:v>40317</c:v>
              </c:pt>
              <c:pt idx="1007">
                <c:v>40318</c:v>
              </c:pt>
              <c:pt idx="1008">
                <c:v>40319</c:v>
              </c:pt>
              <c:pt idx="1009">
                <c:v>40322</c:v>
              </c:pt>
              <c:pt idx="1010">
                <c:v>40323</c:v>
              </c:pt>
              <c:pt idx="1011">
                <c:v>40324</c:v>
              </c:pt>
              <c:pt idx="1012">
                <c:v>40325</c:v>
              </c:pt>
              <c:pt idx="1013">
                <c:v>40326</c:v>
              </c:pt>
              <c:pt idx="1014">
                <c:v>40329</c:v>
              </c:pt>
              <c:pt idx="1015">
                <c:v>40330</c:v>
              </c:pt>
              <c:pt idx="1016">
                <c:v>40331</c:v>
              </c:pt>
              <c:pt idx="1017">
                <c:v>40332</c:v>
              </c:pt>
              <c:pt idx="1018">
                <c:v>40333</c:v>
              </c:pt>
              <c:pt idx="1019">
                <c:v>40336</c:v>
              </c:pt>
              <c:pt idx="1020">
                <c:v>40337</c:v>
              </c:pt>
              <c:pt idx="1021">
                <c:v>40338</c:v>
              </c:pt>
              <c:pt idx="1022">
                <c:v>40339</c:v>
              </c:pt>
              <c:pt idx="1023">
                <c:v>40340</c:v>
              </c:pt>
              <c:pt idx="1024">
                <c:v>40344</c:v>
              </c:pt>
              <c:pt idx="1025">
                <c:v>40345</c:v>
              </c:pt>
              <c:pt idx="1026">
                <c:v>40346</c:v>
              </c:pt>
              <c:pt idx="1027">
                <c:v>40347</c:v>
              </c:pt>
              <c:pt idx="1028">
                <c:v>40350</c:v>
              </c:pt>
              <c:pt idx="1029">
                <c:v>40351</c:v>
              </c:pt>
              <c:pt idx="1030">
                <c:v>40352</c:v>
              </c:pt>
              <c:pt idx="1031">
                <c:v>40353</c:v>
              </c:pt>
              <c:pt idx="1032">
                <c:v>40354</c:v>
              </c:pt>
              <c:pt idx="1033">
                <c:v>40357</c:v>
              </c:pt>
              <c:pt idx="1034">
                <c:v>40358</c:v>
              </c:pt>
              <c:pt idx="1035">
                <c:v>40359</c:v>
              </c:pt>
              <c:pt idx="1036">
                <c:v>40360</c:v>
              </c:pt>
              <c:pt idx="1037">
                <c:v>40361</c:v>
              </c:pt>
              <c:pt idx="1038">
                <c:v>40364</c:v>
              </c:pt>
              <c:pt idx="1039">
                <c:v>40365</c:v>
              </c:pt>
              <c:pt idx="1040">
                <c:v>40366</c:v>
              </c:pt>
              <c:pt idx="1041">
                <c:v>40367</c:v>
              </c:pt>
              <c:pt idx="1042">
                <c:v>40368</c:v>
              </c:pt>
              <c:pt idx="1043">
                <c:v>40371</c:v>
              </c:pt>
              <c:pt idx="1044">
                <c:v>40372</c:v>
              </c:pt>
              <c:pt idx="1045">
                <c:v>40373</c:v>
              </c:pt>
              <c:pt idx="1046">
                <c:v>40374</c:v>
              </c:pt>
              <c:pt idx="1047">
                <c:v>40375</c:v>
              </c:pt>
              <c:pt idx="1048">
                <c:v>40378</c:v>
              </c:pt>
              <c:pt idx="1049">
                <c:v>40379</c:v>
              </c:pt>
              <c:pt idx="1050">
                <c:v>40380</c:v>
              </c:pt>
              <c:pt idx="1051">
                <c:v>40381</c:v>
              </c:pt>
              <c:pt idx="1052">
                <c:v>40382</c:v>
              </c:pt>
              <c:pt idx="1053">
                <c:v>40385</c:v>
              </c:pt>
              <c:pt idx="1054">
                <c:v>40386</c:v>
              </c:pt>
              <c:pt idx="1055">
                <c:v>40387</c:v>
              </c:pt>
              <c:pt idx="1056">
                <c:v>40388</c:v>
              </c:pt>
              <c:pt idx="1057">
                <c:v>40389</c:v>
              </c:pt>
              <c:pt idx="1058">
                <c:v>40392</c:v>
              </c:pt>
              <c:pt idx="1059">
                <c:v>40393</c:v>
              </c:pt>
              <c:pt idx="1060">
                <c:v>40394</c:v>
              </c:pt>
              <c:pt idx="1061">
                <c:v>40395</c:v>
              </c:pt>
              <c:pt idx="1062">
                <c:v>40396</c:v>
              </c:pt>
              <c:pt idx="1063">
                <c:v>40399</c:v>
              </c:pt>
              <c:pt idx="1064">
                <c:v>40400</c:v>
              </c:pt>
              <c:pt idx="1065">
                <c:v>40401</c:v>
              </c:pt>
              <c:pt idx="1066">
                <c:v>40402</c:v>
              </c:pt>
              <c:pt idx="1067">
                <c:v>40403</c:v>
              </c:pt>
              <c:pt idx="1068">
                <c:v>40406</c:v>
              </c:pt>
              <c:pt idx="1069">
                <c:v>40407</c:v>
              </c:pt>
              <c:pt idx="1070">
                <c:v>40408</c:v>
              </c:pt>
              <c:pt idx="1071">
                <c:v>40409</c:v>
              </c:pt>
              <c:pt idx="1072">
                <c:v>40410</c:v>
              </c:pt>
              <c:pt idx="1073">
                <c:v>40413</c:v>
              </c:pt>
              <c:pt idx="1074">
                <c:v>40414</c:v>
              </c:pt>
              <c:pt idx="1075">
                <c:v>40415</c:v>
              </c:pt>
              <c:pt idx="1076">
                <c:v>40416</c:v>
              </c:pt>
              <c:pt idx="1077">
                <c:v>40417</c:v>
              </c:pt>
              <c:pt idx="1078">
                <c:v>40420</c:v>
              </c:pt>
              <c:pt idx="1079">
                <c:v>40421</c:v>
              </c:pt>
              <c:pt idx="1080">
                <c:v>40422</c:v>
              </c:pt>
              <c:pt idx="1081">
                <c:v>40423</c:v>
              </c:pt>
              <c:pt idx="1082">
                <c:v>40424</c:v>
              </c:pt>
              <c:pt idx="1083">
                <c:v>40427</c:v>
              </c:pt>
              <c:pt idx="1084">
                <c:v>40428</c:v>
              </c:pt>
              <c:pt idx="1085">
                <c:v>40429</c:v>
              </c:pt>
              <c:pt idx="1086">
                <c:v>40430</c:v>
              </c:pt>
              <c:pt idx="1087">
                <c:v>40431</c:v>
              </c:pt>
              <c:pt idx="1088">
                <c:v>40434</c:v>
              </c:pt>
              <c:pt idx="1089">
                <c:v>40435</c:v>
              </c:pt>
              <c:pt idx="1090">
                <c:v>40436</c:v>
              </c:pt>
              <c:pt idx="1091">
                <c:v>40437</c:v>
              </c:pt>
              <c:pt idx="1092">
                <c:v>40438</c:v>
              </c:pt>
              <c:pt idx="1093">
                <c:v>40441</c:v>
              </c:pt>
              <c:pt idx="1094">
                <c:v>40442</c:v>
              </c:pt>
              <c:pt idx="1095">
                <c:v>40443</c:v>
              </c:pt>
              <c:pt idx="1096">
                <c:v>40444</c:v>
              </c:pt>
              <c:pt idx="1097">
                <c:v>40445</c:v>
              </c:pt>
              <c:pt idx="1098">
                <c:v>40448</c:v>
              </c:pt>
              <c:pt idx="1099">
                <c:v>40449</c:v>
              </c:pt>
              <c:pt idx="1100">
                <c:v>40450</c:v>
              </c:pt>
              <c:pt idx="1101">
                <c:v>40451</c:v>
              </c:pt>
              <c:pt idx="1102">
                <c:v>40452</c:v>
              </c:pt>
              <c:pt idx="1103">
                <c:v>40455</c:v>
              </c:pt>
              <c:pt idx="1104">
                <c:v>40456</c:v>
              </c:pt>
              <c:pt idx="1105">
                <c:v>40457</c:v>
              </c:pt>
              <c:pt idx="1106">
                <c:v>40458</c:v>
              </c:pt>
              <c:pt idx="1107">
                <c:v>40459</c:v>
              </c:pt>
              <c:pt idx="1108">
                <c:v>40462</c:v>
              </c:pt>
              <c:pt idx="1109">
                <c:v>40463</c:v>
              </c:pt>
              <c:pt idx="1110">
                <c:v>40464</c:v>
              </c:pt>
              <c:pt idx="1111">
                <c:v>40465</c:v>
              </c:pt>
              <c:pt idx="1112">
                <c:v>40466</c:v>
              </c:pt>
              <c:pt idx="1113">
                <c:v>40469</c:v>
              </c:pt>
              <c:pt idx="1114">
                <c:v>40470</c:v>
              </c:pt>
              <c:pt idx="1115">
                <c:v>40471</c:v>
              </c:pt>
              <c:pt idx="1116">
                <c:v>40472</c:v>
              </c:pt>
              <c:pt idx="1117">
                <c:v>40473</c:v>
              </c:pt>
              <c:pt idx="1118">
                <c:v>40476</c:v>
              </c:pt>
              <c:pt idx="1119">
                <c:v>40477</c:v>
              </c:pt>
              <c:pt idx="1120">
                <c:v>40478</c:v>
              </c:pt>
              <c:pt idx="1121">
                <c:v>40479</c:v>
              </c:pt>
              <c:pt idx="1122">
                <c:v>40480</c:v>
              </c:pt>
              <c:pt idx="1123">
                <c:v>40483</c:v>
              </c:pt>
              <c:pt idx="1124">
                <c:v>40484</c:v>
              </c:pt>
              <c:pt idx="1125">
                <c:v>40485</c:v>
              </c:pt>
              <c:pt idx="1126">
                <c:v>40486</c:v>
              </c:pt>
              <c:pt idx="1127">
                <c:v>40487</c:v>
              </c:pt>
              <c:pt idx="1128">
                <c:v>40490</c:v>
              </c:pt>
              <c:pt idx="1129">
                <c:v>40491</c:v>
              </c:pt>
              <c:pt idx="1130">
                <c:v>40492</c:v>
              </c:pt>
              <c:pt idx="1131">
                <c:v>40493</c:v>
              </c:pt>
              <c:pt idx="1132">
                <c:v>40494</c:v>
              </c:pt>
              <c:pt idx="1133">
                <c:v>40497</c:v>
              </c:pt>
              <c:pt idx="1134">
                <c:v>40498</c:v>
              </c:pt>
              <c:pt idx="1135">
                <c:v>40499</c:v>
              </c:pt>
              <c:pt idx="1136">
                <c:v>40500</c:v>
              </c:pt>
              <c:pt idx="1137">
                <c:v>40501</c:v>
              </c:pt>
              <c:pt idx="1138">
                <c:v>40504</c:v>
              </c:pt>
              <c:pt idx="1139">
                <c:v>40505</c:v>
              </c:pt>
              <c:pt idx="1140">
                <c:v>40506</c:v>
              </c:pt>
              <c:pt idx="1141">
                <c:v>40507</c:v>
              </c:pt>
              <c:pt idx="1142">
                <c:v>40508</c:v>
              </c:pt>
              <c:pt idx="1143">
                <c:v>40511</c:v>
              </c:pt>
              <c:pt idx="1144">
                <c:v>40512</c:v>
              </c:pt>
              <c:pt idx="1145">
                <c:v>40513</c:v>
              </c:pt>
              <c:pt idx="1146">
                <c:v>40514</c:v>
              </c:pt>
              <c:pt idx="1147">
                <c:v>40515</c:v>
              </c:pt>
              <c:pt idx="1148">
                <c:v>40518</c:v>
              </c:pt>
              <c:pt idx="1149">
                <c:v>40519</c:v>
              </c:pt>
              <c:pt idx="1150">
                <c:v>40520</c:v>
              </c:pt>
              <c:pt idx="1151">
                <c:v>40521</c:v>
              </c:pt>
              <c:pt idx="1152">
                <c:v>40522</c:v>
              </c:pt>
              <c:pt idx="1153">
                <c:v>40525</c:v>
              </c:pt>
              <c:pt idx="1154">
                <c:v>40526</c:v>
              </c:pt>
              <c:pt idx="1155">
                <c:v>40527</c:v>
              </c:pt>
              <c:pt idx="1156">
                <c:v>40528</c:v>
              </c:pt>
              <c:pt idx="1157">
                <c:v>40529</c:v>
              </c:pt>
              <c:pt idx="1158">
                <c:v>40532</c:v>
              </c:pt>
              <c:pt idx="1159">
                <c:v>40533</c:v>
              </c:pt>
              <c:pt idx="1160">
                <c:v>40534</c:v>
              </c:pt>
              <c:pt idx="1161">
                <c:v>40535</c:v>
              </c:pt>
              <c:pt idx="1162">
                <c:v>40536</c:v>
              </c:pt>
              <c:pt idx="1163">
                <c:v>40541</c:v>
              </c:pt>
              <c:pt idx="1164">
                <c:v>40542</c:v>
              </c:pt>
              <c:pt idx="1165">
                <c:v>40543</c:v>
              </c:pt>
              <c:pt idx="1166">
                <c:v>40547</c:v>
              </c:pt>
              <c:pt idx="1167">
                <c:v>40548</c:v>
              </c:pt>
              <c:pt idx="1168">
                <c:v>40549</c:v>
              </c:pt>
              <c:pt idx="1169">
                <c:v>40550</c:v>
              </c:pt>
              <c:pt idx="1170">
                <c:v>40553</c:v>
              </c:pt>
              <c:pt idx="1171">
                <c:v>40554</c:v>
              </c:pt>
              <c:pt idx="1172">
                <c:v>40555</c:v>
              </c:pt>
              <c:pt idx="1173">
                <c:v>40556</c:v>
              </c:pt>
              <c:pt idx="1174">
                <c:v>40557</c:v>
              </c:pt>
              <c:pt idx="1175">
                <c:v>40560</c:v>
              </c:pt>
              <c:pt idx="1176">
                <c:v>40561</c:v>
              </c:pt>
              <c:pt idx="1177">
                <c:v>40562</c:v>
              </c:pt>
              <c:pt idx="1178">
                <c:v>40563</c:v>
              </c:pt>
              <c:pt idx="1179">
                <c:v>40564</c:v>
              </c:pt>
              <c:pt idx="1180">
                <c:v>40567</c:v>
              </c:pt>
              <c:pt idx="1181">
                <c:v>40568</c:v>
              </c:pt>
              <c:pt idx="1182">
                <c:v>40570</c:v>
              </c:pt>
              <c:pt idx="1183">
                <c:v>40571</c:v>
              </c:pt>
              <c:pt idx="1184">
                <c:v>40574</c:v>
              </c:pt>
              <c:pt idx="1185">
                <c:v>40575</c:v>
              </c:pt>
              <c:pt idx="1186">
                <c:v>40576</c:v>
              </c:pt>
              <c:pt idx="1187">
                <c:v>40577</c:v>
              </c:pt>
              <c:pt idx="1188">
                <c:v>40578</c:v>
              </c:pt>
              <c:pt idx="1189">
                <c:v>40581</c:v>
              </c:pt>
              <c:pt idx="1190">
                <c:v>40582</c:v>
              </c:pt>
              <c:pt idx="1191">
                <c:v>40583</c:v>
              </c:pt>
              <c:pt idx="1192">
                <c:v>40584</c:v>
              </c:pt>
              <c:pt idx="1193">
                <c:v>40585</c:v>
              </c:pt>
              <c:pt idx="1194">
                <c:v>40588</c:v>
              </c:pt>
              <c:pt idx="1195">
                <c:v>40589</c:v>
              </c:pt>
              <c:pt idx="1196">
                <c:v>40590</c:v>
              </c:pt>
              <c:pt idx="1197">
                <c:v>40591</c:v>
              </c:pt>
              <c:pt idx="1198">
                <c:v>40592</c:v>
              </c:pt>
              <c:pt idx="1199">
                <c:v>40595</c:v>
              </c:pt>
              <c:pt idx="1200">
                <c:v>40596</c:v>
              </c:pt>
              <c:pt idx="1201">
                <c:v>40597</c:v>
              </c:pt>
              <c:pt idx="1202">
                <c:v>40598</c:v>
              </c:pt>
              <c:pt idx="1203">
                <c:v>40599</c:v>
              </c:pt>
              <c:pt idx="1204">
                <c:v>40602</c:v>
              </c:pt>
              <c:pt idx="1205">
                <c:v>40603</c:v>
              </c:pt>
              <c:pt idx="1206">
                <c:v>40604</c:v>
              </c:pt>
              <c:pt idx="1207">
                <c:v>40605</c:v>
              </c:pt>
              <c:pt idx="1208">
                <c:v>40606</c:v>
              </c:pt>
              <c:pt idx="1209">
                <c:v>40609</c:v>
              </c:pt>
              <c:pt idx="1210">
                <c:v>40610</c:v>
              </c:pt>
              <c:pt idx="1211">
                <c:v>40611</c:v>
              </c:pt>
              <c:pt idx="1212">
                <c:v>40612</c:v>
              </c:pt>
              <c:pt idx="1213">
                <c:v>40613</c:v>
              </c:pt>
              <c:pt idx="1214">
                <c:v>40616</c:v>
              </c:pt>
              <c:pt idx="1215">
                <c:v>40617</c:v>
              </c:pt>
              <c:pt idx="1216">
                <c:v>40618</c:v>
              </c:pt>
              <c:pt idx="1217">
                <c:v>40619</c:v>
              </c:pt>
              <c:pt idx="1218">
                <c:v>40620</c:v>
              </c:pt>
              <c:pt idx="1219">
                <c:v>40623</c:v>
              </c:pt>
              <c:pt idx="1220">
                <c:v>40624</c:v>
              </c:pt>
              <c:pt idx="1221">
                <c:v>40625</c:v>
              </c:pt>
              <c:pt idx="1222">
                <c:v>40626</c:v>
              </c:pt>
              <c:pt idx="1223">
                <c:v>40627</c:v>
              </c:pt>
              <c:pt idx="1224">
                <c:v>40630</c:v>
              </c:pt>
              <c:pt idx="1225">
                <c:v>40631</c:v>
              </c:pt>
              <c:pt idx="1226">
                <c:v>40632</c:v>
              </c:pt>
              <c:pt idx="1227">
                <c:v>40633</c:v>
              </c:pt>
              <c:pt idx="1228">
                <c:v>40634</c:v>
              </c:pt>
              <c:pt idx="1229">
                <c:v>40637</c:v>
              </c:pt>
              <c:pt idx="1230">
                <c:v>40638</c:v>
              </c:pt>
              <c:pt idx="1231">
                <c:v>40639</c:v>
              </c:pt>
              <c:pt idx="1232">
                <c:v>40640</c:v>
              </c:pt>
              <c:pt idx="1233">
                <c:v>40641</c:v>
              </c:pt>
              <c:pt idx="1234">
                <c:v>40644</c:v>
              </c:pt>
              <c:pt idx="1235">
                <c:v>40645</c:v>
              </c:pt>
              <c:pt idx="1236">
                <c:v>40646</c:v>
              </c:pt>
              <c:pt idx="1237">
                <c:v>40647</c:v>
              </c:pt>
              <c:pt idx="1238">
                <c:v>40648</c:v>
              </c:pt>
              <c:pt idx="1239">
                <c:v>40651</c:v>
              </c:pt>
              <c:pt idx="1240">
                <c:v>40652</c:v>
              </c:pt>
              <c:pt idx="1241">
                <c:v>40653</c:v>
              </c:pt>
              <c:pt idx="1242">
                <c:v>40654</c:v>
              </c:pt>
              <c:pt idx="1243">
                <c:v>40660</c:v>
              </c:pt>
              <c:pt idx="1244">
                <c:v>40661</c:v>
              </c:pt>
              <c:pt idx="1245">
                <c:v>40662</c:v>
              </c:pt>
              <c:pt idx="1246">
                <c:v>40665</c:v>
              </c:pt>
              <c:pt idx="1247">
                <c:v>40666</c:v>
              </c:pt>
              <c:pt idx="1248">
                <c:v>40667</c:v>
              </c:pt>
              <c:pt idx="1249">
                <c:v>40668</c:v>
              </c:pt>
              <c:pt idx="1250">
                <c:v>40669</c:v>
              </c:pt>
              <c:pt idx="1251">
                <c:v>40672</c:v>
              </c:pt>
              <c:pt idx="1252">
                <c:v>40673</c:v>
              </c:pt>
              <c:pt idx="1253">
                <c:v>40674</c:v>
              </c:pt>
              <c:pt idx="1254">
                <c:v>40675</c:v>
              </c:pt>
              <c:pt idx="1255">
                <c:v>40676</c:v>
              </c:pt>
              <c:pt idx="1256">
                <c:v>40679</c:v>
              </c:pt>
              <c:pt idx="1257">
                <c:v>40680</c:v>
              </c:pt>
              <c:pt idx="1258">
                <c:v>40681</c:v>
              </c:pt>
              <c:pt idx="1259">
                <c:v>40682</c:v>
              </c:pt>
              <c:pt idx="1260">
                <c:v>40683</c:v>
              </c:pt>
              <c:pt idx="1261">
                <c:v>40686</c:v>
              </c:pt>
              <c:pt idx="1262">
                <c:v>40687</c:v>
              </c:pt>
              <c:pt idx="1263">
                <c:v>40688</c:v>
              </c:pt>
              <c:pt idx="1264">
                <c:v>40689</c:v>
              </c:pt>
              <c:pt idx="1265">
                <c:v>40690</c:v>
              </c:pt>
              <c:pt idx="1266">
                <c:v>40693</c:v>
              </c:pt>
              <c:pt idx="1267">
                <c:v>40694</c:v>
              </c:pt>
              <c:pt idx="1268">
                <c:v>40695</c:v>
              </c:pt>
              <c:pt idx="1269">
                <c:v>40696</c:v>
              </c:pt>
              <c:pt idx="1270">
                <c:v>40697</c:v>
              </c:pt>
              <c:pt idx="1271">
                <c:v>40700</c:v>
              </c:pt>
              <c:pt idx="1272">
                <c:v>40701</c:v>
              </c:pt>
              <c:pt idx="1273">
                <c:v>40702</c:v>
              </c:pt>
              <c:pt idx="1274">
                <c:v>40703</c:v>
              </c:pt>
              <c:pt idx="1275">
                <c:v>40704</c:v>
              </c:pt>
              <c:pt idx="1276">
                <c:v>40708</c:v>
              </c:pt>
              <c:pt idx="1277">
                <c:v>40709</c:v>
              </c:pt>
              <c:pt idx="1278">
                <c:v>40710</c:v>
              </c:pt>
              <c:pt idx="1279">
                <c:v>40711</c:v>
              </c:pt>
              <c:pt idx="1280">
                <c:v>40714</c:v>
              </c:pt>
              <c:pt idx="1281">
                <c:v>40715</c:v>
              </c:pt>
              <c:pt idx="1282">
                <c:v>40716</c:v>
              </c:pt>
              <c:pt idx="1283">
                <c:v>40717</c:v>
              </c:pt>
              <c:pt idx="1284">
                <c:v>40718</c:v>
              </c:pt>
              <c:pt idx="1285">
                <c:v>40721</c:v>
              </c:pt>
              <c:pt idx="1286">
                <c:v>40722</c:v>
              </c:pt>
              <c:pt idx="1287">
                <c:v>40723</c:v>
              </c:pt>
              <c:pt idx="1288">
                <c:v>40724</c:v>
              </c:pt>
              <c:pt idx="1289">
                <c:v>40725</c:v>
              </c:pt>
              <c:pt idx="1290">
                <c:v>40728</c:v>
              </c:pt>
              <c:pt idx="1291">
                <c:v>40729</c:v>
              </c:pt>
              <c:pt idx="1292">
                <c:v>40730</c:v>
              </c:pt>
              <c:pt idx="1293">
                <c:v>40731</c:v>
              </c:pt>
              <c:pt idx="1294">
                <c:v>40732</c:v>
              </c:pt>
              <c:pt idx="1295">
                <c:v>40735</c:v>
              </c:pt>
              <c:pt idx="1296">
                <c:v>40736</c:v>
              </c:pt>
              <c:pt idx="1297">
                <c:v>40737</c:v>
              </c:pt>
              <c:pt idx="1298">
                <c:v>40738</c:v>
              </c:pt>
              <c:pt idx="1299">
                <c:v>40739</c:v>
              </c:pt>
              <c:pt idx="1300">
                <c:v>40742</c:v>
              </c:pt>
              <c:pt idx="1301">
                <c:v>40743</c:v>
              </c:pt>
              <c:pt idx="1302">
                <c:v>40744</c:v>
              </c:pt>
              <c:pt idx="1303">
                <c:v>40745</c:v>
              </c:pt>
              <c:pt idx="1304">
                <c:v>40746</c:v>
              </c:pt>
              <c:pt idx="1305">
                <c:v>40749</c:v>
              </c:pt>
              <c:pt idx="1306">
                <c:v>40750</c:v>
              </c:pt>
              <c:pt idx="1307">
                <c:v>40751</c:v>
              </c:pt>
              <c:pt idx="1308">
                <c:v>40752</c:v>
              </c:pt>
              <c:pt idx="1309">
                <c:v>40753</c:v>
              </c:pt>
              <c:pt idx="1310">
                <c:v>40757</c:v>
              </c:pt>
              <c:pt idx="1311">
                <c:v>40758</c:v>
              </c:pt>
              <c:pt idx="1312">
                <c:v>40759</c:v>
              </c:pt>
              <c:pt idx="1313">
                <c:v>40760</c:v>
              </c:pt>
              <c:pt idx="1314">
                <c:v>40763</c:v>
              </c:pt>
              <c:pt idx="1315">
                <c:v>40764</c:v>
              </c:pt>
              <c:pt idx="1316">
                <c:v>40765</c:v>
              </c:pt>
              <c:pt idx="1317">
                <c:v>40766</c:v>
              </c:pt>
              <c:pt idx="1318">
                <c:v>40767</c:v>
              </c:pt>
              <c:pt idx="1319">
                <c:v>40770</c:v>
              </c:pt>
              <c:pt idx="1320">
                <c:v>40771</c:v>
              </c:pt>
              <c:pt idx="1321">
                <c:v>40772</c:v>
              </c:pt>
              <c:pt idx="1322">
                <c:v>40773</c:v>
              </c:pt>
              <c:pt idx="1323">
                <c:v>40774</c:v>
              </c:pt>
              <c:pt idx="1324">
                <c:v>40777</c:v>
              </c:pt>
              <c:pt idx="1325">
                <c:v>40778</c:v>
              </c:pt>
              <c:pt idx="1326">
                <c:v>40779</c:v>
              </c:pt>
              <c:pt idx="1327">
                <c:v>40780</c:v>
              </c:pt>
              <c:pt idx="1328">
                <c:v>40781</c:v>
              </c:pt>
              <c:pt idx="1329">
                <c:v>40784</c:v>
              </c:pt>
              <c:pt idx="1330">
                <c:v>40785</c:v>
              </c:pt>
              <c:pt idx="1331">
                <c:v>40786</c:v>
              </c:pt>
              <c:pt idx="1332">
                <c:v>40787</c:v>
              </c:pt>
              <c:pt idx="1333">
                <c:v>40788</c:v>
              </c:pt>
              <c:pt idx="1334">
                <c:v>40791</c:v>
              </c:pt>
              <c:pt idx="1335">
                <c:v>40792</c:v>
              </c:pt>
              <c:pt idx="1336">
                <c:v>40793</c:v>
              </c:pt>
              <c:pt idx="1337">
                <c:v>40794</c:v>
              </c:pt>
              <c:pt idx="1338">
                <c:v>40795</c:v>
              </c:pt>
              <c:pt idx="1339">
                <c:v>40798</c:v>
              </c:pt>
              <c:pt idx="1340">
                <c:v>40799</c:v>
              </c:pt>
              <c:pt idx="1341">
                <c:v>40800</c:v>
              </c:pt>
              <c:pt idx="1342">
                <c:v>40801</c:v>
              </c:pt>
              <c:pt idx="1343">
                <c:v>40802</c:v>
              </c:pt>
              <c:pt idx="1344">
                <c:v>40805</c:v>
              </c:pt>
              <c:pt idx="1345">
                <c:v>40806</c:v>
              </c:pt>
              <c:pt idx="1346">
                <c:v>40807</c:v>
              </c:pt>
              <c:pt idx="1347">
                <c:v>40808</c:v>
              </c:pt>
              <c:pt idx="1348">
                <c:v>40809</c:v>
              </c:pt>
              <c:pt idx="1349">
                <c:v>40812</c:v>
              </c:pt>
              <c:pt idx="1350">
                <c:v>40813</c:v>
              </c:pt>
              <c:pt idx="1351">
                <c:v>40814</c:v>
              </c:pt>
              <c:pt idx="1352">
                <c:v>40815</c:v>
              </c:pt>
              <c:pt idx="1353">
                <c:v>40816</c:v>
              </c:pt>
              <c:pt idx="1354">
                <c:v>40820</c:v>
              </c:pt>
              <c:pt idx="1355">
                <c:v>40821</c:v>
              </c:pt>
              <c:pt idx="1356">
                <c:v>40822</c:v>
              </c:pt>
              <c:pt idx="1357">
                <c:v>40823</c:v>
              </c:pt>
              <c:pt idx="1358">
                <c:v>40826</c:v>
              </c:pt>
              <c:pt idx="1359">
                <c:v>40827</c:v>
              </c:pt>
              <c:pt idx="1360">
                <c:v>40828</c:v>
              </c:pt>
              <c:pt idx="1361">
                <c:v>40829</c:v>
              </c:pt>
              <c:pt idx="1362">
                <c:v>40830</c:v>
              </c:pt>
              <c:pt idx="1363">
                <c:v>40833</c:v>
              </c:pt>
              <c:pt idx="1364">
                <c:v>40834</c:v>
              </c:pt>
              <c:pt idx="1365">
                <c:v>40835</c:v>
              </c:pt>
              <c:pt idx="1366">
                <c:v>40836</c:v>
              </c:pt>
              <c:pt idx="1367">
                <c:v>40837</c:v>
              </c:pt>
              <c:pt idx="1368">
                <c:v>40840</c:v>
              </c:pt>
              <c:pt idx="1369">
                <c:v>40841</c:v>
              </c:pt>
              <c:pt idx="1370">
                <c:v>40842</c:v>
              </c:pt>
              <c:pt idx="1371">
                <c:v>40843</c:v>
              </c:pt>
              <c:pt idx="1372">
                <c:v>40844</c:v>
              </c:pt>
              <c:pt idx="1373">
                <c:v>40847</c:v>
              </c:pt>
              <c:pt idx="1374">
                <c:v>40848</c:v>
              </c:pt>
              <c:pt idx="1375">
                <c:v>40849</c:v>
              </c:pt>
              <c:pt idx="1376">
                <c:v>40850</c:v>
              </c:pt>
              <c:pt idx="1377">
                <c:v>40851</c:v>
              </c:pt>
              <c:pt idx="1378">
                <c:v>40854</c:v>
              </c:pt>
              <c:pt idx="1379">
                <c:v>40855</c:v>
              </c:pt>
              <c:pt idx="1380">
                <c:v>40856</c:v>
              </c:pt>
              <c:pt idx="1381">
                <c:v>40857</c:v>
              </c:pt>
              <c:pt idx="1382">
                <c:v>40858</c:v>
              </c:pt>
              <c:pt idx="1383">
                <c:v>40861</c:v>
              </c:pt>
              <c:pt idx="1384">
                <c:v>40862</c:v>
              </c:pt>
              <c:pt idx="1385">
                <c:v>40863</c:v>
              </c:pt>
              <c:pt idx="1386">
                <c:v>40864</c:v>
              </c:pt>
              <c:pt idx="1387">
                <c:v>40865</c:v>
              </c:pt>
              <c:pt idx="1388">
                <c:v>40868</c:v>
              </c:pt>
              <c:pt idx="1389">
                <c:v>40869</c:v>
              </c:pt>
              <c:pt idx="1390">
                <c:v>40870</c:v>
              </c:pt>
              <c:pt idx="1391">
                <c:v>40871</c:v>
              </c:pt>
              <c:pt idx="1392">
                <c:v>40872</c:v>
              </c:pt>
              <c:pt idx="1393">
                <c:v>40875</c:v>
              </c:pt>
              <c:pt idx="1394">
                <c:v>40876</c:v>
              </c:pt>
              <c:pt idx="1395">
                <c:v>40877</c:v>
              </c:pt>
              <c:pt idx="1396">
                <c:v>40878</c:v>
              </c:pt>
              <c:pt idx="1397">
                <c:v>40879</c:v>
              </c:pt>
              <c:pt idx="1398">
                <c:v>40882</c:v>
              </c:pt>
              <c:pt idx="1399">
                <c:v>40883</c:v>
              </c:pt>
              <c:pt idx="1400">
                <c:v>40884</c:v>
              </c:pt>
              <c:pt idx="1401">
                <c:v>40885</c:v>
              </c:pt>
              <c:pt idx="1402">
                <c:v>40886</c:v>
              </c:pt>
              <c:pt idx="1403">
                <c:v>40889</c:v>
              </c:pt>
              <c:pt idx="1404">
                <c:v>40890</c:v>
              </c:pt>
              <c:pt idx="1405">
                <c:v>40891</c:v>
              </c:pt>
              <c:pt idx="1406">
                <c:v>40892</c:v>
              </c:pt>
              <c:pt idx="1407">
                <c:v>40893</c:v>
              </c:pt>
              <c:pt idx="1408">
                <c:v>40896</c:v>
              </c:pt>
              <c:pt idx="1409">
                <c:v>40897</c:v>
              </c:pt>
              <c:pt idx="1410">
                <c:v>40898</c:v>
              </c:pt>
              <c:pt idx="1411">
                <c:v>40899</c:v>
              </c:pt>
              <c:pt idx="1412">
                <c:v>40900</c:v>
              </c:pt>
              <c:pt idx="1413">
                <c:v>40905</c:v>
              </c:pt>
              <c:pt idx="1414">
                <c:v>40906</c:v>
              </c:pt>
              <c:pt idx="1415">
                <c:v>40907</c:v>
              </c:pt>
              <c:pt idx="1416">
                <c:v>40911</c:v>
              </c:pt>
              <c:pt idx="1417">
                <c:v>40912</c:v>
              </c:pt>
              <c:pt idx="1418">
                <c:v>40913</c:v>
              </c:pt>
              <c:pt idx="1419">
                <c:v>40914</c:v>
              </c:pt>
              <c:pt idx="1420">
                <c:v>40917</c:v>
              </c:pt>
              <c:pt idx="1421">
                <c:v>40918</c:v>
              </c:pt>
              <c:pt idx="1422">
                <c:v>40919</c:v>
              </c:pt>
              <c:pt idx="1423">
                <c:v>40920</c:v>
              </c:pt>
              <c:pt idx="1424">
                <c:v>40921</c:v>
              </c:pt>
              <c:pt idx="1425">
                <c:v>40924</c:v>
              </c:pt>
              <c:pt idx="1426">
                <c:v>40925</c:v>
              </c:pt>
              <c:pt idx="1427">
                <c:v>40926</c:v>
              </c:pt>
              <c:pt idx="1428">
                <c:v>40927</c:v>
              </c:pt>
              <c:pt idx="1429">
                <c:v>40928</c:v>
              </c:pt>
              <c:pt idx="1430">
                <c:v>40931</c:v>
              </c:pt>
              <c:pt idx="1431">
                <c:v>40932</c:v>
              </c:pt>
              <c:pt idx="1432">
                <c:v>40933</c:v>
              </c:pt>
              <c:pt idx="1433">
                <c:v>40935</c:v>
              </c:pt>
              <c:pt idx="1434">
                <c:v>40938</c:v>
              </c:pt>
              <c:pt idx="1435">
                <c:v>40939</c:v>
              </c:pt>
              <c:pt idx="1436">
                <c:v>40940</c:v>
              </c:pt>
              <c:pt idx="1437">
                <c:v>40941</c:v>
              </c:pt>
              <c:pt idx="1438">
                <c:v>40942</c:v>
              </c:pt>
              <c:pt idx="1439">
                <c:v>40945</c:v>
              </c:pt>
              <c:pt idx="1440">
                <c:v>40946</c:v>
              </c:pt>
              <c:pt idx="1441">
                <c:v>40947</c:v>
              </c:pt>
              <c:pt idx="1442">
                <c:v>40948</c:v>
              </c:pt>
              <c:pt idx="1443">
                <c:v>40949</c:v>
              </c:pt>
              <c:pt idx="1444">
                <c:v>40952</c:v>
              </c:pt>
              <c:pt idx="1445">
                <c:v>40953</c:v>
              </c:pt>
              <c:pt idx="1446">
                <c:v>40954</c:v>
              </c:pt>
              <c:pt idx="1447">
                <c:v>40955</c:v>
              </c:pt>
              <c:pt idx="1448">
                <c:v>40956</c:v>
              </c:pt>
              <c:pt idx="1449">
                <c:v>40959</c:v>
              </c:pt>
              <c:pt idx="1450">
                <c:v>40960</c:v>
              </c:pt>
              <c:pt idx="1451">
                <c:v>40961</c:v>
              </c:pt>
              <c:pt idx="1452">
                <c:v>40962</c:v>
              </c:pt>
              <c:pt idx="1453">
                <c:v>40963</c:v>
              </c:pt>
              <c:pt idx="1454">
                <c:v>40966</c:v>
              </c:pt>
              <c:pt idx="1455">
                <c:v>40967</c:v>
              </c:pt>
              <c:pt idx="1456">
                <c:v>40968</c:v>
              </c:pt>
              <c:pt idx="1457">
                <c:v>40969</c:v>
              </c:pt>
              <c:pt idx="1458">
                <c:v>40970</c:v>
              </c:pt>
              <c:pt idx="1459">
                <c:v>40973</c:v>
              </c:pt>
              <c:pt idx="1460">
                <c:v>40974</c:v>
              </c:pt>
              <c:pt idx="1461">
                <c:v>40975</c:v>
              </c:pt>
              <c:pt idx="1462">
                <c:v>40976</c:v>
              </c:pt>
              <c:pt idx="1463">
                <c:v>40977</c:v>
              </c:pt>
              <c:pt idx="1464">
                <c:v>40980</c:v>
              </c:pt>
              <c:pt idx="1465">
                <c:v>40981</c:v>
              </c:pt>
              <c:pt idx="1466">
                <c:v>40982</c:v>
              </c:pt>
              <c:pt idx="1467">
                <c:v>40983</c:v>
              </c:pt>
              <c:pt idx="1468">
                <c:v>40984</c:v>
              </c:pt>
              <c:pt idx="1469">
                <c:v>40987</c:v>
              </c:pt>
              <c:pt idx="1470">
                <c:v>40988</c:v>
              </c:pt>
              <c:pt idx="1471">
                <c:v>40989</c:v>
              </c:pt>
              <c:pt idx="1472">
                <c:v>40990</c:v>
              </c:pt>
              <c:pt idx="1473">
                <c:v>40991</c:v>
              </c:pt>
              <c:pt idx="1474">
                <c:v>40994</c:v>
              </c:pt>
              <c:pt idx="1475">
                <c:v>40995</c:v>
              </c:pt>
              <c:pt idx="1476">
                <c:v>40996</c:v>
              </c:pt>
              <c:pt idx="1477">
                <c:v>40997</c:v>
              </c:pt>
              <c:pt idx="1478">
                <c:v>40998</c:v>
              </c:pt>
              <c:pt idx="1479">
                <c:v>41001</c:v>
              </c:pt>
              <c:pt idx="1480">
                <c:v>41002</c:v>
              </c:pt>
              <c:pt idx="1481">
                <c:v>41003</c:v>
              </c:pt>
              <c:pt idx="1482">
                <c:v>41004</c:v>
              </c:pt>
              <c:pt idx="1483">
                <c:v>41009</c:v>
              </c:pt>
              <c:pt idx="1484">
                <c:v>41010</c:v>
              </c:pt>
              <c:pt idx="1485">
                <c:v>41011</c:v>
              </c:pt>
              <c:pt idx="1486">
                <c:v>41012</c:v>
              </c:pt>
              <c:pt idx="1487">
                <c:v>41015</c:v>
              </c:pt>
              <c:pt idx="1488">
                <c:v>41016</c:v>
              </c:pt>
              <c:pt idx="1489">
                <c:v>41017</c:v>
              </c:pt>
              <c:pt idx="1490">
                <c:v>41018</c:v>
              </c:pt>
              <c:pt idx="1491">
                <c:v>41019</c:v>
              </c:pt>
              <c:pt idx="1492">
                <c:v>41022</c:v>
              </c:pt>
              <c:pt idx="1493">
                <c:v>41023</c:v>
              </c:pt>
              <c:pt idx="1494">
                <c:v>41025</c:v>
              </c:pt>
              <c:pt idx="1495">
                <c:v>41026</c:v>
              </c:pt>
              <c:pt idx="1496">
                <c:v>41029</c:v>
              </c:pt>
              <c:pt idx="1497">
                <c:v>41030</c:v>
              </c:pt>
              <c:pt idx="1498">
                <c:v>41031</c:v>
              </c:pt>
              <c:pt idx="1499">
                <c:v>41032</c:v>
              </c:pt>
              <c:pt idx="1500">
                <c:v>41033</c:v>
              </c:pt>
              <c:pt idx="1501">
                <c:v>41036</c:v>
              </c:pt>
              <c:pt idx="1502">
                <c:v>41037</c:v>
              </c:pt>
              <c:pt idx="1503">
                <c:v>41038</c:v>
              </c:pt>
              <c:pt idx="1504">
                <c:v>41039</c:v>
              </c:pt>
              <c:pt idx="1505">
                <c:v>41040</c:v>
              </c:pt>
              <c:pt idx="1506">
                <c:v>41043</c:v>
              </c:pt>
              <c:pt idx="1507">
                <c:v>41044</c:v>
              </c:pt>
              <c:pt idx="1508">
                <c:v>41045</c:v>
              </c:pt>
              <c:pt idx="1509">
                <c:v>41046</c:v>
              </c:pt>
              <c:pt idx="1510">
                <c:v>41047</c:v>
              </c:pt>
              <c:pt idx="1511">
                <c:v>41050</c:v>
              </c:pt>
              <c:pt idx="1512">
                <c:v>41051</c:v>
              </c:pt>
              <c:pt idx="1513">
                <c:v>41052</c:v>
              </c:pt>
              <c:pt idx="1514">
                <c:v>41053</c:v>
              </c:pt>
              <c:pt idx="1515">
                <c:v>41054</c:v>
              </c:pt>
              <c:pt idx="1516">
                <c:v>41057</c:v>
              </c:pt>
              <c:pt idx="1517">
                <c:v>41058</c:v>
              </c:pt>
              <c:pt idx="1518">
                <c:v>41059</c:v>
              </c:pt>
              <c:pt idx="1519">
                <c:v>41060</c:v>
              </c:pt>
              <c:pt idx="1520">
                <c:v>41061</c:v>
              </c:pt>
              <c:pt idx="1521">
                <c:v>41064</c:v>
              </c:pt>
              <c:pt idx="1522">
                <c:v>41065</c:v>
              </c:pt>
              <c:pt idx="1523">
                <c:v>41066</c:v>
              </c:pt>
              <c:pt idx="1524">
                <c:v>41067</c:v>
              </c:pt>
              <c:pt idx="1525">
                <c:v>41068</c:v>
              </c:pt>
              <c:pt idx="1526">
                <c:v>41072</c:v>
              </c:pt>
              <c:pt idx="1527">
                <c:v>41073</c:v>
              </c:pt>
              <c:pt idx="1528">
                <c:v>41074</c:v>
              </c:pt>
              <c:pt idx="1529">
                <c:v>41075</c:v>
              </c:pt>
              <c:pt idx="1530">
                <c:v>41078</c:v>
              </c:pt>
              <c:pt idx="1531">
                <c:v>41079</c:v>
              </c:pt>
              <c:pt idx="1532">
                <c:v>41080</c:v>
              </c:pt>
              <c:pt idx="1533">
                <c:v>41081</c:v>
              </c:pt>
              <c:pt idx="1534">
                <c:v>41082</c:v>
              </c:pt>
              <c:pt idx="1535">
                <c:v>41085</c:v>
              </c:pt>
              <c:pt idx="1536">
                <c:v>41086</c:v>
              </c:pt>
              <c:pt idx="1537">
                <c:v>41087</c:v>
              </c:pt>
              <c:pt idx="1538">
                <c:v>41088</c:v>
              </c:pt>
              <c:pt idx="1539">
                <c:v>41089</c:v>
              </c:pt>
              <c:pt idx="1540">
                <c:v>41092</c:v>
              </c:pt>
              <c:pt idx="1541">
                <c:v>41093</c:v>
              </c:pt>
              <c:pt idx="1542">
                <c:v>41094</c:v>
              </c:pt>
              <c:pt idx="1543">
                <c:v>41095</c:v>
              </c:pt>
              <c:pt idx="1544">
                <c:v>41096</c:v>
              </c:pt>
              <c:pt idx="1545">
                <c:v>41099</c:v>
              </c:pt>
              <c:pt idx="1546">
                <c:v>41100</c:v>
              </c:pt>
              <c:pt idx="1547">
                <c:v>41101</c:v>
              </c:pt>
              <c:pt idx="1548">
                <c:v>41102</c:v>
              </c:pt>
              <c:pt idx="1549">
                <c:v>41103</c:v>
              </c:pt>
              <c:pt idx="1550">
                <c:v>41106</c:v>
              </c:pt>
              <c:pt idx="1551">
                <c:v>41107</c:v>
              </c:pt>
              <c:pt idx="1552">
                <c:v>41108</c:v>
              </c:pt>
              <c:pt idx="1553">
                <c:v>41109</c:v>
              </c:pt>
              <c:pt idx="1554">
                <c:v>41110</c:v>
              </c:pt>
              <c:pt idx="1555">
                <c:v>41113</c:v>
              </c:pt>
              <c:pt idx="1556">
                <c:v>41114</c:v>
              </c:pt>
              <c:pt idx="1557">
                <c:v>41115</c:v>
              </c:pt>
              <c:pt idx="1558">
                <c:v>41116</c:v>
              </c:pt>
              <c:pt idx="1559">
                <c:v>41117</c:v>
              </c:pt>
              <c:pt idx="1560">
                <c:v>41120</c:v>
              </c:pt>
              <c:pt idx="1561">
                <c:v>41121</c:v>
              </c:pt>
              <c:pt idx="1562">
                <c:v>41122</c:v>
              </c:pt>
              <c:pt idx="1563">
                <c:v>41123</c:v>
              </c:pt>
              <c:pt idx="1564">
                <c:v>41124</c:v>
              </c:pt>
              <c:pt idx="1565">
                <c:v>41127</c:v>
              </c:pt>
              <c:pt idx="1566">
                <c:v>41128</c:v>
              </c:pt>
              <c:pt idx="1567">
                <c:v>41129</c:v>
              </c:pt>
              <c:pt idx="1568">
                <c:v>41130</c:v>
              </c:pt>
              <c:pt idx="1569">
                <c:v>41131</c:v>
              </c:pt>
              <c:pt idx="1570">
                <c:v>41134</c:v>
              </c:pt>
              <c:pt idx="1571">
                <c:v>41135</c:v>
              </c:pt>
              <c:pt idx="1572">
                <c:v>41136</c:v>
              </c:pt>
              <c:pt idx="1573">
                <c:v>41137</c:v>
              </c:pt>
              <c:pt idx="1574">
                <c:v>41138</c:v>
              </c:pt>
              <c:pt idx="1575">
                <c:v>41141</c:v>
              </c:pt>
              <c:pt idx="1576">
                <c:v>41142</c:v>
              </c:pt>
              <c:pt idx="1577">
                <c:v>41143</c:v>
              </c:pt>
              <c:pt idx="1578">
                <c:v>41144</c:v>
              </c:pt>
              <c:pt idx="1579">
                <c:v>41145</c:v>
              </c:pt>
              <c:pt idx="1580">
                <c:v>41148</c:v>
              </c:pt>
              <c:pt idx="1581">
                <c:v>41149</c:v>
              </c:pt>
              <c:pt idx="1582">
                <c:v>41150</c:v>
              </c:pt>
              <c:pt idx="1583">
                <c:v>41151</c:v>
              </c:pt>
              <c:pt idx="1584">
                <c:v>41152</c:v>
              </c:pt>
              <c:pt idx="1585">
                <c:v>41155</c:v>
              </c:pt>
              <c:pt idx="1586">
                <c:v>41156</c:v>
              </c:pt>
              <c:pt idx="1587">
                <c:v>41157</c:v>
              </c:pt>
              <c:pt idx="1588">
                <c:v>41158</c:v>
              </c:pt>
              <c:pt idx="1589">
                <c:v>41159</c:v>
              </c:pt>
              <c:pt idx="1590">
                <c:v>41162</c:v>
              </c:pt>
              <c:pt idx="1591">
                <c:v>41163</c:v>
              </c:pt>
              <c:pt idx="1592">
                <c:v>41164</c:v>
              </c:pt>
              <c:pt idx="1593">
                <c:v>41165</c:v>
              </c:pt>
              <c:pt idx="1594">
                <c:v>41166</c:v>
              </c:pt>
              <c:pt idx="1595">
                <c:v>41169</c:v>
              </c:pt>
              <c:pt idx="1596">
                <c:v>41170</c:v>
              </c:pt>
              <c:pt idx="1597">
                <c:v>41171</c:v>
              </c:pt>
              <c:pt idx="1598">
                <c:v>41172</c:v>
              </c:pt>
              <c:pt idx="1599">
                <c:v>41173</c:v>
              </c:pt>
              <c:pt idx="1600">
                <c:v>41176</c:v>
              </c:pt>
              <c:pt idx="1601">
                <c:v>41177</c:v>
              </c:pt>
              <c:pt idx="1602">
                <c:v>41178</c:v>
              </c:pt>
              <c:pt idx="1603">
                <c:v>41179</c:v>
              </c:pt>
              <c:pt idx="1604">
                <c:v>41180</c:v>
              </c:pt>
              <c:pt idx="1605">
                <c:v>41183</c:v>
              </c:pt>
              <c:pt idx="1606">
                <c:v>41184</c:v>
              </c:pt>
              <c:pt idx="1607">
                <c:v>41185</c:v>
              </c:pt>
              <c:pt idx="1608">
                <c:v>41186</c:v>
              </c:pt>
              <c:pt idx="1609">
                <c:v>41187</c:v>
              </c:pt>
              <c:pt idx="1610">
                <c:v>41190</c:v>
              </c:pt>
              <c:pt idx="1611">
                <c:v>41191</c:v>
              </c:pt>
              <c:pt idx="1612">
                <c:v>41192</c:v>
              </c:pt>
              <c:pt idx="1613">
                <c:v>41193</c:v>
              </c:pt>
              <c:pt idx="1614">
                <c:v>41194</c:v>
              </c:pt>
              <c:pt idx="1615">
                <c:v>41197</c:v>
              </c:pt>
              <c:pt idx="1616">
                <c:v>41198</c:v>
              </c:pt>
              <c:pt idx="1617">
                <c:v>41199</c:v>
              </c:pt>
              <c:pt idx="1618">
                <c:v>41200</c:v>
              </c:pt>
              <c:pt idx="1619">
                <c:v>41201</c:v>
              </c:pt>
              <c:pt idx="1620">
                <c:v>41204</c:v>
              </c:pt>
              <c:pt idx="1621">
                <c:v>41205</c:v>
              </c:pt>
              <c:pt idx="1622">
                <c:v>41206</c:v>
              </c:pt>
              <c:pt idx="1623">
                <c:v>41207</c:v>
              </c:pt>
              <c:pt idx="1624">
                <c:v>41208</c:v>
              </c:pt>
              <c:pt idx="1625">
                <c:v>41211</c:v>
              </c:pt>
              <c:pt idx="1626">
                <c:v>41212</c:v>
              </c:pt>
              <c:pt idx="1627">
                <c:v>41213</c:v>
              </c:pt>
              <c:pt idx="1628">
                <c:v>41214</c:v>
              </c:pt>
              <c:pt idx="1629">
                <c:v>41215</c:v>
              </c:pt>
              <c:pt idx="1630">
                <c:v>41218</c:v>
              </c:pt>
              <c:pt idx="1631">
                <c:v>41219</c:v>
              </c:pt>
              <c:pt idx="1632">
                <c:v>41220</c:v>
              </c:pt>
              <c:pt idx="1633">
                <c:v>41221</c:v>
              </c:pt>
              <c:pt idx="1634">
                <c:v>41222</c:v>
              </c:pt>
              <c:pt idx="1635">
                <c:v>41225</c:v>
              </c:pt>
              <c:pt idx="1636">
                <c:v>41226</c:v>
              </c:pt>
              <c:pt idx="1637">
                <c:v>41227</c:v>
              </c:pt>
              <c:pt idx="1638">
                <c:v>41228</c:v>
              </c:pt>
              <c:pt idx="1639">
                <c:v>41229</c:v>
              </c:pt>
              <c:pt idx="1640">
                <c:v>41232</c:v>
              </c:pt>
              <c:pt idx="1641">
                <c:v>41233</c:v>
              </c:pt>
              <c:pt idx="1642">
                <c:v>41234</c:v>
              </c:pt>
              <c:pt idx="1643">
                <c:v>41235</c:v>
              </c:pt>
              <c:pt idx="1644">
                <c:v>41236</c:v>
              </c:pt>
              <c:pt idx="1645">
                <c:v>41239</c:v>
              </c:pt>
              <c:pt idx="1646">
                <c:v>41240</c:v>
              </c:pt>
              <c:pt idx="1647">
                <c:v>41241</c:v>
              </c:pt>
              <c:pt idx="1648">
                <c:v>41242</c:v>
              </c:pt>
              <c:pt idx="1649">
                <c:v>41243</c:v>
              </c:pt>
              <c:pt idx="1650">
                <c:v>41246</c:v>
              </c:pt>
              <c:pt idx="1651">
                <c:v>41247</c:v>
              </c:pt>
              <c:pt idx="1652">
                <c:v>41248</c:v>
              </c:pt>
              <c:pt idx="1653">
                <c:v>41249</c:v>
              </c:pt>
              <c:pt idx="1654">
                <c:v>41250</c:v>
              </c:pt>
              <c:pt idx="1655">
                <c:v>41253</c:v>
              </c:pt>
              <c:pt idx="1656">
                <c:v>41254</c:v>
              </c:pt>
              <c:pt idx="1657">
                <c:v>41255</c:v>
              </c:pt>
              <c:pt idx="1658">
                <c:v>41256</c:v>
              </c:pt>
              <c:pt idx="1659">
                <c:v>41257</c:v>
              </c:pt>
              <c:pt idx="1660">
                <c:v>41260</c:v>
              </c:pt>
              <c:pt idx="1661">
                <c:v>41261</c:v>
              </c:pt>
              <c:pt idx="1662">
                <c:v>41262</c:v>
              </c:pt>
              <c:pt idx="1663">
                <c:v>41263</c:v>
              </c:pt>
              <c:pt idx="1664">
                <c:v>41264</c:v>
              </c:pt>
              <c:pt idx="1665">
                <c:v>41267</c:v>
              </c:pt>
              <c:pt idx="1666">
                <c:v>41270</c:v>
              </c:pt>
              <c:pt idx="1667">
                <c:v>41271</c:v>
              </c:pt>
              <c:pt idx="1668">
                <c:v>41274</c:v>
              </c:pt>
              <c:pt idx="1669">
                <c:v>41276</c:v>
              </c:pt>
              <c:pt idx="1670">
                <c:v>41277</c:v>
              </c:pt>
              <c:pt idx="1671">
                <c:v>41278</c:v>
              </c:pt>
              <c:pt idx="1672">
                <c:v>41281</c:v>
              </c:pt>
              <c:pt idx="1673">
                <c:v>41282</c:v>
              </c:pt>
              <c:pt idx="1674">
                <c:v>41283</c:v>
              </c:pt>
              <c:pt idx="1675">
                <c:v>41284</c:v>
              </c:pt>
              <c:pt idx="1676">
                <c:v>41285</c:v>
              </c:pt>
              <c:pt idx="1677">
                <c:v>41288</c:v>
              </c:pt>
              <c:pt idx="1678">
                <c:v>41289</c:v>
              </c:pt>
              <c:pt idx="1679">
                <c:v>41290</c:v>
              </c:pt>
              <c:pt idx="1680">
                <c:v>41291</c:v>
              </c:pt>
              <c:pt idx="1681">
                <c:v>41292</c:v>
              </c:pt>
              <c:pt idx="1682">
                <c:v>41295</c:v>
              </c:pt>
              <c:pt idx="1683">
                <c:v>41296</c:v>
              </c:pt>
              <c:pt idx="1684">
                <c:v>41297</c:v>
              </c:pt>
              <c:pt idx="1685">
                <c:v>41298</c:v>
              </c:pt>
              <c:pt idx="1686">
                <c:v>41299</c:v>
              </c:pt>
              <c:pt idx="1687">
                <c:v>41303</c:v>
              </c:pt>
              <c:pt idx="1688">
                <c:v>41304</c:v>
              </c:pt>
              <c:pt idx="1689">
                <c:v>41305</c:v>
              </c:pt>
              <c:pt idx="1690">
                <c:v>41306</c:v>
              </c:pt>
              <c:pt idx="1691">
                <c:v>41309</c:v>
              </c:pt>
              <c:pt idx="1692">
                <c:v>41310</c:v>
              </c:pt>
              <c:pt idx="1693">
                <c:v>41311</c:v>
              </c:pt>
              <c:pt idx="1694">
                <c:v>41312</c:v>
              </c:pt>
              <c:pt idx="1695">
                <c:v>41313</c:v>
              </c:pt>
              <c:pt idx="1696">
                <c:v>41316</c:v>
              </c:pt>
              <c:pt idx="1697">
                <c:v>41317</c:v>
              </c:pt>
              <c:pt idx="1698">
                <c:v>41318</c:v>
              </c:pt>
              <c:pt idx="1699">
                <c:v>41319</c:v>
              </c:pt>
              <c:pt idx="1700">
                <c:v>41320</c:v>
              </c:pt>
              <c:pt idx="1701">
                <c:v>41323</c:v>
              </c:pt>
              <c:pt idx="1702">
                <c:v>41324</c:v>
              </c:pt>
              <c:pt idx="1703">
                <c:v>41325</c:v>
              </c:pt>
              <c:pt idx="1704">
                <c:v>41326</c:v>
              </c:pt>
              <c:pt idx="1705">
                <c:v>41327</c:v>
              </c:pt>
              <c:pt idx="1706">
                <c:v>41330</c:v>
              </c:pt>
              <c:pt idx="1707">
                <c:v>41331</c:v>
              </c:pt>
              <c:pt idx="1708">
                <c:v>41332</c:v>
              </c:pt>
              <c:pt idx="1709">
                <c:v>41333</c:v>
              </c:pt>
              <c:pt idx="1710">
                <c:v>41334</c:v>
              </c:pt>
              <c:pt idx="1711">
                <c:v>41337</c:v>
              </c:pt>
              <c:pt idx="1712">
                <c:v>41338</c:v>
              </c:pt>
              <c:pt idx="1713">
                <c:v>41339</c:v>
              </c:pt>
              <c:pt idx="1714">
                <c:v>41340</c:v>
              </c:pt>
              <c:pt idx="1715">
                <c:v>41341</c:v>
              </c:pt>
              <c:pt idx="1716">
                <c:v>41344</c:v>
              </c:pt>
              <c:pt idx="1717">
                <c:v>41345</c:v>
              </c:pt>
              <c:pt idx="1718">
                <c:v>41346</c:v>
              </c:pt>
              <c:pt idx="1719">
                <c:v>41347</c:v>
              </c:pt>
              <c:pt idx="1720">
                <c:v>41348</c:v>
              </c:pt>
              <c:pt idx="1721">
                <c:v>41351</c:v>
              </c:pt>
              <c:pt idx="1722">
                <c:v>41352</c:v>
              </c:pt>
              <c:pt idx="1723">
                <c:v>41353</c:v>
              </c:pt>
              <c:pt idx="1724">
                <c:v>41354</c:v>
              </c:pt>
              <c:pt idx="1725">
                <c:v>41355</c:v>
              </c:pt>
              <c:pt idx="1726">
                <c:v>41358</c:v>
              </c:pt>
              <c:pt idx="1727">
                <c:v>41359</c:v>
              </c:pt>
              <c:pt idx="1728">
                <c:v>41360</c:v>
              </c:pt>
              <c:pt idx="1729">
                <c:v>41361</c:v>
              </c:pt>
              <c:pt idx="1730">
                <c:v>41366</c:v>
              </c:pt>
              <c:pt idx="1731">
                <c:v>41367</c:v>
              </c:pt>
              <c:pt idx="1732">
                <c:v>41368</c:v>
              </c:pt>
              <c:pt idx="1733">
                <c:v>41369</c:v>
              </c:pt>
              <c:pt idx="1734">
                <c:v>41372</c:v>
              </c:pt>
              <c:pt idx="1735">
                <c:v>41373</c:v>
              </c:pt>
              <c:pt idx="1736">
                <c:v>41374</c:v>
              </c:pt>
              <c:pt idx="1737">
                <c:v>41375</c:v>
              </c:pt>
              <c:pt idx="1738">
                <c:v>41376</c:v>
              </c:pt>
              <c:pt idx="1739">
                <c:v>41379</c:v>
              </c:pt>
              <c:pt idx="1740">
                <c:v>41380</c:v>
              </c:pt>
              <c:pt idx="1741">
                <c:v>41381</c:v>
              </c:pt>
              <c:pt idx="1742">
                <c:v>41382</c:v>
              </c:pt>
              <c:pt idx="1743">
                <c:v>41383</c:v>
              </c:pt>
              <c:pt idx="1744">
                <c:v>41386</c:v>
              </c:pt>
              <c:pt idx="1745">
                <c:v>41387</c:v>
              </c:pt>
              <c:pt idx="1746">
                <c:v>41388</c:v>
              </c:pt>
              <c:pt idx="1747">
                <c:v>41390</c:v>
              </c:pt>
              <c:pt idx="1748">
                <c:v>41393</c:v>
              </c:pt>
              <c:pt idx="1749">
                <c:v>41394</c:v>
              </c:pt>
              <c:pt idx="1750">
                <c:v>41395</c:v>
              </c:pt>
              <c:pt idx="1751">
                <c:v>41396</c:v>
              </c:pt>
              <c:pt idx="1752">
                <c:v>41397</c:v>
              </c:pt>
              <c:pt idx="1753">
                <c:v>41400</c:v>
              </c:pt>
              <c:pt idx="1754">
                <c:v>41401</c:v>
              </c:pt>
              <c:pt idx="1755">
                <c:v>41402</c:v>
              </c:pt>
              <c:pt idx="1756">
                <c:v>41403</c:v>
              </c:pt>
              <c:pt idx="1757">
                <c:v>41404</c:v>
              </c:pt>
              <c:pt idx="1758">
                <c:v>41407</c:v>
              </c:pt>
              <c:pt idx="1759">
                <c:v>41408</c:v>
              </c:pt>
              <c:pt idx="1760">
                <c:v>41409</c:v>
              </c:pt>
              <c:pt idx="1761">
                <c:v>41410</c:v>
              </c:pt>
              <c:pt idx="1762">
                <c:v>41411</c:v>
              </c:pt>
              <c:pt idx="1763">
                <c:v>41414</c:v>
              </c:pt>
              <c:pt idx="1764">
                <c:v>41415</c:v>
              </c:pt>
              <c:pt idx="1765">
                <c:v>41416</c:v>
              </c:pt>
              <c:pt idx="1766">
                <c:v>41417</c:v>
              </c:pt>
              <c:pt idx="1767">
                <c:v>41418</c:v>
              </c:pt>
              <c:pt idx="1768">
                <c:v>41421</c:v>
              </c:pt>
              <c:pt idx="1769">
                <c:v>41422</c:v>
              </c:pt>
              <c:pt idx="1770">
                <c:v>41423</c:v>
              </c:pt>
              <c:pt idx="1771">
                <c:v>41424</c:v>
              </c:pt>
              <c:pt idx="1772">
                <c:v>41425</c:v>
              </c:pt>
              <c:pt idx="1773">
                <c:v>41428</c:v>
              </c:pt>
              <c:pt idx="1774">
                <c:v>41429</c:v>
              </c:pt>
              <c:pt idx="1775">
                <c:v>41430</c:v>
              </c:pt>
              <c:pt idx="1776">
                <c:v>41431</c:v>
              </c:pt>
              <c:pt idx="1777">
                <c:v>41432</c:v>
              </c:pt>
              <c:pt idx="1778">
                <c:v>41436</c:v>
              </c:pt>
              <c:pt idx="1779">
                <c:v>41437</c:v>
              </c:pt>
              <c:pt idx="1780">
                <c:v>41438</c:v>
              </c:pt>
              <c:pt idx="1781">
                <c:v>41439</c:v>
              </c:pt>
              <c:pt idx="1782">
                <c:v>41442</c:v>
              </c:pt>
              <c:pt idx="1783">
                <c:v>41443</c:v>
              </c:pt>
              <c:pt idx="1784">
                <c:v>41444</c:v>
              </c:pt>
              <c:pt idx="1785">
                <c:v>41445</c:v>
              </c:pt>
              <c:pt idx="1786">
                <c:v>41446</c:v>
              </c:pt>
              <c:pt idx="1787">
                <c:v>41449</c:v>
              </c:pt>
              <c:pt idx="1788">
                <c:v>41450</c:v>
              </c:pt>
              <c:pt idx="1789">
                <c:v>41451</c:v>
              </c:pt>
              <c:pt idx="1790">
                <c:v>41452</c:v>
              </c:pt>
              <c:pt idx="1791">
                <c:v>41453</c:v>
              </c:pt>
              <c:pt idx="1792">
                <c:v>41456</c:v>
              </c:pt>
              <c:pt idx="1793">
                <c:v>41457</c:v>
              </c:pt>
              <c:pt idx="1794">
                <c:v>41458</c:v>
              </c:pt>
              <c:pt idx="1795">
                <c:v>41459</c:v>
              </c:pt>
              <c:pt idx="1796">
                <c:v>41460</c:v>
              </c:pt>
              <c:pt idx="1797">
                <c:v>41463</c:v>
              </c:pt>
              <c:pt idx="1798">
                <c:v>41464</c:v>
              </c:pt>
              <c:pt idx="1799">
                <c:v>41465</c:v>
              </c:pt>
              <c:pt idx="1800">
                <c:v>41466</c:v>
              </c:pt>
              <c:pt idx="1801">
                <c:v>41467</c:v>
              </c:pt>
              <c:pt idx="1802">
                <c:v>41470</c:v>
              </c:pt>
              <c:pt idx="1803">
                <c:v>41471</c:v>
              </c:pt>
              <c:pt idx="1804">
                <c:v>41472</c:v>
              </c:pt>
              <c:pt idx="1805">
                <c:v>41473</c:v>
              </c:pt>
              <c:pt idx="1806">
                <c:v>41474</c:v>
              </c:pt>
              <c:pt idx="1807">
                <c:v>41477</c:v>
              </c:pt>
              <c:pt idx="1808">
                <c:v>41478</c:v>
              </c:pt>
              <c:pt idx="1809">
                <c:v>41479</c:v>
              </c:pt>
              <c:pt idx="1810">
                <c:v>41480</c:v>
              </c:pt>
              <c:pt idx="1811">
                <c:v>41481</c:v>
              </c:pt>
              <c:pt idx="1812">
                <c:v>41484</c:v>
              </c:pt>
              <c:pt idx="1813">
                <c:v>41485</c:v>
              </c:pt>
              <c:pt idx="1814">
                <c:v>41486</c:v>
              </c:pt>
              <c:pt idx="1815">
                <c:v>41487</c:v>
              </c:pt>
              <c:pt idx="1816">
                <c:v>41488</c:v>
              </c:pt>
              <c:pt idx="1817">
                <c:v>41492</c:v>
              </c:pt>
              <c:pt idx="1818">
                <c:v>41493</c:v>
              </c:pt>
              <c:pt idx="1819">
                <c:v>41494</c:v>
              </c:pt>
              <c:pt idx="1820">
                <c:v>41495</c:v>
              </c:pt>
              <c:pt idx="1821">
                <c:v>41498</c:v>
              </c:pt>
              <c:pt idx="1822">
                <c:v>41499</c:v>
              </c:pt>
              <c:pt idx="1823">
                <c:v>41500</c:v>
              </c:pt>
              <c:pt idx="1824">
                <c:v>41501</c:v>
              </c:pt>
              <c:pt idx="1825">
                <c:v>41502</c:v>
              </c:pt>
              <c:pt idx="1826">
                <c:v>41505</c:v>
              </c:pt>
              <c:pt idx="1827">
                <c:v>41506</c:v>
              </c:pt>
              <c:pt idx="1828">
                <c:v>41507</c:v>
              </c:pt>
              <c:pt idx="1829">
                <c:v>41508</c:v>
              </c:pt>
              <c:pt idx="1830">
                <c:v>41509</c:v>
              </c:pt>
              <c:pt idx="1831">
                <c:v>41512</c:v>
              </c:pt>
              <c:pt idx="1832">
                <c:v>41513</c:v>
              </c:pt>
              <c:pt idx="1833">
                <c:v>41514</c:v>
              </c:pt>
              <c:pt idx="1834">
                <c:v>41515</c:v>
              </c:pt>
              <c:pt idx="1835">
                <c:v>41516</c:v>
              </c:pt>
              <c:pt idx="1836">
                <c:v>41519</c:v>
              </c:pt>
              <c:pt idx="1837">
                <c:v>41520</c:v>
              </c:pt>
              <c:pt idx="1838">
                <c:v>41521</c:v>
              </c:pt>
              <c:pt idx="1839">
                <c:v>41522</c:v>
              </c:pt>
              <c:pt idx="1840">
                <c:v>41523</c:v>
              </c:pt>
              <c:pt idx="1841">
                <c:v>41526</c:v>
              </c:pt>
              <c:pt idx="1842">
                <c:v>41527</c:v>
              </c:pt>
              <c:pt idx="1843">
                <c:v>41528</c:v>
              </c:pt>
              <c:pt idx="1844">
                <c:v>41529</c:v>
              </c:pt>
              <c:pt idx="1845">
                <c:v>41530</c:v>
              </c:pt>
              <c:pt idx="1846">
                <c:v>41533</c:v>
              </c:pt>
              <c:pt idx="1847">
                <c:v>41534</c:v>
              </c:pt>
              <c:pt idx="1848">
                <c:v>41535</c:v>
              </c:pt>
              <c:pt idx="1849">
                <c:v>41536</c:v>
              </c:pt>
              <c:pt idx="1850">
                <c:v>41537</c:v>
              </c:pt>
              <c:pt idx="1851">
                <c:v>41540</c:v>
              </c:pt>
              <c:pt idx="1852">
                <c:v>41541</c:v>
              </c:pt>
              <c:pt idx="1853">
                <c:v>41542</c:v>
              </c:pt>
              <c:pt idx="1854">
                <c:v>41543</c:v>
              </c:pt>
              <c:pt idx="1855">
                <c:v>41544</c:v>
              </c:pt>
              <c:pt idx="1856">
                <c:v>41547</c:v>
              </c:pt>
              <c:pt idx="1857">
                <c:v>41548</c:v>
              </c:pt>
              <c:pt idx="1858">
                <c:v>41549</c:v>
              </c:pt>
              <c:pt idx="1859">
                <c:v>41550</c:v>
              </c:pt>
              <c:pt idx="1860">
                <c:v>41551</c:v>
              </c:pt>
              <c:pt idx="1861">
                <c:v>41555</c:v>
              </c:pt>
              <c:pt idx="1862">
                <c:v>41556</c:v>
              </c:pt>
              <c:pt idx="1863">
                <c:v>41557</c:v>
              </c:pt>
              <c:pt idx="1864">
                <c:v>41558</c:v>
              </c:pt>
              <c:pt idx="1865">
                <c:v>41561</c:v>
              </c:pt>
              <c:pt idx="1866">
                <c:v>41562</c:v>
              </c:pt>
              <c:pt idx="1867">
                <c:v>41563</c:v>
              </c:pt>
              <c:pt idx="1868">
                <c:v>41564</c:v>
              </c:pt>
              <c:pt idx="1869">
                <c:v>41565</c:v>
              </c:pt>
              <c:pt idx="1870">
                <c:v>41568</c:v>
              </c:pt>
              <c:pt idx="1871">
                <c:v>41569</c:v>
              </c:pt>
              <c:pt idx="1872">
                <c:v>41570</c:v>
              </c:pt>
              <c:pt idx="1873">
                <c:v>41571</c:v>
              </c:pt>
              <c:pt idx="1874">
                <c:v>41572</c:v>
              </c:pt>
              <c:pt idx="1875">
                <c:v>41575</c:v>
              </c:pt>
              <c:pt idx="1876">
                <c:v>41576</c:v>
              </c:pt>
              <c:pt idx="1877">
                <c:v>41577</c:v>
              </c:pt>
              <c:pt idx="1878">
                <c:v>41578</c:v>
              </c:pt>
              <c:pt idx="1879">
                <c:v>41579</c:v>
              </c:pt>
              <c:pt idx="1880">
                <c:v>41582</c:v>
              </c:pt>
              <c:pt idx="1881">
                <c:v>41583</c:v>
              </c:pt>
              <c:pt idx="1882">
                <c:v>41584</c:v>
              </c:pt>
              <c:pt idx="1883">
                <c:v>41585</c:v>
              </c:pt>
              <c:pt idx="1884">
                <c:v>41586</c:v>
              </c:pt>
              <c:pt idx="1885">
                <c:v>41589</c:v>
              </c:pt>
              <c:pt idx="1886">
                <c:v>41590</c:v>
              </c:pt>
              <c:pt idx="1887">
                <c:v>41591</c:v>
              </c:pt>
              <c:pt idx="1888">
                <c:v>41592</c:v>
              </c:pt>
              <c:pt idx="1889">
                <c:v>41593</c:v>
              </c:pt>
              <c:pt idx="1890">
                <c:v>41596</c:v>
              </c:pt>
              <c:pt idx="1891">
                <c:v>41597</c:v>
              </c:pt>
              <c:pt idx="1892">
                <c:v>41598</c:v>
              </c:pt>
              <c:pt idx="1893">
                <c:v>41599</c:v>
              </c:pt>
              <c:pt idx="1894">
                <c:v>41600</c:v>
              </c:pt>
              <c:pt idx="1895">
                <c:v>41603</c:v>
              </c:pt>
              <c:pt idx="1896">
                <c:v>41604</c:v>
              </c:pt>
              <c:pt idx="1897">
                <c:v>41605</c:v>
              </c:pt>
              <c:pt idx="1898">
                <c:v>41606</c:v>
              </c:pt>
              <c:pt idx="1899">
                <c:v>41607</c:v>
              </c:pt>
              <c:pt idx="1900">
                <c:v>41610</c:v>
              </c:pt>
              <c:pt idx="1901">
                <c:v>41611</c:v>
              </c:pt>
              <c:pt idx="1902">
                <c:v>41612</c:v>
              </c:pt>
              <c:pt idx="1903">
                <c:v>41613</c:v>
              </c:pt>
              <c:pt idx="1904">
                <c:v>41614</c:v>
              </c:pt>
              <c:pt idx="1905">
                <c:v>41617</c:v>
              </c:pt>
              <c:pt idx="1906">
                <c:v>41618</c:v>
              </c:pt>
              <c:pt idx="1907">
                <c:v>41619</c:v>
              </c:pt>
              <c:pt idx="1908">
                <c:v>41620</c:v>
              </c:pt>
              <c:pt idx="1909">
                <c:v>41621</c:v>
              </c:pt>
              <c:pt idx="1910">
                <c:v>41624</c:v>
              </c:pt>
              <c:pt idx="1911">
                <c:v>41625</c:v>
              </c:pt>
              <c:pt idx="1912">
                <c:v>41626</c:v>
              </c:pt>
              <c:pt idx="1913">
                <c:v>41627</c:v>
              </c:pt>
              <c:pt idx="1914">
                <c:v>41628</c:v>
              </c:pt>
              <c:pt idx="1915">
                <c:v>41631</c:v>
              </c:pt>
              <c:pt idx="1916">
                <c:v>41632</c:v>
              </c:pt>
              <c:pt idx="1917">
                <c:v>41635</c:v>
              </c:pt>
              <c:pt idx="1918">
                <c:v>41638</c:v>
              </c:pt>
              <c:pt idx="1919">
                <c:v>41639</c:v>
              </c:pt>
              <c:pt idx="1920">
                <c:v>41641</c:v>
              </c:pt>
              <c:pt idx="1921">
                <c:v>41642</c:v>
              </c:pt>
              <c:pt idx="1922">
                <c:v>41645</c:v>
              </c:pt>
              <c:pt idx="1923">
                <c:v>41646</c:v>
              </c:pt>
              <c:pt idx="1924">
                <c:v>41647</c:v>
              </c:pt>
              <c:pt idx="1925">
                <c:v>41648</c:v>
              </c:pt>
              <c:pt idx="1926">
                <c:v>41649</c:v>
              </c:pt>
              <c:pt idx="1927">
                <c:v>41652</c:v>
              </c:pt>
              <c:pt idx="1928">
                <c:v>41653</c:v>
              </c:pt>
              <c:pt idx="1929">
                <c:v>41654</c:v>
              </c:pt>
              <c:pt idx="1930">
                <c:v>41655</c:v>
              </c:pt>
              <c:pt idx="1931">
                <c:v>41656</c:v>
              </c:pt>
              <c:pt idx="1932">
                <c:v>41659</c:v>
              </c:pt>
              <c:pt idx="1933">
                <c:v>41660</c:v>
              </c:pt>
              <c:pt idx="1934">
                <c:v>41661</c:v>
              </c:pt>
              <c:pt idx="1935">
                <c:v>41662</c:v>
              </c:pt>
              <c:pt idx="1936">
                <c:v>41663</c:v>
              </c:pt>
              <c:pt idx="1937">
                <c:v>41667</c:v>
              </c:pt>
              <c:pt idx="1938">
                <c:v>41668</c:v>
              </c:pt>
              <c:pt idx="1939">
                <c:v>41669</c:v>
              </c:pt>
              <c:pt idx="1940">
                <c:v>41670</c:v>
              </c:pt>
              <c:pt idx="1941">
                <c:v>41673</c:v>
              </c:pt>
              <c:pt idx="1942">
                <c:v>41674</c:v>
              </c:pt>
              <c:pt idx="1943">
                <c:v>41675</c:v>
              </c:pt>
              <c:pt idx="1944">
                <c:v>41676</c:v>
              </c:pt>
              <c:pt idx="1945">
                <c:v>41677</c:v>
              </c:pt>
              <c:pt idx="1946">
                <c:v>41680</c:v>
              </c:pt>
              <c:pt idx="1947">
                <c:v>41681</c:v>
              </c:pt>
              <c:pt idx="1948">
                <c:v>41682</c:v>
              </c:pt>
              <c:pt idx="1949">
                <c:v>41683</c:v>
              </c:pt>
              <c:pt idx="1950">
                <c:v>41684</c:v>
              </c:pt>
              <c:pt idx="1951">
                <c:v>41687</c:v>
              </c:pt>
              <c:pt idx="1952">
                <c:v>41688</c:v>
              </c:pt>
              <c:pt idx="1953">
                <c:v>41689</c:v>
              </c:pt>
              <c:pt idx="1954">
                <c:v>41690</c:v>
              </c:pt>
              <c:pt idx="1955">
                <c:v>41691</c:v>
              </c:pt>
              <c:pt idx="1956">
                <c:v>41694</c:v>
              </c:pt>
              <c:pt idx="1957">
                <c:v>41695</c:v>
              </c:pt>
              <c:pt idx="1958">
                <c:v>41696</c:v>
              </c:pt>
              <c:pt idx="1959">
                <c:v>41697</c:v>
              </c:pt>
              <c:pt idx="1960">
                <c:v>41698</c:v>
              </c:pt>
              <c:pt idx="1961">
                <c:v>41701</c:v>
              </c:pt>
              <c:pt idx="1962">
                <c:v>41702</c:v>
              </c:pt>
              <c:pt idx="1963">
                <c:v>41703</c:v>
              </c:pt>
              <c:pt idx="1964">
                <c:v>41704</c:v>
              </c:pt>
              <c:pt idx="1965">
                <c:v>41705</c:v>
              </c:pt>
              <c:pt idx="1966">
                <c:v>41708</c:v>
              </c:pt>
              <c:pt idx="1967">
                <c:v>41709</c:v>
              </c:pt>
              <c:pt idx="1968">
                <c:v>41710</c:v>
              </c:pt>
              <c:pt idx="1969">
                <c:v>41711</c:v>
              </c:pt>
              <c:pt idx="1970">
                <c:v>41712</c:v>
              </c:pt>
              <c:pt idx="1971">
                <c:v>41715</c:v>
              </c:pt>
              <c:pt idx="1972">
                <c:v>41716</c:v>
              </c:pt>
              <c:pt idx="1973">
                <c:v>41717</c:v>
              </c:pt>
              <c:pt idx="1974">
                <c:v>41718</c:v>
              </c:pt>
              <c:pt idx="1975">
                <c:v>41719</c:v>
              </c:pt>
              <c:pt idx="1976">
                <c:v>41722</c:v>
              </c:pt>
              <c:pt idx="1977">
                <c:v>41723</c:v>
              </c:pt>
              <c:pt idx="1978">
                <c:v>41724</c:v>
              </c:pt>
              <c:pt idx="1979">
                <c:v>41725</c:v>
              </c:pt>
              <c:pt idx="1980">
                <c:v>41726</c:v>
              </c:pt>
              <c:pt idx="1981">
                <c:v>41729</c:v>
              </c:pt>
              <c:pt idx="1982">
                <c:v>41730</c:v>
              </c:pt>
              <c:pt idx="1983">
                <c:v>41731</c:v>
              </c:pt>
              <c:pt idx="1984">
                <c:v>41732</c:v>
              </c:pt>
              <c:pt idx="1985">
                <c:v>41733</c:v>
              </c:pt>
              <c:pt idx="1986">
                <c:v>41736</c:v>
              </c:pt>
              <c:pt idx="1987">
                <c:v>41737</c:v>
              </c:pt>
              <c:pt idx="1988">
                <c:v>41738</c:v>
              </c:pt>
              <c:pt idx="1989">
                <c:v>41739</c:v>
              </c:pt>
              <c:pt idx="1990">
                <c:v>41740</c:v>
              </c:pt>
              <c:pt idx="1991">
                <c:v>41743</c:v>
              </c:pt>
              <c:pt idx="1992">
                <c:v>41744</c:v>
              </c:pt>
              <c:pt idx="1993">
                <c:v>41745</c:v>
              </c:pt>
              <c:pt idx="1994">
                <c:v>41746</c:v>
              </c:pt>
              <c:pt idx="1995">
                <c:v>41751</c:v>
              </c:pt>
              <c:pt idx="1996">
                <c:v>41752</c:v>
              </c:pt>
              <c:pt idx="1997">
                <c:v>41753</c:v>
              </c:pt>
              <c:pt idx="1998">
                <c:v>41757</c:v>
              </c:pt>
              <c:pt idx="1999">
                <c:v>41758</c:v>
              </c:pt>
              <c:pt idx="2000">
                <c:v>41759</c:v>
              </c:pt>
              <c:pt idx="2001">
                <c:v>41760</c:v>
              </c:pt>
              <c:pt idx="2002">
                <c:v>41761</c:v>
              </c:pt>
              <c:pt idx="2003">
                <c:v>41764</c:v>
              </c:pt>
              <c:pt idx="2004">
                <c:v>41765</c:v>
              </c:pt>
              <c:pt idx="2005">
                <c:v>41766</c:v>
              </c:pt>
              <c:pt idx="2006">
                <c:v>41767</c:v>
              </c:pt>
              <c:pt idx="2007">
                <c:v>41768</c:v>
              </c:pt>
              <c:pt idx="2008">
                <c:v>41771</c:v>
              </c:pt>
              <c:pt idx="2009">
                <c:v>41772</c:v>
              </c:pt>
              <c:pt idx="2010">
                <c:v>41773</c:v>
              </c:pt>
              <c:pt idx="2011">
                <c:v>41774</c:v>
              </c:pt>
              <c:pt idx="2012">
                <c:v>41775</c:v>
              </c:pt>
              <c:pt idx="2013">
                <c:v>41778</c:v>
              </c:pt>
              <c:pt idx="2014">
                <c:v>41779</c:v>
              </c:pt>
              <c:pt idx="2015">
                <c:v>41780</c:v>
              </c:pt>
              <c:pt idx="2016">
                <c:v>41781</c:v>
              </c:pt>
              <c:pt idx="2017">
                <c:v>41782</c:v>
              </c:pt>
              <c:pt idx="2018">
                <c:v>41785</c:v>
              </c:pt>
              <c:pt idx="2019">
                <c:v>41786</c:v>
              </c:pt>
              <c:pt idx="2020">
                <c:v>41787</c:v>
              </c:pt>
              <c:pt idx="2021">
                <c:v>41788</c:v>
              </c:pt>
              <c:pt idx="2022">
                <c:v>41789</c:v>
              </c:pt>
              <c:pt idx="2023">
                <c:v>41792</c:v>
              </c:pt>
              <c:pt idx="2024">
                <c:v>41793</c:v>
              </c:pt>
              <c:pt idx="2025">
                <c:v>41794</c:v>
              </c:pt>
              <c:pt idx="2026">
                <c:v>41795</c:v>
              </c:pt>
              <c:pt idx="2027">
                <c:v>41796</c:v>
              </c:pt>
              <c:pt idx="2028">
                <c:v>41800</c:v>
              </c:pt>
              <c:pt idx="2029">
                <c:v>41801</c:v>
              </c:pt>
              <c:pt idx="2030">
                <c:v>41802</c:v>
              </c:pt>
              <c:pt idx="2031">
                <c:v>41803</c:v>
              </c:pt>
              <c:pt idx="2032">
                <c:v>41806</c:v>
              </c:pt>
              <c:pt idx="2033">
                <c:v>41807</c:v>
              </c:pt>
              <c:pt idx="2034">
                <c:v>41808</c:v>
              </c:pt>
              <c:pt idx="2035">
                <c:v>41809</c:v>
              </c:pt>
              <c:pt idx="2036">
                <c:v>41810</c:v>
              </c:pt>
              <c:pt idx="2037">
                <c:v>41813</c:v>
              </c:pt>
              <c:pt idx="2038">
                <c:v>41814</c:v>
              </c:pt>
              <c:pt idx="2039">
                <c:v>41815</c:v>
              </c:pt>
              <c:pt idx="2040">
                <c:v>41816</c:v>
              </c:pt>
              <c:pt idx="2041">
                <c:v>41817</c:v>
              </c:pt>
              <c:pt idx="2042">
                <c:v>41820</c:v>
              </c:pt>
              <c:pt idx="2043">
                <c:v>41821</c:v>
              </c:pt>
              <c:pt idx="2044">
                <c:v>41822</c:v>
              </c:pt>
              <c:pt idx="2045">
                <c:v>41823</c:v>
              </c:pt>
              <c:pt idx="2046">
                <c:v>41824</c:v>
              </c:pt>
              <c:pt idx="2047">
                <c:v>41827</c:v>
              </c:pt>
              <c:pt idx="2048">
                <c:v>41828</c:v>
              </c:pt>
              <c:pt idx="2049">
                <c:v>41829</c:v>
              </c:pt>
              <c:pt idx="2050">
                <c:v>41830</c:v>
              </c:pt>
              <c:pt idx="2051">
                <c:v>41831</c:v>
              </c:pt>
              <c:pt idx="2052">
                <c:v>41834</c:v>
              </c:pt>
              <c:pt idx="2053">
                <c:v>41835</c:v>
              </c:pt>
              <c:pt idx="2054">
                <c:v>41836</c:v>
              </c:pt>
              <c:pt idx="2055">
                <c:v>41837</c:v>
              </c:pt>
              <c:pt idx="2056">
                <c:v>41838</c:v>
              </c:pt>
              <c:pt idx="2057">
                <c:v>41841</c:v>
              </c:pt>
              <c:pt idx="2058">
                <c:v>41842</c:v>
              </c:pt>
              <c:pt idx="2059">
                <c:v>41843</c:v>
              </c:pt>
              <c:pt idx="2060">
                <c:v>41844</c:v>
              </c:pt>
              <c:pt idx="2061">
                <c:v>41845</c:v>
              </c:pt>
              <c:pt idx="2062">
                <c:v>41848</c:v>
              </c:pt>
              <c:pt idx="2063">
                <c:v>41849</c:v>
              </c:pt>
              <c:pt idx="2064">
                <c:v>41850</c:v>
              </c:pt>
              <c:pt idx="2065">
                <c:v>41851</c:v>
              </c:pt>
              <c:pt idx="2066">
                <c:v>41852</c:v>
              </c:pt>
              <c:pt idx="2067">
                <c:v>41856</c:v>
              </c:pt>
              <c:pt idx="2068">
                <c:v>41857</c:v>
              </c:pt>
              <c:pt idx="2069">
                <c:v>41858</c:v>
              </c:pt>
              <c:pt idx="2070">
                <c:v>41859</c:v>
              </c:pt>
              <c:pt idx="2071">
                <c:v>41862</c:v>
              </c:pt>
              <c:pt idx="2072">
                <c:v>41863</c:v>
              </c:pt>
              <c:pt idx="2073">
                <c:v>41864</c:v>
              </c:pt>
              <c:pt idx="2074">
                <c:v>41865</c:v>
              </c:pt>
              <c:pt idx="2075">
                <c:v>41866</c:v>
              </c:pt>
              <c:pt idx="2076">
                <c:v>41869</c:v>
              </c:pt>
              <c:pt idx="2077">
                <c:v>41870</c:v>
              </c:pt>
              <c:pt idx="2078">
                <c:v>41871</c:v>
              </c:pt>
              <c:pt idx="2079">
                <c:v>41872</c:v>
              </c:pt>
              <c:pt idx="2080">
                <c:v>41873</c:v>
              </c:pt>
              <c:pt idx="2081">
                <c:v>41876</c:v>
              </c:pt>
              <c:pt idx="2082">
                <c:v>41877</c:v>
              </c:pt>
              <c:pt idx="2083">
                <c:v>41878</c:v>
              </c:pt>
              <c:pt idx="2084">
                <c:v>41879</c:v>
              </c:pt>
              <c:pt idx="2085">
                <c:v>41880</c:v>
              </c:pt>
              <c:pt idx="2086">
                <c:v>41883</c:v>
              </c:pt>
              <c:pt idx="2087">
                <c:v>41884</c:v>
              </c:pt>
              <c:pt idx="2088">
                <c:v>41885</c:v>
              </c:pt>
              <c:pt idx="2089">
                <c:v>41886</c:v>
              </c:pt>
              <c:pt idx="2090">
                <c:v>41887</c:v>
              </c:pt>
              <c:pt idx="2091">
                <c:v>41890</c:v>
              </c:pt>
              <c:pt idx="2092">
                <c:v>41891</c:v>
              </c:pt>
              <c:pt idx="2093">
                <c:v>41892</c:v>
              </c:pt>
              <c:pt idx="2094">
                <c:v>41893</c:v>
              </c:pt>
              <c:pt idx="2095">
                <c:v>41894</c:v>
              </c:pt>
              <c:pt idx="2096">
                <c:v>41897</c:v>
              </c:pt>
              <c:pt idx="2097">
                <c:v>41898</c:v>
              </c:pt>
              <c:pt idx="2098">
                <c:v>41899</c:v>
              </c:pt>
              <c:pt idx="2099">
                <c:v>41900</c:v>
              </c:pt>
              <c:pt idx="2100">
                <c:v>41901</c:v>
              </c:pt>
              <c:pt idx="2101">
                <c:v>41904</c:v>
              </c:pt>
              <c:pt idx="2102">
                <c:v>41905</c:v>
              </c:pt>
              <c:pt idx="2103">
                <c:v>41906</c:v>
              </c:pt>
              <c:pt idx="2104">
                <c:v>41907</c:v>
              </c:pt>
              <c:pt idx="2105">
                <c:v>41908</c:v>
              </c:pt>
              <c:pt idx="2106">
                <c:v>41911</c:v>
              </c:pt>
              <c:pt idx="2107">
                <c:v>41912</c:v>
              </c:pt>
              <c:pt idx="2108">
                <c:v>41913</c:v>
              </c:pt>
              <c:pt idx="2109">
                <c:v>41914</c:v>
              </c:pt>
              <c:pt idx="2110">
                <c:v>41915</c:v>
              </c:pt>
              <c:pt idx="2111">
                <c:v>41919</c:v>
              </c:pt>
              <c:pt idx="2112">
                <c:v>41920</c:v>
              </c:pt>
              <c:pt idx="2113">
                <c:v>41921</c:v>
              </c:pt>
              <c:pt idx="2114">
                <c:v>41922</c:v>
              </c:pt>
              <c:pt idx="2115">
                <c:v>41925</c:v>
              </c:pt>
              <c:pt idx="2116">
                <c:v>41926</c:v>
              </c:pt>
              <c:pt idx="2117">
                <c:v>41927</c:v>
              </c:pt>
              <c:pt idx="2118">
                <c:v>41928</c:v>
              </c:pt>
              <c:pt idx="2119">
                <c:v>41929</c:v>
              </c:pt>
              <c:pt idx="2120">
                <c:v>41932</c:v>
              </c:pt>
              <c:pt idx="2121">
                <c:v>41933</c:v>
              </c:pt>
              <c:pt idx="2122">
                <c:v>41934</c:v>
              </c:pt>
              <c:pt idx="2123">
                <c:v>41935</c:v>
              </c:pt>
              <c:pt idx="2124">
                <c:v>41936</c:v>
              </c:pt>
              <c:pt idx="2125">
                <c:v>41939</c:v>
              </c:pt>
              <c:pt idx="2126">
                <c:v>41940</c:v>
              </c:pt>
              <c:pt idx="2127">
                <c:v>41941</c:v>
              </c:pt>
              <c:pt idx="2128">
                <c:v>41942</c:v>
              </c:pt>
              <c:pt idx="2129">
                <c:v>41943</c:v>
              </c:pt>
              <c:pt idx="2130">
                <c:v>41946</c:v>
              </c:pt>
              <c:pt idx="2131">
                <c:v>41947</c:v>
              </c:pt>
              <c:pt idx="2132">
                <c:v>41948</c:v>
              </c:pt>
              <c:pt idx="2133">
                <c:v>41949</c:v>
              </c:pt>
              <c:pt idx="2134">
                <c:v>41950</c:v>
              </c:pt>
              <c:pt idx="2135">
                <c:v>41953</c:v>
              </c:pt>
              <c:pt idx="2136">
                <c:v>41954</c:v>
              </c:pt>
              <c:pt idx="2137">
                <c:v>41955</c:v>
              </c:pt>
              <c:pt idx="2138">
                <c:v>41956</c:v>
              </c:pt>
              <c:pt idx="2139">
                <c:v>41957</c:v>
              </c:pt>
              <c:pt idx="2140">
                <c:v>41960</c:v>
              </c:pt>
              <c:pt idx="2141">
                <c:v>41961</c:v>
              </c:pt>
              <c:pt idx="2142">
                <c:v>41962</c:v>
              </c:pt>
              <c:pt idx="2143">
                <c:v>41963</c:v>
              </c:pt>
              <c:pt idx="2144">
                <c:v>41964</c:v>
              </c:pt>
              <c:pt idx="2145">
                <c:v>41967</c:v>
              </c:pt>
              <c:pt idx="2146">
                <c:v>41968</c:v>
              </c:pt>
              <c:pt idx="2147">
                <c:v>41969</c:v>
              </c:pt>
              <c:pt idx="2148">
                <c:v>41970</c:v>
              </c:pt>
              <c:pt idx="2149">
                <c:v>41971</c:v>
              </c:pt>
              <c:pt idx="2150">
                <c:v>41974</c:v>
              </c:pt>
              <c:pt idx="2151">
                <c:v>41975</c:v>
              </c:pt>
              <c:pt idx="2152">
                <c:v>41976</c:v>
              </c:pt>
              <c:pt idx="2153">
                <c:v>41977</c:v>
              </c:pt>
              <c:pt idx="2154">
                <c:v>41978</c:v>
              </c:pt>
              <c:pt idx="2155">
                <c:v>41981</c:v>
              </c:pt>
              <c:pt idx="2156">
                <c:v>41982</c:v>
              </c:pt>
              <c:pt idx="2157">
                <c:v>41983</c:v>
              </c:pt>
              <c:pt idx="2158">
                <c:v>41984</c:v>
              </c:pt>
              <c:pt idx="2159">
                <c:v>41985</c:v>
              </c:pt>
              <c:pt idx="2160">
                <c:v>41988</c:v>
              </c:pt>
              <c:pt idx="2161">
                <c:v>41989</c:v>
              </c:pt>
              <c:pt idx="2162">
                <c:v>41990</c:v>
              </c:pt>
              <c:pt idx="2163">
                <c:v>41991</c:v>
              </c:pt>
              <c:pt idx="2164">
                <c:v>41992</c:v>
              </c:pt>
              <c:pt idx="2165">
                <c:v>41995</c:v>
              </c:pt>
              <c:pt idx="2166">
                <c:v>41996</c:v>
              </c:pt>
              <c:pt idx="2167">
                <c:v>41997</c:v>
              </c:pt>
              <c:pt idx="2168">
                <c:v>42002</c:v>
              </c:pt>
              <c:pt idx="2169">
                <c:v>42003</c:v>
              </c:pt>
              <c:pt idx="2170">
                <c:v>42004</c:v>
              </c:pt>
              <c:pt idx="2171">
                <c:v>42006</c:v>
              </c:pt>
              <c:pt idx="2172">
                <c:v>42009</c:v>
              </c:pt>
              <c:pt idx="2173">
                <c:v>42010</c:v>
              </c:pt>
              <c:pt idx="2174">
                <c:v>42011</c:v>
              </c:pt>
              <c:pt idx="2175">
                <c:v>42012</c:v>
              </c:pt>
              <c:pt idx="2176">
                <c:v>42013</c:v>
              </c:pt>
              <c:pt idx="2177">
                <c:v>42016</c:v>
              </c:pt>
              <c:pt idx="2178">
                <c:v>42017</c:v>
              </c:pt>
              <c:pt idx="2179">
                <c:v>42018</c:v>
              </c:pt>
              <c:pt idx="2180">
                <c:v>42019</c:v>
              </c:pt>
              <c:pt idx="2181">
                <c:v>42020</c:v>
              </c:pt>
              <c:pt idx="2182">
                <c:v>42023</c:v>
              </c:pt>
              <c:pt idx="2183">
                <c:v>42024</c:v>
              </c:pt>
              <c:pt idx="2184">
                <c:v>42025</c:v>
              </c:pt>
              <c:pt idx="2185">
                <c:v>42026</c:v>
              </c:pt>
              <c:pt idx="2186">
                <c:v>42027</c:v>
              </c:pt>
              <c:pt idx="2187">
                <c:v>42031</c:v>
              </c:pt>
              <c:pt idx="2188">
                <c:v>42032</c:v>
              </c:pt>
              <c:pt idx="2189">
                <c:v>42033</c:v>
              </c:pt>
              <c:pt idx="2190">
                <c:v>42034</c:v>
              </c:pt>
              <c:pt idx="2191">
                <c:v>42037</c:v>
              </c:pt>
              <c:pt idx="2192">
                <c:v>42038</c:v>
              </c:pt>
              <c:pt idx="2193">
                <c:v>42039</c:v>
              </c:pt>
              <c:pt idx="2194">
                <c:v>42040</c:v>
              </c:pt>
              <c:pt idx="2195">
                <c:v>42041</c:v>
              </c:pt>
              <c:pt idx="2196">
                <c:v>42044</c:v>
              </c:pt>
              <c:pt idx="2197">
                <c:v>42045</c:v>
              </c:pt>
              <c:pt idx="2198">
                <c:v>42046</c:v>
              </c:pt>
              <c:pt idx="2199">
                <c:v>42047</c:v>
              </c:pt>
              <c:pt idx="2200">
                <c:v>42048</c:v>
              </c:pt>
              <c:pt idx="2201">
                <c:v>42051</c:v>
              </c:pt>
              <c:pt idx="2202">
                <c:v>42052</c:v>
              </c:pt>
              <c:pt idx="2203">
                <c:v>42053</c:v>
              </c:pt>
              <c:pt idx="2204">
                <c:v>42054</c:v>
              </c:pt>
              <c:pt idx="2205">
                <c:v>42055</c:v>
              </c:pt>
              <c:pt idx="2206">
                <c:v>42058</c:v>
              </c:pt>
              <c:pt idx="2207">
                <c:v>42059</c:v>
              </c:pt>
              <c:pt idx="2208">
                <c:v>42060</c:v>
              </c:pt>
              <c:pt idx="2209">
                <c:v>42061</c:v>
              </c:pt>
              <c:pt idx="2210">
                <c:v>42062</c:v>
              </c:pt>
              <c:pt idx="2211">
                <c:v>42065</c:v>
              </c:pt>
              <c:pt idx="2212">
                <c:v>42066</c:v>
              </c:pt>
              <c:pt idx="2213">
                <c:v>42067</c:v>
              </c:pt>
              <c:pt idx="2214">
                <c:v>42068</c:v>
              </c:pt>
              <c:pt idx="2215">
                <c:v>42069</c:v>
              </c:pt>
              <c:pt idx="2216">
                <c:v>42072</c:v>
              </c:pt>
              <c:pt idx="2217">
                <c:v>42073</c:v>
              </c:pt>
              <c:pt idx="2218">
                <c:v>42074</c:v>
              </c:pt>
              <c:pt idx="2219">
                <c:v>42075</c:v>
              </c:pt>
              <c:pt idx="2220">
                <c:v>42076</c:v>
              </c:pt>
              <c:pt idx="2221">
                <c:v>42079</c:v>
              </c:pt>
              <c:pt idx="2222">
                <c:v>42080</c:v>
              </c:pt>
              <c:pt idx="2223">
                <c:v>42081</c:v>
              </c:pt>
              <c:pt idx="2224">
                <c:v>42082</c:v>
              </c:pt>
              <c:pt idx="2225">
                <c:v>42083</c:v>
              </c:pt>
              <c:pt idx="2226">
                <c:v>42086</c:v>
              </c:pt>
              <c:pt idx="2227">
                <c:v>42087</c:v>
              </c:pt>
              <c:pt idx="2228">
                <c:v>42088</c:v>
              </c:pt>
              <c:pt idx="2229">
                <c:v>42089</c:v>
              </c:pt>
              <c:pt idx="2230">
                <c:v>42090</c:v>
              </c:pt>
              <c:pt idx="2231">
                <c:v>42093</c:v>
              </c:pt>
              <c:pt idx="2232">
                <c:v>42094</c:v>
              </c:pt>
              <c:pt idx="2233">
                <c:v>42095</c:v>
              </c:pt>
              <c:pt idx="2234">
                <c:v>42096</c:v>
              </c:pt>
              <c:pt idx="2235">
                <c:v>42101</c:v>
              </c:pt>
              <c:pt idx="2236">
                <c:v>42102</c:v>
              </c:pt>
              <c:pt idx="2237">
                <c:v>42103</c:v>
              </c:pt>
              <c:pt idx="2238">
                <c:v>42104</c:v>
              </c:pt>
              <c:pt idx="2239">
                <c:v>42107</c:v>
              </c:pt>
              <c:pt idx="2240">
                <c:v>42108</c:v>
              </c:pt>
              <c:pt idx="2241">
                <c:v>42109</c:v>
              </c:pt>
              <c:pt idx="2242">
                <c:v>42110</c:v>
              </c:pt>
              <c:pt idx="2243">
                <c:v>42111</c:v>
              </c:pt>
              <c:pt idx="2244">
                <c:v>42114</c:v>
              </c:pt>
              <c:pt idx="2245">
                <c:v>42115</c:v>
              </c:pt>
              <c:pt idx="2246">
                <c:v>42116</c:v>
              </c:pt>
              <c:pt idx="2247">
                <c:v>42117</c:v>
              </c:pt>
              <c:pt idx="2248">
                <c:v>42118</c:v>
              </c:pt>
              <c:pt idx="2249">
                <c:v>42121</c:v>
              </c:pt>
              <c:pt idx="2250">
                <c:v>42122</c:v>
              </c:pt>
              <c:pt idx="2251">
                <c:v>42123</c:v>
              </c:pt>
              <c:pt idx="2252">
                <c:v>42124</c:v>
              </c:pt>
              <c:pt idx="2253">
                <c:v>42125</c:v>
              </c:pt>
              <c:pt idx="2254">
                <c:v>42128</c:v>
              </c:pt>
              <c:pt idx="2255">
                <c:v>42129</c:v>
              </c:pt>
              <c:pt idx="2256">
                <c:v>42130</c:v>
              </c:pt>
              <c:pt idx="2257">
                <c:v>42131</c:v>
              </c:pt>
              <c:pt idx="2258">
                <c:v>42132</c:v>
              </c:pt>
              <c:pt idx="2259">
                <c:v>42135</c:v>
              </c:pt>
              <c:pt idx="2260">
                <c:v>42136</c:v>
              </c:pt>
              <c:pt idx="2261">
                <c:v>42137</c:v>
              </c:pt>
              <c:pt idx="2262">
                <c:v>42138</c:v>
              </c:pt>
              <c:pt idx="2263">
                <c:v>42139</c:v>
              </c:pt>
              <c:pt idx="2264">
                <c:v>42142</c:v>
              </c:pt>
              <c:pt idx="2265">
                <c:v>42143</c:v>
              </c:pt>
              <c:pt idx="2266">
                <c:v>42144</c:v>
              </c:pt>
              <c:pt idx="2267">
                <c:v>42145</c:v>
              </c:pt>
              <c:pt idx="2268">
                <c:v>42146</c:v>
              </c:pt>
              <c:pt idx="2269">
                <c:v>42149</c:v>
              </c:pt>
              <c:pt idx="2270">
                <c:v>42150</c:v>
              </c:pt>
              <c:pt idx="2271">
                <c:v>42151</c:v>
              </c:pt>
              <c:pt idx="2272">
                <c:v>42152</c:v>
              </c:pt>
              <c:pt idx="2273">
                <c:v>42153</c:v>
              </c:pt>
              <c:pt idx="2274">
                <c:v>42156</c:v>
              </c:pt>
              <c:pt idx="2275">
                <c:v>42157</c:v>
              </c:pt>
              <c:pt idx="2276">
                <c:v>42158</c:v>
              </c:pt>
              <c:pt idx="2277">
                <c:v>42159</c:v>
              </c:pt>
              <c:pt idx="2278">
                <c:v>42160</c:v>
              </c:pt>
              <c:pt idx="2279">
                <c:v>42164</c:v>
              </c:pt>
              <c:pt idx="2280">
                <c:v>42165</c:v>
              </c:pt>
              <c:pt idx="2281">
                <c:v>42166</c:v>
              </c:pt>
              <c:pt idx="2282">
                <c:v>42167</c:v>
              </c:pt>
              <c:pt idx="2283">
                <c:v>42170</c:v>
              </c:pt>
              <c:pt idx="2284">
                <c:v>42171</c:v>
              </c:pt>
              <c:pt idx="2285">
                <c:v>42172</c:v>
              </c:pt>
              <c:pt idx="2286">
                <c:v>42173</c:v>
              </c:pt>
              <c:pt idx="2287">
                <c:v>42174</c:v>
              </c:pt>
              <c:pt idx="2288">
                <c:v>42177</c:v>
              </c:pt>
              <c:pt idx="2289">
                <c:v>42178</c:v>
              </c:pt>
              <c:pt idx="2290">
                <c:v>42179</c:v>
              </c:pt>
              <c:pt idx="2291">
                <c:v>42180</c:v>
              </c:pt>
              <c:pt idx="2292">
                <c:v>42181</c:v>
              </c:pt>
              <c:pt idx="2293">
                <c:v>42184</c:v>
              </c:pt>
              <c:pt idx="2294">
                <c:v>42185</c:v>
              </c:pt>
              <c:pt idx="2295">
                <c:v>42186</c:v>
              </c:pt>
              <c:pt idx="2296">
                <c:v>42187</c:v>
              </c:pt>
              <c:pt idx="2297">
                <c:v>42188</c:v>
              </c:pt>
              <c:pt idx="2298">
                <c:v>42191</c:v>
              </c:pt>
              <c:pt idx="2299">
                <c:v>42192</c:v>
              </c:pt>
              <c:pt idx="2300">
                <c:v>42193</c:v>
              </c:pt>
              <c:pt idx="2301">
                <c:v>42194</c:v>
              </c:pt>
              <c:pt idx="2302">
                <c:v>42195</c:v>
              </c:pt>
              <c:pt idx="2303">
                <c:v>42198</c:v>
              </c:pt>
              <c:pt idx="2304">
                <c:v>42199</c:v>
              </c:pt>
              <c:pt idx="2305">
                <c:v>42200</c:v>
              </c:pt>
              <c:pt idx="2306">
                <c:v>42201</c:v>
              </c:pt>
              <c:pt idx="2307">
                <c:v>42202</c:v>
              </c:pt>
              <c:pt idx="2308">
                <c:v>42205</c:v>
              </c:pt>
              <c:pt idx="2309">
                <c:v>42206</c:v>
              </c:pt>
              <c:pt idx="2310">
                <c:v>42207</c:v>
              </c:pt>
              <c:pt idx="2311">
                <c:v>42208</c:v>
              </c:pt>
              <c:pt idx="2312">
                <c:v>42209</c:v>
              </c:pt>
              <c:pt idx="2313">
                <c:v>42212</c:v>
              </c:pt>
              <c:pt idx="2314">
                <c:v>42213</c:v>
              </c:pt>
              <c:pt idx="2315">
                <c:v>42214</c:v>
              </c:pt>
              <c:pt idx="2316">
                <c:v>42215</c:v>
              </c:pt>
              <c:pt idx="2317">
                <c:v>42216</c:v>
              </c:pt>
              <c:pt idx="2318">
                <c:v>42220</c:v>
              </c:pt>
              <c:pt idx="2319">
                <c:v>42221</c:v>
              </c:pt>
              <c:pt idx="2320">
                <c:v>42222</c:v>
              </c:pt>
              <c:pt idx="2321">
                <c:v>42223</c:v>
              </c:pt>
              <c:pt idx="2322">
                <c:v>42226</c:v>
              </c:pt>
              <c:pt idx="2323">
                <c:v>42227</c:v>
              </c:pt>
              <c:pt idx="2324">
                <c:v>42228</c:v>
              </c:pt>
              <c:pt idx="2325">
                <c:v>42229</c:v>
              </c:pt>
              <c:pt idx="2326">
                <c:v>42230</c:v>
              </c:pt>
              <c:pt idx="2327">
                <c:v>42233</c:v>
              </c:pt>
              <c:pt idx="2328">
                <c:v>42234</c:v>
              </c:pt>
              <c:pt idx="2329">
                <c:v>42235</c:v>
              </c:pt>
              <c:pt idx="2330">
                <c:v>42236</c:v>
              </c:pt>
              <c:pt idx="2331">
                <c:v>42237</c:v>
              </c:pt>
              <c:pt idx="2332">
                <c:v>42240</c:v>
              </c:pt>
              <c:pt idx="2333">
                <c:v>42241</c:v>
              </c:pt>
              <c:pt idx="2334">
                <c:v>42242</c:v>
              </c:pt>
              <c:pt idx="2335">
                <c:v>42243</c:v>
              </c:pt>
              <c:pt idx="2336">
                <c:v>42244</c:v>
              </c:pt>
              <c:pt idx="2337">
                <c:v>42247</c:v>
              </c:pt>
              <c:pt idx="2338">
                <c:v>42248</c:v>
              </c:pt>
              <c:pt idx="2339">
                <c:v>42249</c:v>
              </c:pt>
              <c:pt idx="2340">
                <c:v>42250</c:v>
              </c:pt>
              <c:pt idx="2341">
                <c:v>42251</c:v>
              </c:pt>
              <c:pt idx="2342">
                <c:v>42254</c:v>
              </c:pt>
              <c:pt idx="2343">
                <c:v>42255</c:v>
              </c:pt>
              <c:pt idx="2344">
                <c:v>42256</c:v>
              </c:pt>
              <c:pt idx="2345">
                <c:v>42257</c:v>
              </c:pt>
              <c:pt idx="2346">
                <c:v>42258</c:v>
              </c:pt>
              <c:pt idx="2347">
                <c:v>42261</c:v>
              </c:pt>
              <c:pt idx="2348">
                <c:v>42262</c:v>
              </c:pt>
              <c:pt idx="2349">
                <c:v>42263</c:v>
              </c:pt>
              <c:pt idx="2350">
                <c:v>42264</c:v>
              </c:pt>
              <c:pt idx="2351">
                <c:v>42265</c:v>
              </c:pt>
              <c:pt idx="2352">
                <c:v>42268</c:v>
              </c:pt>
              <c:pt idx="2353">
                <c:v>42269</c:v>
              </c:pt>
              <c:pt idx="2354">
                <c:v>42270</c:v>
              </c:pt>
              <c:pt idx="2355">
                <c:v>42271</c:v>
              </c:pt>
              <c:pt idx="2356">
                <c:v>42272</c:v>
              </c:pt>
              <c:pt idx="2357">
                <c:v>42275</c:v>
              </c:pt>
              <c:pt idx="2358">
                <c:v>42276</c:v>
              </c:pt>
              <c:pt idx="2359">
                <c:v>42277</c:v>
              </c:pt>
              <c:pt idx="2360">
                <c:v>42278</c:v>
              </c:pt>
              <c:pt idx="2361">
                <c:v>42279</c:v>
              </c:pt>
              <c:pt idx="2362">
                <c:v>42283</c:v>
              </c:pt>
              <c:pt idx="2363">
                <c:v>42284</c:v>
              </c:pt>
              <c:pt idx="2364">
                <c:v>42285</c:v>
              </c:pt>
              <c:pt idx="2365">
                <c:v>42286</c:v>
              </c:pt>
              <c:pt idx="2366">
                <c:v>42289</c:v>
              </c:pt>
              <c:pt idx="2367">
                <c:v>42290</c:v>
              </c:pt>
              <c:pt idx="2368">
                <c:v>42291</c:v>
              </c:pt>
              <c:pt idx="2369">
                <c:v>42292</c:v>
              </c:pt>
              <c:pt idx="2370">
                <c:v>42293</c:v>
              </c:pt>
              <c:pt idx="2371">
                <c:v>42296</c:v>
              </c:pt>
              <c:pt idx="2372">
                <c:v>42297</c:v>
              </c:pt>
              <c:pt idx="2373">
                <c:v>42298</c:v>
              </c:pt>
              <c:pt idx="2374">
                <c:v>42299</c:v>
              </c:pt>
              <c:pt idx="2375">
                <c:v>42300</c:v>
              </c:pt>
              <c:pt idx="2376">
                <c:v>42303</c:v>
              </c:pt>
              <c:pt idx="2377">
                <c:v>42304</c:v>
              </c:pt>
              <c:pt idx="2378">
                <c:v>42305</c:v>
              </c:pt>
              <c:pt idx="2379">
                <c:v>42306</c:v>
              </c:pt>
              <c:pt idx="2380">
                <c:v>42307</c:v>
              </c:pt>
              <c:pt idx="2381">
                <c:v>42310</c:v>
              </c:pt>
              <c:pt idx="2382">
                <c:v>42311</c:v>
              </c:pt>
              <c:pt idx="2383">
                <c:v>42312</c:v>
              </c:pt>
              <c:pt idx="2384">
                <c:v>42313</c:v>
              </c:pt>
              <c:pt idx="2385">
                <c:v>42314</c:v>
              </c:pt>
              <c:pt idx="2386">
                <c:v>42317</c:v>
              </c:pt>
              <c:pt idx="2387">
                <c:v>42318</c:v>
              </c:pt>
              <c:pt idx="2388">
                <c:v>42319</c:v>
              </c:pt>
              <c:pt idx="2389">
                <c:v>42320</c:v>
              </c:pt>
              <c:pt idx="2390">
                <c:v>42321</c:v>
              </c:pt>
              <c:pt idx="2391">
                <c:v>42324</c:v>
              </c:pt>
              <c:pt idx="2392">
                <c:v>42325</c:v>
              </c:pt>
              <c:pt idx="2393">
                <c:v>42326</c:v>
              </c:pt>
              <c:pt idx="2394">
                <c:v>42327</c:v>
              </c:pt>
              <c:pt idx="2395">
                <c:v>42328</c:v>
              </c:pt>
              <c:pt idx="2396">
                <c:v>42331</c:v>
              </c:pt>
              <c:pt idx="2397">
                <c:v>42332</c:v>
              </c:pt>
              <c:pt idx="2398">
                <c:v>42333</c:v>
              </c:pt>
              <c:pt idx="2399">
                <c:v>42334</c:v>
              </c:pt>
              <c:pt idx="2400">
                <c:v>42335</c:v>
              </c:pt>
              <c:pt idx="2401">
                <c:v>42338</c:v>
              </c:pt>
              <c:pt idx="2402">
                <c:v>42339</c:v>
              </c:pt>
              <c:pt idx="2403">
                <c:v>42340</c:v>
              </c:pt>
              <c:pt idx="2404">
                <c:v>42341</c:v>
              </c:pt>
              <c:pt idx="2405">
                <c:v>42342</c:v>
              </c:pt>
              <c:pt idx="2406">
                <c:v>42345</c:v>
              </c:pt>
              <c:pt idx="2407">
                <c:v>42346</c:v>
              </c:pt>
              <c:pt idx="2408">
                <c:v>42347</c:v>
              </c:pt>
              <c:pt idx="2409">
                <c:v>42348</c:v>
              </c:pt>
              <c:pt idx="2410">
                <c:v>42349</c:v>
              </c:pt>
              <c:pt idx="2411">
                <c:v>42352</c:v>
              </c:pt>
              <c:pt idx="2412">
                <c:v>42353</c:v>
              </c:pt>
              <c:pt idx="2413">
                <c:v>42354</c:v>
              </c:pt>
              <c:pt idx="2414">
                <c:v>42355</c:v>
              </c:pt>
              <c:pt idx="2415">
                <c:v>42356</c:v>
              </c:pt>
              <c:pt idx="2416">
                <c:v>42359</c:v>
              </c:pt>
              <c:pt idx="2417">
                <c:v>42360</c:v>
              </c:pt>
              <c:pt idx="2418">
                <c:v>42361</c:v>
              </c:pt>
              <c:pt idx="2419">
                <c:v>42362</c:v>
              </c:pt>
              <c:pt idx="2420">
                <c:v>42367</c:v>
              </c:pt>
              <c:pt idx="2421">
                <c:v>42368</c:v>
              </c:pt>
              <c:pt idx="2422">
                <c:v>42369</c:v>
              </c:pt>
              <c:pt idx="2423">
                <c:v>42373</c:v>
              </c:pt>
              <c:pt idx="2424">
                <c:v>42374</c:v>
              </c:pt>
              <c:pt idx="2425">
                <c:v>42375</c:v>
              </c:pt>
              <c:pt idx="2426">
                <c:v>42376</c:v>
              </c:pt>
              <c:pt idx="2427">
                <c:v>42377</c:v>
              </c:pt>
              <c:pt idx="2428">
                <c:v>42380</c:v>
              </c:pt>
              <c:pt idx="2429">
                <c:v>42381</c:v>
              </c:pt>
              <c:pt idx="2430">
                <c:v>42382</c:v>
              </c:pt>
              <c:pt idx="2431">
                <c:v>42383</c:v>
              </c:pt>
              <c:pt idx="2432">
                <c:v>42384</c:v>
              </c:pt>
              <c:pt idx="2433">
                <c:v>42387</c:v>
              </c:pt>
              <c:pt idx="2434">
                <c:v>42388</c:v>
              </c:pt>
              <c:pt idx="2435">
                <c:v>42389</c:v>
              </c:pt>
              <c:pt idx="2436">
                <c:v>42390</c:v>
              </c:pt>
              <c:pt idx="2437">
                <c:v>42391</c:v>
              </c:pt>
              <c:pt idx="2438">
                <c:v>42394</c:v>
              </c:pt>
              <c:pt idx="2439">
                <c:v>42396</c:v>
              </c:pt>
              <c:pt idx="2440">
                <c:v>42397</c:v>
              </c:pt>
              <c:pt idx="2441">
                <c:v>42398</c:v>
              </c:pt>
              <c:pt idx="2442">
                <c:v>42401</c:v>
              </c:pt>
              <c:pt idx="2443">
                <c:v>42402</c:v>
              </c:pt>
              <c:pt idx="2444">
                <c:v>42403</c:v>
              </c:pt>
              <c:pt idx="2445">
                <c:v>42404</c:v>
              </c:pt>
              <c:pt idx="2446">
                <c:v>42405</c:v>
              </c:pt>
              <c:pt idx="2447">
                <c:v>42408</c:v>
              </c:pt>
              <c:pt idx="2448">
                <c:v>42409</c:v>
              </c:pt>
              <c:pt idx="2449">
                <c:v>42410</c:v>
              </c:pt>
              <c:pt idx="2450">
                <c:v>42411</c:v>
              </c:pt>
              <c:pt idx="2451">
                <c:v>42412</c:v>
              </c:pt>
              <c:pt idx="2452">
                <c:v>42415</c:v>
              </c:pt>
              <c:pt idx="2453">
                <c:v>42416</c:v>
              </c:pt>
              <c:pt idx="2454">
                <c:v>42417</c:v>
              </c:pt>
              <c:pt idx="2455">
                <c:v>42418</c:v>
              </c:pt>
              <c:pt idx="2456">
                <c:v>42419</c:v>
              </c:pt>
              <c:pt idx="2457">
                <c:v>42422</c:v>
              </c:pt>
              <c:pt idx="2458">
                <c:v>42423</c:v>
              </c:pt>
              <c:pt idx="2459">
                <c:v>42424</c:v>
              </c:pt>
              <c:pt idx="2460">
                <c:v>42425</c:v>
              </c:pt>
              <c:pt idx="2461">
                <c:v>42426</c:v>
              </c:pt>
              <c:pt idx="2462">
                <c:v>42429</c:v>
              </c:pt>
              <c:pt idx="2463">
                <c:v>42430</c:v>
              </c:pt>
              <c:pt idx="2464">
                <c:v>42431</c:v>
              </c:pt>
              <c:pt idx="2465">
                <c:v>42432</c:v>
              </c:pt>
              <c:pt idx="2466">
                <c:v>42433</c:v>
              </c:pt>
              <c:pt idx="2467">
                <c:v>42436</c:v>
              </c:pt>
              <c:pt idx="2468">
                <c:v>42437</c:v>
              </c:pt>
              <c:pt idx="2469">
                <c:v>42438</c:v>
              </c:pt>
              <c:pt idx="2470">
                <c:v>42439</c:v>
              </c:pt>
              <c:pt idx="2471">
                <c:v>42440</c:v>
              </c:pt>
              <c:pt idx="2472">
                <c:v>42443</c:v>
              </c:pt>
              <c:pt idx="2473">
                <c:v>42444</c:v>
              </c:pt>
              <c:pt idx="2474">
                <c:v>42445</c:v>
              </c:pt>
              <c:pt idx="2475">
                <c:v>42446</c:v>
              </c:pt>
              <c:pt idx="2476">
                <c:v>42447</c:v>
              </c:pt>
              <c:pt idx="2477">
                <c:v>42450</c:v>
              </c:pt>
              <c:pt idx="2478">
                <c:v>42451</c:v>
              </c:pt>
              <c:pt idx="2479">
                <c:v>42452</c:v>
              </c:pt>
              <c:pt idx="2480">
                <c:v>42453</c:v>
              </c:pt>
              <c:pt idx="2481">
                <c:v>42458</c:v>
              </c:pt>
              <c:pt idx="2482">
                <c:v>42459</c:v>
              </c:pt>
              <c:pt idx="2483">
                <c:v>42460</c:v>
              </c:pt>
              <c:pt idx="2484">
                <c:v>42461</c:v>
              </c:pt>
              <c:pt idx="2485">
                <c:v>42464</c:v>
              </c:pt>
              <c:pt idx="2486">
                <c:v>42465</c:v>
              </c:pt>
              <c:pt idx="2487">
                <c:v>42466</c:v>
              </c:pt>
              <c:pt idx="2488">
                <c:v>42467</c:v>
              </c:pt>
              <c:pt idx="2489">
                <c:v>42468</c:v>
              </c:pt>
              <c:pt idx="2490">
                <c:v>42471</c:v>
              </c:pt>
              <c:pt idx="2491">
                <c:v>42472</c:v>
              </c:pt>
              <c:pt idx="2492">
                <c:v>42473</c:v>
              </c:pt>
              <c:pt idx="2493">
                <c:v>42474</c:v>
              </c:pt>
              <c:pt idx="2494">
                <c:v>42475</c:v>
              </c:pt>
              <c:pt idx="2495">
                <c:v>42478</c:v>
              </c:pt>
              <c:pt idx="2496">
                <c:v>42479</c:v>
              </c:pt>
              <c:pt idx="2497">
                <c:v>42480</c:v>
              </c:pt>
              <c:pt idx="2498">
                <c:v>42481</c:v>
              </c:pt>
              <c:pt idx="2499">
                <c:v>42482</c:v>
              </c:pt>
              <c:pt idx="2500">
                <c:v>42486</c:v>
              </c:pt>
              <c:pt idx="2501">
                <c:v>42487</c:v>
              </c:pt>
              <c:pt idx="2502">
                <c:v>42488</c:v>
              </c:pt>
              <c:pt idx="2503">
                <c:v>42489</c:v>
              </c:pt>
              <c:pt idx="2504">
                <c:v>42492</c:v>
              </c:pt>
              <c:pt idx="2505">
                <c:v>42493</c:v>
              </c:pt>
              <c:pt idx="2506">
                <c:v>42494</c:v>
              </c:pt>
              <c:pt idx="2507">
                <c:v>42495</c:v>
              </c:pt>
              <c:pt idx="2508">
                <c:v>42496</c:v>
              </c:pt>
              <c:pt idx="2509">
                <c:v>42499</c:v>
              </c:pt>
              <c:pt idx="2510">
                <c:v>42500</c:v>
              </c:pt>
              <c:pt idx="2511">
                <c:v>42501</c:v>
              </c:pt>
              <c:pt idx="2512">
                <c:v>42502</c:v>
              </c:pt>
              <c:pt idx="2513">
                <c:v>42503</c:v>
              </c:pt>
              <c:pt idx="2514">
                <c:v>42506</c:v>
              </c:pt>
              <c:pt idx="2515">
                <c:v>42507</c:v>
              </c:pt>
              <c:pt idx="2516">
                <c:v>42508</c:v>
              </c:pt>
              <c:pt idx="2517">
                <c:v>42509</c:v>
              </c:pt>
              <c:pt idx="2518">
                <c:v>42510</c:v>
              </c:pt>
              <c:pt idx="2519">
                <c:v>42513</c:v>
              </c:pt>
              <c:pt idx="2520">
                <c:v>42514</c:v>
              </c:pt>
              <c:pt idx="2521">
                <c:v>42515</c:v>
              </c:pt>
              <c:pt idx="2522">
                <c:v>42516</c:v>
              </c:pt>
              <c:pt idx="2523">
                <c:v>42517</c:v>
              </c:pt>
              <c:pt idx="2524">
                <c:v>42520</c:v>
              </c:pt>
              <c:pt idx="2525">
                <c:v>42521</c:v>
              </c:pt>
              <c:pt idx="2526">
                <c:v>42522</c:v>
              </c:pt>
              <c:pt idx="2527">
                <c:v>42523</c:v>
              </c:pt>
              <c:pt idx="2528">
                <c:v>42524</c:v>
              </c:pt>
              <c:pt idx="2529">
                <c:v>42527</c:v>
              </c:pt>
              <c:pt idx="2530">
                <c:v>42528</c:v>
              </c:pt>
              <c:pt idx="2531">
                <c:v>42529</c:v>
              </c:pt>
              <c:pt idx="2532">
                <c:v>42530</c:v>
              </c:pt>
              <c:pt idx="2533">
                <c:v>42531</c:v>
              </c:pt>
              <c:pt idx="2534">
                <c:v>42535</c:v>
              </c:pt>
              <c:pt idx="2535">
                <c:v>42536</c:v>
              </c:pt>
              <c:pt idx="2536">
                <c:v>42537</c:v>
              </c:pt>
              <c:pt idx="2537">
                <c:v>42538</c:v>
              </c:pt>
              <c:pt idx="2538">
                <c:v>42541</c:v>
              </c:pt>
              <c:pt idx="2539">
                <c:v>42542</c:v>
              </c:pt>
              <c:pt idx="2540">
                <c:v>42543</c:v>
              </c:pt>
              <c:pt idx="2541">
                <c:v>42544</c:v>
              </c:pt>
              <c:pt idx="2542">
                <c:v>42545</c:v>
              </c:pt>
              <c:pt idx="2543">
                <c:v>42548</c:v>
              </c:pt>
              <c:pt idx="2544">
                <c:v>42549</c:v>
              </c:pt>
              <c:pt idx="2545">
                <c:v>42550</c:v>
              </c:pt>
              <c:pt idx="2546">
                <c:v>42551</c:v>
              </c:pt>
              <c:pt idx="2547">
                <c:v>42552</c:v>
              </c:pt>
              <c:pt idx="2548">
                <c:v>42555</c:v>
              </c:pt>
              <c:pt idx="2549">
                <c:v>42556</c:v>
              </c:pt>
              <c:pt idx="2550">
                <c:v>42557</c:v>
              </c:pt>
              <c:pt idx="2551">
                <c:v>42558</c:v>
              </c:pt>
              <c:pt idx="2552">
                <c:v>42559</c:v>
              </c:pt>
              <c:pt idx="2553">
                <c:v>42562</c:v>
              </c:pt>
              <c:pt idx="2554">
                <c:v>42563</c:v>
              </c:pt>
              <c:pt idx="2555">
                <c:v>42564</c:v>
              </c:pt>
              <c:pt idx="2556">
                <c:v>42565</c:v>
              </c:pt>
              <c:pt idx="2557">
                <c:v>42566</c:v>
              </c:pt>
              <c:pt idx="2558">
                <c:v>42569</c:v>
              </c:pt>
              <c:pt idx="2559">
                <c:v>42570</c:v>
              </c:pt>
              <c:pt idx="2560">
                <c:v>42571</c:v>
              </c:pt>
              <c:pt idx="2561">
                <c:v>42572</c:v>
              </c:pt>
              <c:pt idx="2562">
                <c:v>42573</c:v>
              </c:pt>
              <c:pt idx="2563">
                <c:v>42576</c:v>
              </c:pt>
              <c:pt idx="2564">
                <c:v>42577</c:v>
              </c:pt>
              <c:pt idx="2565">
                <c:v>42578</c:v>
              </c:pt>
              <c:pt idx="2566">
                <c:v>42579</c:v>
              </c:pt>
              <c:pt idx="2567">
                <c:v>42580</c:v>
              </c:pt>
              <c:pt idx="2568">
                <c:v>42583</c:v>
              </c:pt>
              <c:pt idx="2569">
                <c:v>42584</c:v>
              </c:pt>
              <c:pt idx="2570">
                <c:v>42585</c:v>
              </c:pt>
              <c:pt idx="2571">
                <c:v>42586</c:v>
              </c:pt>
              <c:pt idx="2572">
                <c:v>42587</c:v>
              </c:pt>
              <c:pt idx="2573">
                <c:v>42590</c:v>
              </c:pt>
              <c:pt idx="2574">
                <c:v>42591</c:v>
              </c:pt>
              <c:pt idx="2575">
                <c:v>42592</c:v>
              </c:pt>
              <c:pt idx="2576">
                <c:v>42593</c:v>
              </c:pt>
              <c:pt idx="2577">
                <c:v>42594</c:v>
              </c:pt>
              <c:pt idx="2578">
                <c:v>42597</c:v>
              </c:pt>
              <c:pt idx="2579">
                <c:v>42598</c:v>
              </c:pt>
              <c:pt idx="2580">
                <c:v>42599</c:v>
              </c:pt>
              <c:pt idx="2581">
                <c:v>42600</c:v>
              </c:pt>
              <c:pt idx="2582">
                <c:v>42601</c:v>
              </c:pt>
              <c:pt idx="2583">
                <c:v>42604</c:v>
              </c:pt>
              <c:pt idx="2584">
                <c:v>42605</c:v>
              </c:pt>
              <c:pt idx="2585">
                <c:v>42606</c:v>
              </c:pt>
              <c:pt idx="2586">
                <c:v>42607</c:v>
              </c:pt>
              <c:pt idx="2587">
                <c:v>42608</c:v>
              </c:pt>
              <c:pt idx="2588">
                <c:v>42611</c:v>
              </c:pt>
              <c:pt idx="2589">
                <c:v>42612</c:v>
              </c:pt>
              <c:pt idx="2590">
                <c:v>42613</c:v>
              </c:pt>
              <c:pt idx="2591">
                <c:v>42614</c:v>
              </c:pt>
              <c:pt idx="2592">
                <c:v>42615</c:v>
              </c:pt>
              <c:pt idx="2593">
                <c:v>42618</c:v>
              </c:pt>
              <c:pt idx="2594">
                <c:v>42619</c:v>
              </c:pt>
              <c:pt idx="2595">
                <c:v>42620</c:v>
              </c:pt>
              <c:pt idx="2596">
                <c:v>42621</c:v>
              </c:pt>
              <c:pt idx="2597">
                <c:v>42622</c:v>
              </c:pt>
              <c:pt idx="2598">
                <c:v>42625</c:v>
              </c:pt>
              <c:pt idx="2599">
                <c:v>42626</c:v>
              </c:pt>
              <c:pt idx="2600">
                <c:v>42627</c:v>
              </c:pt>
              <c:pt idx="2601">
                <c:v>42628</c:v>
              </c:pt>
              <c:pt idx="2602">
                <c:v>42629</c:v>
              </c:pt>
              <c:pt idx="2603">
                <c:v>42632</c:v>
              </c:pt>
              <c:pt idx="2604">
                <c:v>42633</c:v>
              </c:pt>
              <c:pt idx="2605">
                <c:v>42634</c:v>
              </c:pt>
              <c:pt idx="2606">
                <c:v>42635</c:v>
              </c:pt>
              <c:pt idx="2607">
                <c:v>42636</c:v>
              </c:pt>
              <c:pt idx="2608">
                <c:v>42639</c:v>
              </c:pt>
              <c:pt idx="2609">
                <c:v>42640</c:v>
              </c:pt>
              <c:pt idx="2610">
                <c:v>42641</c:v>
              </c:pt>
              <c:pt idx="2611">
                <c:v>42642</c:v>
              </c:pt>
              <c:pt idx="2612">
                <c:v>42643</c:v>
              </c:pt>
              <c:pt idx="2613">
                <c:v>42646</c:v>
              </c:pt>
              <c:pt idx="2614">
                <c:v>42647</c:v>
              </c:pt>
              <c:pt idx="2615">
                <c:v>42648</c:v>
              </c:pt>
              <c:pt idx="2616">
                <c:v>42649</c:v>
              </c:pt>
              <c:pt idx="2617">
                <c:v>42650</c:v>
              </c:pt>
              <c:pt idx="2618">
                <c:v>42653</c:v>
              </c:pt>
              <c:pt idx="2619">
                <c:v>42654</c:v>
              </c:pt>
              <c:pt idx="2620">
                <c:v>42655</c:v>
              </c:pt>
              <c:pt idx="2621">
                <c:v>42656</c:v>
              </c:pt>
              <c:pt idx="2622">
                <c:v>42657</c:v>
              </c:pt>
              <c:pt idx="2623">
                <c:v>42660</c:v>
              </c:pt>
              <c:pt idx="2624">
                <c:v>42661</c:v>
              </c:pt>
              <c:pt idx="2625">
                <c:v>42662</c:v>
              </c:pt>
              <c:pt idx="2626">
                <c:v>42663</c:v>
              </c:pt>
              <c:pt idx="2627">
                <c:v>42664</c:v>
              </c:pt>
              <c:pt idx="2628">
                <c:v>42667</c:v>
              </c:pt>
              <c:pt idx="2629">
                <c:v>42668</c:v>
              </c:pt>
              <c:pt idx="2630">
                <c:v>42669</c:v>
              </c:pt>
              <c:pt idx="2631">
                <c:v>42670</c:v>
              </c:pt>
              <c:pt idx="2632">
                <c:v>42671</c:v>
              </c:pt>
              <c:pt idx="2633">
                <c:v>42674</c:v>
              </c:pt>
              <c:pt idx="2634">
                <c:v>42675</c:v>
              </c:pt>
              <c:pt idx="2635">
                <c:v>42676</c:v>
              </c:pt>
              <c:pt idx="2636">
                <c:v>42677</c:v>
              </c:pt>
              <c:pt idx="2637">
                <c:v>42678</c:v>
              </c:pt>
              <c:pt idx="2638">
                <c:v>42681</c:v>
              </c:pt>
              <c:pt idx="2639">
                <c:v>42682</c:v>
              </c:pt>
              <c:pt idx="2640">
                <c:v>42683</c:v>
              </c:pt>
              <c:pt idx="2641">
                <c:v>42684</c:v>
              </c:pt>
              <c:pt idx="2642">
                <c:v>42685</c:v>
              </c:pt>
              <c:pt idx="2643">
                <c:v>42688</c:v>
              </c:pt>
              <c:pt idx="2644">
                <c:v>42689</c:v>
              </c:pt>
              <c:pt idx="2645">
                <c:v>42690</c:v>
              </c:pt>
              <c:pt idx="2646">
                <c:v>42691</c:v>
              </c:pt>
              <c:pt idx="2647">
                <c:v>42692</c:v>
              </c:pt>
              <c:pt idx="2648">
                <c:v>42695</c:v>
              </c:pt>
              <c:pt idx="2649">
                <c:v>42696</c:v>
              </c:pt>
              <c:pt idx="2650">
                <c:v>42697</c:v>
              </c:pt>
              <c:pt idx="2651">
                <c:v>42698</c:v>
              </c:pt>
              <c:pt idx="2652">
                <c:v>42699</c:v>
              </c:pt>
              <c:pt idx="2653">
                <c:v>42702</c:v>
              </c:pt>
              <c:pt idx="2654">
                <c:v>42703</c:v>
              </c:pt>
              <c:pt idx="2655">
                <c:v>42704</c:v>
              </c:pt>
              <c:pt idx="2656">
                <c:v>42705</c:v>
              </c:pt>
              <c:pt idx="2657">
                <c:v>42706</c:v>
              </c:pt>
              <c:pt idx="2658">
                <c:v>42709</c:v>
              </c:pt>
              <c:pt idx="2659">
                <c:v>42710</c:v>
              </c:pt>
              <c:pt idx="2660">
                <c:v>42711</c:v>
              </c:pt>
              <c:pt idx="2661">
                <c:v>42712</c:v>
              </c:pt>
              <c:pt idx="2662">
                <c:v>42713</c:v>
              </c:pt>
              <c:pt idx="2663">
                <c:v>42716</c:v>
              </c:pt>
              <c:pt idx="2664">
                <c:v>42717</c:v>
              </c:pt>
              <c:pt idx="2665">
                <c:v>42718</c:v>
              </c:pt>
              <c:pt idx="2666">
                <c:v>42719</c:v>
              </c:pt>
              <c:pt idx="2667">
                <c:v>42720</c:v>
              </c:pt>
              <c:pt idx="2668">
                <c:v>42723</c:v>
              </c:pt>
              <c:pt idx="2669">
                <c:v>42724</c:v>
              </c:pt>
              <c:pt idx="2670">
                <c:v>42725</c:v>
              </c:pt>
              <c:pt idx="2671">
                <c:v>42726</c:v>
              </c:pt>
              <c:pt idx="2672">
                <c:v>42727</c:v>
              </c:pt>
              <c:pt idx="2673">
                <c:v>42732</c:v>
              </c:pt>
              <c:pt idx="2674">
                <c:v>42733</c:v>
              </c:pt>
              <c:pt idx="2675">
                <c:v>42734</c:v>
              </c:pt>
              <c:pt idx="2676">
                <c:v>42738</c:v>
              </c:pt>
              <c:pt idx="2677">
                <c:v>42739</c:v>
              </c:pt>
              <c:pt idx="2678">
                <c:v>42740</c:v>
              </c:pt>
              <c:pt idx="2679">
                <c:v>42741</c:v>
              </c:pt>
              <c:pt idx="2680">
                <c:v>42744</c:v>
              </c:pt>
              <c:pt idx="2681">
                <c:v>42745</c:v>
              </c:pt>
              <c:pt idx="2682">
                <c:v>42746</c:v>
              </c:pt>
              <c:pt idx="2683">
                <c:v>42747</c:v>
              </c:pt>
              <c:pt idx="2684">
                <c:v>42748</c:v>
              </c:pt>
              <c:pt idx="2685">
                <c:v>42751</c:v>
              </c:pt>
              <c:pt idx="2686">
                <c:v>42752</c:v>
              </c:pt>
              <c:pt idx="2687">
                <c:v>42753</c:v>
              </c:pt>
              <c:pt idx="2688">
                <c:v>42754</c:v>
              </c:pt>
              <c:pt idx="2689">
                <c:v>42755</c:v>
              </c:pt>
              <c:pt idx="2690">
                <c:v>42758</c:v>
              </c:pt>
              <c:pt idx="2691">
                <c:v>42759</c:v>
              </c:pt>
              <c:pt idx="2692">
                <c:v>42760</c:v>
              </c:pt>
              <c:pt idx="2693">
                <c:v>42762</c:v>
              </c:pt>
              <c:pt idx="2694">
                <c:v>42765</c:v>
              </c:pt>
              <c:pt idx="2695">
                <c:v>42766</c:v>
              </c:pt>
              <c:pt idx="2696">
                <c:v>42767</c:v>
              </c:pt>
              <c:pt idx="2697">
                <c:v>42768</c:v>
              </c:pt>
              <c:pt idx="2698">
                <c:v>42769</c:v>
              </c:pt>
              <c:pt idx="2699">
                <c:v>42772</c:v>
              </c:pt>
              <c:pt idx="2700">
                <c:v>42773</c:v>
              </c:pt>
              <c:pt idx="2701">
                <c:v>42774</c:v>
              </c:pt>
              <c:pt idx="2702">
                <c:v>42775</c:v>
              </c:pt>
              <c:pt idx="2703">
                <c:v>42776</c:v>
              </c:pt>
              <c:pt idx="2704">
                <c:v>42779</c:v>
              </c:pt>
              <c:pt idx="2705">
                <c:v>42780</c:v>
              </c:pt>
              <c:pt idx="2706">
                <c:v>42781</c:v>
              </c:pt>
              <c:pt idx="2707">
                <c:v>42782</c:v>
              </c:pt>
              <c:pt idx="2708">
                <c:v>42783</c:v>
              </c:pt>
              <c:pt idx="2709">
                <c:v>42786</c:v>
              </c:pt>
              <c:pt idx="2710">
                <c:v>42787</c:v>
              </c:pt>
              <c:pt idx="2711">
                <c:v>42788</c:v>
              </c:pt>
              <c:pt idx="2712">
                <c:v>42789</c:v>
              </c:pt>
              <c:pt idx="2713">
                <c:v>42790</c:v>
              </c:pt>
              <c:pt idx="2714">
                <c:v>42793</c:v>
              </c:pt>
              <c:pt idx="2715">
                <c:v>42794</c:v>
              </c:pt>
              <c:pt idx="2716">
                <c:v>42795</c:v>
              </c:pt>
              <c:pt idx="2717">
                <c:v>42796</c:v>
              </c:pt>
              <c:pt idx="2718">
                <c:v>42797</c:v>
              </c:pt>
              <c:pt idx="2719">
                <c:v>42800</c:v>
              </c:pt>
              <c:pt idx="2720">
                <c:v>42801</c:v>
              </c:pt>
              <c:pt idx="2721">
                <c:v>42802</c:v>
              </c:pt>
              <c:pt idx="2722">
                <c:v>42803</c:v>
              </c:pt>
              <c:pt idx="2723">
                <c:v>42804</c:v>
              </c:pt>
              <c:pt idx="2724">
                <c:v>42807</c:v>
              </c:pt>
              <c:pt idx="2725">
                <c:v>42808</c:v>
              </c:pt>
              <c:pt idx="2726">
                <c:v>42809</c:v>
              </c:pt>
              <c:pt idx="2727">
                <c:v>42810</c:v>
              </c:pt>
              <c:pt idx="2728">
                <c:v>42811</c:v>
              </c:pt>
              <c:pt idx="2729">
                <c:v>42814</c:v>
              </c:pt>
              <c:pt idx="2730">
                <c:v>42815</c:v>
              </c:pt>
              <c:pt idx="2731">
                <c:v>42816</c:v>
              </c:pt>
              <c:pt idx="2732">
                <c:v>42817</c:v>
              </c:pt>
              <c:pt idx="2733">
                <c:v>42818</c:v>
              </c:pt>
              <c:pt idx="2734">
                <c:v>42821</c:v>
              </c:pt>
              <c:pt idx="2735">
                <c:v>42822</c:v>
              </c:pt>
              <c:pt idx="2736">
                <c:v>42823</c:v>
              </c:pt>
              <c:pt idx="2737">
                <c:v>42824</c:v>
              </c:pt>
              <c:pt idx="2738">
                <c:v>42825</c:v>
              </c:pt>
              <c:pt idx="2739">
                <c:v>42828</c:v>
              </c:pt>
              <c:pt idx="2740">
                <c:v>42829</c:v>
              </c:pt>
              <c:pt idx="2741">
                <c:v>42830</c:v>
              </c:pt>
              <c:pt idx="2742">
                <c:v>42831</c:v>
              </c:pt>
              <c:pt idx="2743">
                <c:v>42832</c:v>
              </c:pt>
              <c:pt idx="2744">
                <c:v>42835</c:v>
              </c:pt>
              <c:pt idx="2745">
                <c:v>42836</c:v>
              </c:pt>
              <c:pt idx="2746">
                <c:v>42837</c:v>
              </c:pt>
              <c:pt idx="2747">
                <c:v>42838</c:v>
              </c:pt>
              <c:pt idx="2748">
                <c:v>42843</c:v>
              </c:pt>
              <c:pt idx="2749">
                <c:v>42844</c:v>
              </c:pt>
              <c:pt idx="2750">
                <c:v>42845</c:v>
              </c:pt>
              <c:pt idx="2751">
                <c:v>42846</c:v>
              </c:pt>
              <c:pt idx="2752">
                <c:v>42849</c:v>
              </c:pt>
              <c:pt idx="2753">
                <c:v>42851</c:v>
              </c:pt>
              <c:pt idx="2754">
                <c:v>42852</c:v>
              </c:pt>
              <c:pt idx="2755">
                <c:v>42853</c:v>
              </c:pt>
              <c:pt idx="2756">
                <c:v>42856</c:v>
              </c:pt>
              <c:pt idx="2757">
                <c:v>42857</c:v>
              </c:pt>
              <c:pt idx="2758">
                <c:v>42858</c:v>
              </c:pt>
              <c:pt idx="2759">
                <c:v>42859</c:v>
              </c:pt>
              <c:pt idx="2760">
                <c:v>42860</c:v>
              </c:pt>
              <c:pt idx="2761">
                <c:v>42863</c:v>
              </c:pt>
              <c:pt idx="2762">
                <c:v>42864</c:v>
              </c:pt>
              <c:pt idx="2763">
                <c:v>42865</c:v>
              </c:pt>
              <c:pt idx="2764">
                <c:v>42866</c:v>
              </c:pt>
              <c:pt idx="2765">
                <c:v>42867</c:v>
              </c:pt>
              <c:pt idx="2766">
                <c:v>42870</c:v>
              </c:pt>
              <c:pt idx="2767">
                <c:v>42871</c:v>
              </c:pt>
              <c:pt idx="2768">
                <c:v>42872</c:v>
              </c:pt>
              <c:pt idx="2769">
                <c:v>42873</c:v>
              </c:pt>
              <c:pt idx="2770">
                <c:v>42874</c:v>
              </c:pt>
              <c:pt idx="2771">
                <c:v>42877</c:v>
              </c:pt>
              <c:pt idx="2772">
                <c:v>42878</c:v>
              </c:pt>
              <c:pt idx="2773">
                <c:v>42879</c:v>
              </c:pt>
              <c:pt idx="2774">
                <c:v>42880</c:v>
              </c:pt>
              <c:pt idx="2775">
                <c:v>42881</c:v>
              </c:pt>
              <c:pt idx="2776">
                <c:v>42884</c:v>
              </c:pt>
              <c:pt idx="2777">
                <c:v>42885</c:v>
              </c:pt>
              <c:pt idx="2778">
                <c:v>42886</c:v>
              </c:pt>
              <c:pt idx="2779">
                <c:v>42887</c:v>
              </c:pt>
              <c:pt idx="2780">
                <c:v>42888</c:v>
              </c:pt>
              <c:pt idx="2781">
                <c:v>42891</c:v>
              </c:pt>
              <c:pt idx="2782">
                <c:v>42892</c:v>
              </c:pt>
              <c:pt idx="2783">
                <c:v>42893</c:v>
              </c:pt>
              <c:pt idx="2784">
                <c:v>42894</c:v>
              </c:pt>
              <c:pt idx="2785">
                <c:v>42895</c:v>
              </c:pt>
              <c:pt idx="2786">
                <c:v>42899</c:v>
              </c:pt>
              <c:pt idx="2787">
                <c:v>42900</c:v>
              </c:pt>
              <c:pt idx="2788">
                <c:v>42901</c:v>
              </c:pt>
              <c:pt idx="2789">
                <c:v>42902</c:v>
              </c:pt>
              <c:pt idx="2790">
                <c:v>42905</c:v>
              </c:pt>
              <c:pt idx="2791">
                <c:v>42906</c:v>
              </c:pt>
              <c:pt idx="2792">
                <c:v>42907</c:v>
              </c:pt>
              <c:pt idx="2793">
                <c:v>42908</c:v>
              </c:pt>
              <c:pt idx="2794">
                <c:v>42909</c:v>
              </c:pt>
              <c:pt idx="2795">
                <c:v>42912</c:v>
              </c:pt>
              <c:pt idx="2796">
                <c:v>42913</c:v>
              </c:pt>
              <c:pt idx="2797">
                <c:v>42914</c:v>
              </c:pt>
              <c:pt idx="2798">
                <c:v>42915</c:v>
              </c:pt>
              <c:pt idx="2799">
                <c:v>42916</c:v>
              </c:pt>
              <c:pt idx="2800">
                <c:v>42919</c:v>
              </c:pt>
              <c:pt idx="2801">
                <c:v>42920</c:v>
              </c:pt>
              <c:pt idx="2802">
                <c:v>42921</c:v>
              </c:pt>
              <c:pt idx="2803">
                <c:v>42922</c:v>
              </c:pt>
              <c:pt idx="2804">
                <c:v>42923</c:v>
              </c:pt>
              <c:pt idx="2805">
                <c:v>42926</c:v>
              </c:pt>
              <c:pt idx="2806">
                <c:v>42927</c:v>
              </c:pt>
              <c:pt idx="2807">
                <c:v>42928</c:v>
              </c:pt>
              <c:pt idx="2808">
                <c:v>42929</c:v>
              </c:pt>
              <c:pt idx="2809">
                <c:v>42930</c:v>
              </c:pt>
              <c:pt idx="2810">
                <c:v>42933</c:v>
              </c:pt>
              <c:pt idx="2811">
                <c:v>42934</c:v>
              </c:pt>
              <c:pt idx="2812">
                <c:v>42935</c:v>
              </c:pt>
              <c:pt idx="2813">
                <c:v>42936</c:v>
              </c:pt>
              <c:pt idx="2814">
                <c:v>42937</c:v>
              </c:pt>
              <c:pt idx="2815">
                <c:v>42940</c:v>
              </c:pt>
              <c:pt idx="2816">
                <c:v>42941</c:v>
              </c:pt>
              <c:pt idx="2817">
                <c:v>42942</c:v>
              </c:pt>
              <c:pt idx="2818">
                <c:v>42943</c:v>
              </c:pt>
              <c:pt idx="2819">
                <c:v>42944</c:v>
              </c:pt>
              <c:pt idx="2820">
                <c:v>42947</c:v>
              </c:pt>
              <c:pt idx="2821">
                <c:v>42948</c:v>
              </c:pt>
              <c:pt idx="2822">
                <c:v>42949</c:v>
              </c:pt>
              <c:pt idx="2823">
                <c:v>42950</c:v>
              </c:pt>
              <c:pt idx="2824">
                <c:v>42951</c:v>
              </c:pt>
              <c:pt idx="2825">
                <c:v>42954</c:v>
              </c:pt>
              <c:pt idx="2826">
                <c:v>42955</c:v>
              </c:pt>
              <c:pt idx="2827">
                <c:v>42956</c:v>
              </c:pt>
              <c:pt idx="2828">
                <c:v>42957</c:v>
              </c:pt>
              <c:pt idx="2829">
                <c:v>42958</c:v>
              </c:pt>
              <c:pt idx="2830">
                <c:v>42961</c:v>
              </c:pt>
              <c:pt idx="2831">
                <c:v>42962</c:v>
              </c:pt>
              <c:pt idx="2832">
                <c:v>42963</c:v>
              </c:pt>
              <c:pt idx="2833">
                <c:v>42964</c:v>
              </c:pt>
              <c:pt idx="2834">
                <c:v>42965</c:v>
              </c:pt>
              <c:pt idx="2835">
                <c:v>42968</c:v>
              </c:pt>
              <c:pt idx="2836">
                <c:v>42969</c:v>
              </c:pt>
              <c:pt idx="2837">
                <c:v>42970</c:v>
              </c:pt>
              <c:pt idx="2838">
                <c:v>42971</c:v>
              </c:pt>
              <c:pt idx="2839">
                <c:v>42972</c:v>
              </c:pt>
              <c:pt idx="2840">
                <c:v>42975</c:v>
              </c:pt>
              <c:pt idx="2841">
                <c:v>42976</c:v>
              </c:pt>
              <c:pt idx="2842">
                <c:v>42977</c:v>
              </c:pt>
              <c:pt idx="2843">
                <c:v>42978</c:v>
              </c:pt>
              <c:pt idx="2844">
                <c:v>42979</c:v>
              </c:pt>
              <c:pt idx="2845">
                <c:v>42982</c:v>
              </c:pt>
              <c:pt idx="2846">
                <c:v>42983</c:v>
              </c:pt>
              <c:pt idx="2847">
                <c:v>42984</c:v>
              </c:pt>
              <c:pt idx="2848">
                <c:v>42985</c:v>
              </c:pt>
              <c:pt idx="2849">
                <c:v>42986</c:v>
              </c:pt>
              <c:pt idx="2850">
                <c:v>42989</c:v>
              </c:pt>
              <c:pt idx="2851">
                <c:v>42990</c:v>
              </c:pt>
              <c:pt idx="2852">
                <c:v>42991</c:v>
              </c:pt>
              <c:pt idx="2853">
                <c:v>42992</c:v>
              </c:pt>
              <c:pt idx="2854">
                <c:v>42993</c:v>
              </c:pt>
              <c:pt idx="2855">
                <c:v>42996</c:v>
              </c:pt>
              <c:pt idx="2856">
                <c:v>42997</c:v>
              </c:pt>
              <c:pt idx="2857">
                <c:v>42998</c:v>
              </c:pt>
              <c:pt idx="2858">
                <c:v>42999</c:v>
              </c:pt>
              <c:pt idx="2859">
                <c:v>43000</c:v>
              </c:pt>
              <c:pt idx="2860">
                <c:v>43003</c:v>
              </c:pt>
              <c:pt idx="2861">
                <c:v>43004</c:v>
              </c:pt>
              <c:pt idx="2862">
                <c:v>43005</c:v>
              </c:pt>
              <c:pt idx="2863">
                <c:v>43006</c:v>
              </c:pt>
              <c:pt idx="2864">
                <c:v>43007</c:v>
              </c:pt>
              <c:pt idx="2865">
                <c:v>43010</c:v>
              </c:pt>
              <c:pt idx="2866">
                <c:v>43011</c:v>
              </c:pt>
              <c:pt idx="2867">
                <c:v>43012</c:v>
              </c:pt>
              <c:pt idx="2868">
                <c:v>43013</c:v>
              </c:pt>
              <c:pt idx="2869">
                <c:v>43014</c:v>
              </c:pt>
              <c:pt idx="2870">
                <c:v>43017</c:v>
              </c:pt>
              <c:pt idx="2871">
                <c:v>43018</c:v>
              </c:pt>
              <c:pt idx="2872">
                <c:v>43019</c:v>
              </c:pt>
              <c:pt idx="2873">
                <c:v>43020</c:v>
              </c:pt>
              <c:pt idx="2874">
                <c:v>43021</c:v>
              </c:pt>
              <c:pt idx="2875">
                <c:v>43024</c:v>
              </c:pt>
              <c:pt idx="2876">
                <c:v>43025</c:v>
              </c:pt>
              <c:pt idx="2877">
                <c:v>43026</c:v>
              </c:pt>
              <c:pt idx="2878">
                <c:v>43027</c:v>
              </c:pt>
              <c:pt idx="2879">
                <c:v>43028</c:v>
              </c:pt>
              <c:pt idx="2880">
                <c:v>43031</c:v>
              </c:pt>
              <c:pt idx="2881">
                <c:v>43032</c:v>
              </c:pt>
              <c:pt idx="2882">
                <c:v>43033</c:v>
              </c:pt>
              <c:pt idx="2883">
                <c:v>43034</c:v>
              </c:pt>
              <c:pt idx="2884">
                <c:v>43035</c:v>
              </c:pt>
              <c:pt idx="2885">
                <c:v>43038</c:v>
              </c:pt>
              <c:pt idx="2886">
                <c:v>43039</c:v>
              </c:pt>
            </c:numLit>
          </c:cat>
          <c:val>
            <c:numLit>
              <c:formatCode>General</c:formatCode>
              <c:ptCount val="2887"/>
              <c:pt idx="2043">
                <c:v>4.21</c:v>
              </c:pt>
              <c:pt idx="2044">
                <c:v>4.21</c:v>
              </c:pt>
              <c:pt idx="2045">
                <c:v>4.21</c:v>
              </c:pt>
              <c:pt idx="2046">
                <c:v>4.21</c:v>
              </c:pt>
              <c:pt idx="2047">
                <c:v>4.21</c:v>
              </c:pt>
              <c:pt idx="2048">
                <c:v>4.21</c:v>
              </c:pt>
              <c:pt idx="2049">
                <c:v>4.21</c:v>
              </c:pt>
              <c:pt idx="2050">
                <c:v>4.21</c:v>
              </c:pt>
              <c:pt idx="2051">
                <c:v>4.21</c:v>
              </c:pt>
              <c:pt idx="2052">
                <c:v>4.21</c:v>
              </c:pt>
              <c:pt idx="2053">
                <c:v>4.21</c:v>
              </c:pt>
              <c:pt idx="2054">
                <c:v>4.21</c:v>
              </c:pt>
              <c:pt idx="2055">
                <c:v>4.21</c:v>
              </c:pt>
              <c:pt idx="2056">
                <c:v>4.21</c:v>
              </c:pt>
              <c:pt idx="2057">
                <c:v>4.21</c:v>
              </c:pt>
              <c:pt idx="2058">
                <c:v>4.21</c:v>
              </c:pt>
              <c:pt idx="2059">
                <c:v>4.21</c:v>
              </c:pt>
              <c:pt idx="2060">
                <c:v>4.21</c:v>
              </c:pt>
              <c:pt idx="2061">
                <c:v>4.21</c:v>
              </c:pt>
              <c:pt idx="2062">
                <c:v>4.21</c:v>
              </c:pt>
              <c:pt idx="2063">
                <c:v>4.21</c:v>
              </c:pt>
              <c:pt idx="2064">
                <c:v>4.21</c:v>
              </c:pt>
              <c:pt idx="2065">
                <c:v>4.21</c:v>
              </c:pt>
              <c:pt idx="2066">
                <c:v>4.21</c:v>
              </c:pt>
              <c:pt idx="2067">
                <c:v>4.21</c:v>
              </c:pt>
              <c:pt idx="2068">
                <c:v>4.21</c:v>
              </c:pt>
              <c:pt idx="2069">
                <c:v>4.21</c:v>
              </c:pt>
              <c:pt idx="2070">
                <c:v>4.21</c:v>
              </c:pt>
              <c:pt idx="2071">
                <c:v>4.21</c:v>
              </c:pt>
              <c:pt idx="2072">
                <c:v>4.21</c:v>
              </c:pt>
              <c:pt idx="2073">
                <c:v>4.21</c:v>
              </c:pt>
              <c:pt idx="2074">
                <c:v>4.21</c:v>
              </c:pt>
              <c:pt idx="2075">
                <c:v>4.21</c:v>
              </c:pt>
              <c:pt idx="2076">
                <c:v>4.21</c:v>
              </c:pt>
              <c:pt idx="2077">
                <c:v>4.21</c:v>
              </c:pt>
              <c:pt idx="2078">
                <c:v>4.21</c:v>
              </c:pt>
              <c:pt idx="2079">
                <c:v>4.21</c:v>
              </c:pt>
              <c:pt idx="2080">
                <c:v>4.21</c:v>
              </c:pt>
              <c:pt idx="2081">
                <c:v>4.21</c:v>
              </c:pt>
              <c:pt idx="2082">
                <c:v>4.21</c:v>
              </c:pt>
              <c:pt idx="2083">
                <c:v>4.21</c:v>
              </c:pt>
              <c:pt idx="2084">
                <c:v>4.21</c:v>
              </c:pt>
              <c:pt idx="2085">
                <c:v>4.21</c:v>
              </c:pt>
              <c:pt idx="2086">
                <c:v>4.21</c:v>
              </c:pt>
              <c:pt idx="2087">
                <c:v>4.21</c:v>
              </c:pt>
              <c:pt idx="2088">
                <c:v>4.21</c:v>
              </c:pt>
              <c:pt idx="2089">
                <c:v>4.21</c:v>
              </c:pt>
              <c:pt idx="2090">
                <c:v>4.21</c:v>
              </c:pt>
              <c:pt idx="2091">
                <c:v>4.21</c:v>
              </c:pt>
              <c:pt idx="2092">
                <c:v>4.21</c:v>
              </c:pt>
              <c:pt idx="2093">
                <c:v>4.21</c:v>
              </c:pt>
              <c:pt idx="2094">
                <c:v>4.21</c:v>
              </c:pt>
              <c:pt idx="2095">
                <c:v>4.21</c:v>
              </c:pt>
              <c:pt idx="2096">
                <c:v>4.21</c:v>
              </c:pt>
              <c:pt idx="2097">
                <c:v>4.21</c:v>
              </c:pt>
              <c:pt idx="2098">
                <c:v>4.21</c:v>
              </c:pt>
              <c:pt idx="2099">
                <c:v>4.21</c:v>
              </c:pt>
              <c:pt idx="2100">
                <c:v>4.21</c:v>
              </c:pt>
              <c:pt idx="2101">
                <c:v>4.21</c:v>
              </c:pt>
              <c:pt idx="2102">
                <c:v>4.21</c:v>
              </c:pt>
              <c:pt idx="2103">
                <c:v>4.21</c:v>
              </c:pt>
              <c:pt idx="2104">
                <c:v>4.21</c:v>
              </c:pt>
              <c:pt idx="2105">
                <c:v>4.21</c:v>
              </c:pt>
              <c:pt idx="2106">
                <c:v>4.21</c:v>
              </c:pt>
              <c:pt idx="2107">
                <c:v>4.21</c:v>
              </c:pt>
              <c:pt idx="2108">
                <c:v>4.21</c:v>
              </c:pt>
              <c:pt idx="2109">
                <c:v>4.21</c:v>
              </c:pt>
              <c:pt idx="2110">
                <c:v>4.21</c:v>
              </c:pt>
              <c:pt idx="2111">
                <c:v>4.21</c:v>
              </c:pt>
              <c:pt idx="2112">
                <c:v>4.21</c:v>
              </c:pt>
              <c:pt idx="2113">
                <c:v>4.21</c:v>
              </c:pt>
              <c:pt idx="2114">
                <c:v>4.21</c:v>
              </c:pt>
              <c:pt idx="2115">
                <c:v>4.21</c:v>
              </c:pt>
              <c:pt idx="2116">
                <c:v>4.21</c:v>
              </c:pt>
              <c:pt idx="2117">
                <c:v>4.21</c:v>
              </c:pt>
              <c:pt idx="2118">
                <c:v>4.21</c:v>
              </c:pt>
              <c:pt idx="2119">
                <c:v>4.21</c:v>
              </c:pt>
              <c:pt idx="2120">
                <c:v>4.21</c:v>
              </c:pt>
              <c:pt idx="2121">
                <c:v>4.21</c:v>
              </c:pt>
              <c:pt idx="2122">
                <c:v>4.21</c:v>
              </c:pt>
              <c:pt idx="2123">
                <c:v>4.21</c:v>
              </c:pt>
              <c:pt idx="2124">
                <c:v>4.21</c:v>
              </c:pt>
              <c:pt idx="2125">
                <c:v>4.21</c:v>
              </c:pt>
              <c:pt idx="2126">
                <c:v>4.21</c:v>
              </c:pt>
              <c:pt idx="2127">
                <c:v>4.21</c:v>
              </c:pt>
              <c:pt idx="2128">
                <c:v>4.21</c:v>
              </c:pt>
              <c:pt idx="2129">
                <c:v>4.21</c:v>
              </c:pt>
              <c:pt idx="2130">
                <c:v>4.21</c:v>
              </c:pt>
              <c:pt idx="2131">
                <c:v>4.21</c:v>
              </c:pt>
              <c:pt idx="2132">
                <c:v>4.21</c:v>
              </c:pt>
              <c:pt idx="2133">
                <c:v>4.21</c:v>
              </c:pt>
              <c:pt idx="2134">
                <c:v>4.21</c:v>
              </c:pt>
              <c:pt idx="2135">
                <c:v>4.21</c:v>
              </c:pt>
              <c:pt idx="2136">
                <c:v>4.21</c:v>
              </c:pt>
              <c:pt idx="2137">
                <c:v>4.21</c:v>
              </c:pt>
              <c:pt idx="2138">
                <c:v>4.21</c:v>
              </c:pt>
              <c:pt idx="2139">
                <c:v>4.21</c:v>
              </c:pt>
              <c:pt idx="2140">
                <c:v>4.21</c:v>
              </c:pt>
              <c:pt idx="2141">
                <c:v>4.21</c:v>
              </c:pt>
              <c:pt idx="2142">
                <c:v>4.21</c:v>
              </c:pt>
              <c:pt idx="2143">
                <c:v>4.21</c:v>
              </c:pt>
              <c:pt idx="2144">
                <c:v>4.21</c:v>
              </c:pt>
              <c:pt idx="2145">
                <c:v>4.21</c:v>
              </c:pt>
              <c:pt idx="2146">
                <c:v>4.21</c:v>
              </c:pt>
              <c:pt idx="2147">
                <c:v>4.21</c:v>
              </c:pt>
              <c:pt idx="2148">
                <c:v>4.21</c:v>
              </c:pt>
              <c:pt idx="2149">
                <c:v>4.21</c:v>
              </c:pt>
              <c:pt idx="2150">
                <c:v>4.21</c:v>
              </c:pt>
              <c:pt idx="2151">
                <c:v>4.21</c:v>
              </c:pt>
              <c:pt idx="2152">
                <c:v>4.21</c:v>
              </c:pt>
              <c:pt idx="2153">
                <c:v>4.21</c:v>
              </c:pt>
              <c:pt idx="2154">
                <c:v>4.21</c:v>
              </c:pt>
              <c:pt idx="2155">
                <c:v>4.21</c:v>
              </c:pt>
              <c:pt idx="2156">
                <c:v>4.21</c:v>
              </c:pt>
              <c:pt idx="2157">
                <c:v>4.21</c:v>
              </c:pt>
              <c:pt idx="2158">
                <c:v>4.21</c:v>
              </c:pt>
              <c:pt idx="2159">
                <c:v>4.21</c:v>
              </c:pt>
              <c:pt idx="2160">
                <c:v>4.21</c:v>
              </c:pt>
              <c:pt idx="2161">
                <c:v>4.21</c:v>
              </c:pt>
              <c:pt idx="2162">
                <c:v>4.21</c:v>
              </c:pt>
              <c:pt idx="2163">
                <c:v>4.21</c:v>
              </c:pt>
              <c:pt idx="2164">
                <c:v>4.21</c:v>
              </c:pt>
              <c:pt idx="2165">
                <c:v>4.21</c:v>
              </c:pt>
              <c:pt idx="2166">
                <c:v>4.21</c:v>
              </c:pt>
              <c:pt idx="2167">
                <c:v>4.21</c:v>
              </c:pt>
              <c:pt idx="2168">
                <c:v>4.21</c:v>
              </c:pt>
              <c:pt idx="2169">
                <c:v>4.21</c:v>
              </c:pt>
              <c:pt idx="2170">
                <c:v>4.21</c:v>
              </c:pt>
              <c:pt idx="2171">
                <c:v>4.21</c:v>
              </c:pt>
              <c:pt idx="2172">
                <c:v>4.21</c:v>
              </c:pt>
              <c:pt idx="2173">
                <c:v>4.21</c:v>
              </c:pt>
              <c:pt idx="2174">
                <c:v>4.21</c:v>
              </c:pt>
              <c:pt idx="2175">
                <c:v>4.21</c:v>
              </c:pt>
              <c:pt idx="2176">
                <c:v>4.21</c:v>
              </c:pt>
              <c:pt idx="2177">
                <c:v>4.21</c:v>
              </c:pt>
              <c:pt idx="2178">
                <c:v>4.21</c:v>
              </c:pt>
              <c:pt idx="2179">
                <c:v>4.21</c:v>
              </c:pt>
              <c:pt idx="2180">
                <c:v>4.21</c:v>
              </c:pt>
              <c:pt idx="2181">
                <c:v>4.21</c:v>
              </c:pt>
              <c:pt idx="2182">
                <c:v>4.21</c:v>
              </c:pt>
              <c:pt idx="2183">
                <c:v>4.21</c:v>
              </c:pt>
              <c:pt idx="2184">
                <c:v>4.21</c:v>
              </c:pt>
              <c:pt idx="2185">
                <c:v>4.21</c:v>
              </c:pt>
              <c:pt idx="2186">
                <c:v>4.21</c:v>
              </c:pt>
              <c:pt idx="2187">
                <c:v>4.21</c:v>
              </c:pt>
              <c:pt idx="2188">
                <c:v>4.21</c:v>
              </c:pt>
              <c:pt idx="2189">
                <c:v>4.21</c:v>
              </c:pt>
              <c:pt idx="2190">
                <c:v>4.21</c:v>
              </c:pt>
              <c:pt idx="2191">
                <c:v>4.21</c:v>
              </c:pt>
              <c:pt idx="2192">
                <c:v>4.21</c:v>
              </c:pt>
              <c:pt idx="2193">
                <c:v>4.21</c:v>
              </c:pt>
              <c:pt idx="2194">
                <c:v>4.21</c:v>
              </c:pt>
              <c:pt idx="2195">
                <c:v>4.21</c:v>
              </c:pt>
              <c:pt idx="2196">
                <c:v>4.21</c:v>
              </c:pt>
              <c:pt idx="2197">
                <c:v>4.21</c:v>
              </c:pt>
              <c:pt idx="2198">
                <c:v>4.21</c:v>
              </c:pt>
              <c:pt idx="2199">
                <c:v>4.21</c:v>
              </c:pt>
              <c:pt idx="2200">
                <c:v>4.21</c:v>
              </c:pt>
              <c:pt idx="2201">
                <c:v>4.21</c:v>
              </c:pt>
              <c:pt idx="2202">
                <c:v>4.21</c:v>
              </c:pt>
              <c:pt idx="2203">
                <c:v>4.21</c:v>
              </c:pt>
              <c:pt idx="2204">
                <c:v>4.21</c:v>
              </c:pt>
              <c:pt idx="2205">
                <c:v>4.21</c:v>
              </c:pt>
              <c:pt idx="2206">
                <c:v>4.21</c:v>
              </c:pt>
              <c:pt idx="2207">
                <c:v>4.21</c:v>
              </c:pt>
              <c:pt idx="2208">
                <c:v>4.21</c:v>
              </c:pt>
              <c:pt idx="2209">
                <c:v>4.21</c:v>
              </c:pt>
              <c:pt idx="2210">
                <c:v>4.21</c:v>
              </c:pt>
              <c:pt idx="2211">
                <c:v>4.21</c:v>
              </c:pt>
              <c:pt idx="2212">
                <c:v>4.21</c:v>
              </c:pt>
              <c:pt idx="2213">
                <c:v>4.21</c:v>
              </c:pt>
              <c:pt idx="2214">
                <c:v>4.21</c:v>
              </c:pt>
              <c:pt idx="2215">
                <c:v>4.21</c:v>
              </c:pt>
              <c:pt idx="2216">
                <c:v>4.21</c:v>
              </c:pt>
              <c:pt idx="2217">
                <c:v>4.21</c:v>
              </c:pt>
              <c:pt idx="2218">
                <c:v>4.21</c:v>
              </c:pt>
              <c:pt idx="2219">
                <c:v>4.21</c:v>
              </c:pt>
              <c:pt idx="2220">
                <c:v>4.21</c:v>
              </c:pt>
              <c:pt idx="2221">
                <c:v>4.21</c:v>
              </c:pt>
              <c:pt idx="2222">
                <c:v>4.21</c:v>
              </c:pt>
              <c:pt idx="2223">
                <c:v>4.21</c:v>
              </c:pt>
              <c:pt idx="2224">
                <c:v>4.21</c:v>
              </c:pt>
              <c:pt idx="2225">
                <c:v>4.21</c:v>
              </c:pt>
              <c:pt idx="2226">
                <c:v>4.21</c:v>
              </c:pt>
              <c:pt idx="2227">
                <c:v>4.21</c:v>
              </c:pt>
              <c:pt idx="2228">
                <c:v>4.21</c:v>
              </c:pt>
              <c:pt idx="2229">
                <c:v>4.21</c:v>
              </c:pt>
              <c:pt idx="2230">
                <c:v>4.21</c:v>
              </c:pt>
              <c:pt idx="2231">
                <c:v>4.21</c:v>
              </c:pt>
              <c:pt idx="2232">
                <c:v>4.21</c:v>
              </c:pt>
              <c:pt idx="2233">
                <c:v>4.21</c:v>
              </c:pt>
              <c:pt idx="2234">
                <c:v>4.21</c:v>
              </c:pt>
              <c:pt idx="2235">
                <c:v>4.21</c:v>
              </c:pt>
              <c:pt idx="2236">
                <c:v>4.21</c:v>
              </c:pt>
              <c:pt idx="2237">
                <c:v>4.21</c:v>
              </c:pt>
              <c:pt idx="2238">
                <c:v>4.21</c:v>
              </c:pt>
              <c:pt idx="2239">
                <c:v>4.21</c:v>
              </c:pt>
              <c:pt idx="2240">
                <c:v>4.21</c:v>
              </c:pt>
              <c:pt idx="2241">
                <c:v>4.21</c:v>
              </c:pt>
              <c:pt idx="2242">
                <c:v>4.21</c:v>
              </c:pt>
              <c:pt idx="2243">
                <c:v>4.21</c:v>
              </c:pt>
              <c:pt idx="2244">
                <c:v>4.21</c:v>
              </c:pt>
              <c:pt idx="2245">
                <c:v>4.21</c:v>
              </c:pt>
              <c:pt idx="2246">
                <c:v>4.21</c:v>
              </c:pt>
              <c:pt idx="2247">
                <c:v>4.21</c:v>
              </c:pt>
              <c:pt idx="2248">
                <c:v>4.21</c:v>
              </c:pt>
              <c:pt idx="2249">
                <c:v>4.21</c:v>
              </c:pt>
              <c:pt idx="2250">
                <c:v>4.21</c:v>
              </c:pt>
              <c:pt idx="2251">
                <c:v>4.21</c:v>
              </c:pt>
              <c:pt idx="2252">
                <c:v>4.21</c:v>
              </c:pt>
              <c:pt idx="2253">
                <c:v>4.21</c:v>
              </c:pt>
              <c:pt idx="2254">
                <c:v>4.21</c:v>
              </c:pt>
              <c:pt idx="2255">
                <c:v>4.21</c:v>
              </c:pt>
              <c:pt idx="2256">
                <c:v>4.21</c:v>
              </c:pt>
              <c:pt idx="2257">
                <c:v>4.21</c:v>
              </c:pt>
              <c:pt idx="2258">
                <c:v>4.21</c:v>
              </c:pt>
              <c:pt idx="2259">
                <c:v>4.21</c:v>
              </c:pt>
              <c:pt idx="2260">
                <c:v>4.21</c:v>
              </c:pt>
              <c:pt idx="2261">
                <c:v>4.21</c:v>
              </c:pt>
              <c:pt idx="2262">
                <c:v>4.21</c:v>
              </c:pt>
              <c:pt idx="2263">
                <c:v>4.21</c:v>
              </c:pt>
              <c:pt idx="2264">
                <c:v>4.21</c:v>
              </c:pt>
              <c:pt idx="2265">
                <c:v>4.21</c:v>
              </c:pt>
              <c:pt idx="2266">
                <c:v>4.21</c:v>
              </c:pt>
              <c:pt idx="2267">
                <c:v>4.21</c:v>
              </c:pt>
              <c:pt idx="2268">
                <c:v>4.21</c:v>
              </c:pt>
              <c:pt idx="2269">
                <c:v>4.21</c:v>
              </c:pt>
              <c:pt idx="2270">
                <c:v>4.21</c:v>
              </c:pt>
              <c:pt idx="2271">
                <c:v>4.21</c:v>
              </c:pt>
              <c:pt idx="2272">
                <c:v>4.21</c:v>
              </c:pt>
              <c:pt idx="2273">
                <c:v>4.21</c:v>
              </c:pt>
              <c:pt idx="2274">
                <c:v>4.21</c:v>
              </c:pt>
              <c:pt idx="2275">
                <c:v>4.21</c:v>
              </c:pt>
              <c:pt idx="2276">
                <c:v>4.21</c:v>
              </c:pt>
              <c:pt idx="2277">
                <c:v>4.21</c:v>
              </c:pt>
              <c:pt idx="2278">
                <c:v>4.21</c:v>
              </c:pt>
              <c:pt idx="2279">
                <c:v>4.21</c:v>
              </c:pt>
              <c:pt idx="2280">
                <c:v>4.21</c:v>
              </c:pt>
              <c:pt idx="2281">
                <c:v>4.21</c:v>
              </c:pt>
              <c:pt idx="2282">
                <c:v>4.21</c:v>
              </c:pt>
              <c:pt idx="2283">
                <c:v>4.21</c:v>
              </c:pt>
              <c:pt idx="2284">
                <c:v>4.21</c:v>
              </c:pt>
              <c:pt idx="2285">
                <c:v>4.21</c:v>
              </c:pt>
              <c:pt idx="2286">
                <c:v>4.21</c:v>
              </c:pt>
              <c:pt idx="2287">
                <c:v>4.21</c:v>
              </c:pt>
              <c:pt idx="2288">
                <c:v>4.21</c:v>
              </c:pt>
              <c:pt idx="2289">
                <c:v>4.21</c:v>
              </c:pt>
              <c:pt idx="2290">
                <c:v>4.21</c:v>
              </c:pt>
              <c:pt idx="2291">
                <c:v>4.21</c:v>
              </c:pt>
              <c:pt idx="2292">
                <c:v>4.21</c:v>
              </c:pt>
              <c:pt idx="2293">
                <c:v>4.21</c:v>
              </c:pt>
              <c:pt idx="2294">
                <c:v>4.21</c:v>
              </c:pt>
              <c:pt idx="2295">
                <c:v>4.21</c:v>
              </c:pt>
              <c:pt idx="2296">
                <c:v>4.21</c:v>
              </c:pt>
              <c:pt idx="2297">
                <c:v>4.21</c:v>
              </c:pt>
              <c:pt idx="2298">
                <c:v>4.21</c:v>
              </c:pt>
              <c:pt idx="2299">
                <c:v>4.21</c:v>
              </c:pt>
              <c:pt idx="2300">
                <c:v>4.21</c:v>
              </c:pt>
              <c:pt idx="2301">
                <c:v>4.21</c:v>
              </c:pt>
              <c:pt idx="2302">
                <c:v>4.21</c:v>
              </c:pt>
              <c:pt idx="2303">
                <c:v>4.21</c:v>
              </c:pt>
              <c:pt idx="2304">
                <c:v>4.21</c:v>
              </c:pt>
              <c:pt idx="2305">
                <c:v>4.21</c:v>
              </c:pt>
              <c:pt idx="2306">
                <c:v>4.21</c:v>
              </c:pt>
              <c:pt idx="2307">
                <c:v>4.21</c:v>
              </c:pt>
              <c:pt idx="2308">
                <c:v>4.21</c:v>
              </c:pt>
              <c:pt idx="2309">
                <c:v>4.21</c:v>
              </c:pt>
              <c:pt idx="2310">
                <c:v>4.21</c:v>
              </c:pt>
              <c:pt idx="2311">
                <c:v>4.21</c:v>
              </c:pt>
              <c:pt idx="2312">
                <c:v>4.21</c:v>
              </c:pt>
              <c:pt idx="2313">
                <c:v>4.21</c:v>
              </c:pt>
              <c:pt idx="2314">
                <c:v>4.21</c:v>
              </c:pt>
              <c:pt idx="2315">
                <c:v>4.21</c:v>
              </c:pt>
              <c:pt idx="2316">
                <c:v>4.21</c:v>
              </c:pt>
              <c:pt idx="2317">
                <c:v>4.21</c:v>
              </c:pt>
              <c:pt idx="2318">
                <c:v>4.21</c:v>
              </c:pt>
              <c:pt idx="2319">
                <c:v>4.21</c:v>
              </c:pt>
              <c:pt idx="2320">
                <c:v>4.21</c:v>
              </c:pt>
              <c:pt idx="2321">
                <c:v>4.21</c:v>
              </c:pt>
              <c:pt idx="2322">
                <c:v>4.21</c:v>
              </c:pt>
              <c:pt idx="2323">
                <c:v>4.21</c:v>
              </c:pt>
              <c:pt idx="2324">
                <c:v>4.21</c:v>
              </c:pt>
              <c:pt idx="2325">
                <c:v>4.21</c:v>
              </c:pt>
              <c:pt idx="2326">
                <c:v>4.21</c:v>
              </c:pt>
              <c:pt idx="2327">
                <c:v>4.21</c:v>
              </c:pt>
              <c:pt idx="2328">
                <c:v>4.21</c:v>
              </c:pt>
              <c:pt idx="2329">
                <c:v>4.21</c:v>
              </c:pt>
              <c:pt idx="2330">
                <c:v>4.21</c:v>
              </c:pt>
              <c:pt idx="2331">
                <c:v>4.21</c:v>
              </c:pt>
              <c:pt idx="2332">
                <c:v>4.21</c:v>
              </c:pt>
              <c:pt idx="2333">
                <c:v>4.21</c:v>
              </c:pt>
              <c:pt idx="2334">
                <c:v>4.21</c:v>
              </c:pt>
              <c:pt idx="2335">
                <c:v>4.21</c:v>
              </c:pt>
              <c:pt idx="2336">
                <c:v>4.21</c:v>
              </c:pt>
              <c:pt idx="2337">
                <c:v>4.21</c:v>
              </c:pt>
              <c:pt idx="2338">
                <c:v>4.21</c:v>
              </c:pt>
              <c:pt idx="2339">
                <c:v>4.21</c:v>
              </c:pt>
              <c:pt idx="2340">
                <c:v>4.21</c:v>
              </c:pt>
              <c:pt idx="2341">
                <c:v>4.21</c:v>
              </c:pt>
              <c:pt idx="2342">
                <c:v>4.21</c:v>
              </c:pt>
              <c:pt idx="2343">
                <c:v>4.21</c:v>
              </c:pt>
              <c:pt idx="2344">
                <c:v>4.21</c:v>
              </c:pt>
              <c:pt idx="2345">
                <c:v>4.21</c:v>
              </c:pt>
              <c:pt idx="2346">
                <c:v>4.21</c:v>
              </c:pt>
              <c:pt idx="2347">
                <c:v>4.21</c:v>
              </c:pt>
              <c:pt idx="2348">
                <c:v>4.21</c:v>
              </c:pt>
              <c:pt idx="2349">
                <c:v>4.21</c:v>
              </c:pt>
              <c:pt idx="2350">
                <c:v>4.21</c:v>
              </c:pt>
              <c:pt idx="2351">
                <c:v>4.21</c:v>
              </c:pt>
              <c:pt idx="2352">
                <c:v>4.21</c:v>
              </c:pt>
              <c:pt idx="2353">
                <c:v>4.21</c:v>
              </c:pt>
              <c:pt idx="2354">
                <c:v>4.21</c:v>
              </c:pt>
              <c:pt idx="2355">
                <c:v>4.21</c:v>
              </c:pt>
              <c:pt idx="2356">
                <c:v>4.21</c:v>
              </c:pt>
              <c:pt idx="2357">
                <c:v>4.21</c:v>
              </c:pt>
              <c:pt idx="2358">
                <c:v>4.21</c:v>
              </c:pt>
              <c:pt idx="2359">
                <c:v>4.21</c:v>
              </c:pt>
              <c:pt idx="2360">
                <c:v>4.21</c:v>
              </c:pt>
              <c:pt idx="2361">
                <c:v>4.21</c:v>
              </c:pt>
              <c:pt idx="2362">
                <c:v>4.21</c:v>
              </c:pt>
              <c:pt idx="2363">
                <c:v>4.21</c:v>
              </c:pt>
              <c:pt idx="2364">
                <c:v>4.21</c:v>
              </c:pt>
              <c:pt idx="2365">
                <c:v>4.21</c:v>
              </c:pt>
              <c:pt idx="2366">
                <c:v>4.21</c:v>
              </c:pt>
              <c:pt idx="2367">
                <c:v>4.21</c:v>
              </c:pt>
              <c:pt idx="2368">
                <c:v>4.21</c:v>
              </c:pt>
              <c:pt idx="2369">
                <c:v>4.21</c:v>
              </c:pt>
              <c:pt idx="2370">
                <c:v>4.21</c:v>
              </c:pt>
              <c:pt idx="2371">
                <c:v>4.21</c:v>
              </c:pt>
              <c:pt idx="2372">
                <c:v>4.21</c:v>
              </c:pt>
              <c:pt idx="2373">
                <c:v>4.21</c:v>
              </c:pt>
              <c:pt idx="2374">
                <c:v>4.21</c:v>
              </c:pt>
              <c:pt idx="2375">
                <c:v>4.21</c:v>
              </c:pt>
              <c:pt idx="2376">
                <c:v>4.21</c:v>
              </c:pt>
              <c:pt idx="2377">
                <c:v>4.21</c:v>
              </c:pt>
              <c:pt idx="2378">
                <c:v>4.21</c:v>
              </c:pt>
              <c:pt idx="2379">
                <c:v>4.21</c:v>
              </c:pt>
              <c:pt idx="2380">
                <c:v>4.21</c:v>
              </c:pt>
              <c:pt idx="2381">
                <c:v>4.21</c:v>
              </c:pt>
              <c:pt idx="2382">
                <c:v>4.21</c:v>
              </c:pt>
              <c:pt idx="2383">
                <c:v>4.21</c:v>
              </c:pt>
              <c:pt idx="2384">
                <c:v>4.21</c:v>
              </c:pt>
              <c:pt idx="2385">
                <c:v>4.21</c:v>
              </c:pt>
              <c:pt idx="2386">
                <c:v>4.21</c:v>
              </c:pt>
              <c:pt idx="2387">
                <c:v>4.21</c:v>
              </c:pt>
              <c:pt idx="2388">
                <c:v>4.21</c:v>
              </c:pt>
              <c:pt idx="2389">
                <c:v>4.21</c:v>
              </c:pt>
              <c:pt idx="2390">
                <c:v>4.21</c:v>
              </c:pt>
              <c:pt idx="2391">
                <c:v>4.21</c:v>
              </c:pt>
              <c:pt idx="2392">
                <c:v>4.21</c:v>
              </c:pt>
              <c:pt idx="2393">
                <c:v>4.21</c:v>
              </c:pt>
              <c:pt idx="2394">
                <c:v>4.21</c:v>
              </c:pt>
              <c:pt idx="2395">
                <c:v>4.21</c:v>
              </c:pt>
              <c:pt idx="2396">
                <c:v>4.21</c:v>
              </c:pt>
              <c:pt idx="2397">
                <c:v>4.21</c:v>
              </c:pt>
              <c:pt idx="2398">
                <c:v>4.21</c:v>
              </c:pt>
              <c:pt idx="2399">
                <c:v>4.21</c:v>
              </c:pt>
              <c:pt idx="2400">
                <c:v>4.21</c:v>
              </c:pt>
              <c:pt idx="2401">
                <c:v>4.21</c:v>
              </c:pt>
              <c:pt idx="2402">
                <c:v>4.21</c:v>
              </c:pt>
              <c:pt idx="2403">
                <c:v>4.21</c:v>
              </c:pt>
              <c:pt idx="2404">
                <c:v>4.21</c:v>
              </c:pt>
              <c:pt idx="2405">
                <c:v>4.21</c:v>
              </c:pt>
              <c:pt idx="2406">
                <c:v>4.21</c:v>
              </c:pt>
              <c:pt idx="2407">
                <c:v>4.21</c:v>
              </c:pt>
              <c:pt idx="2408">
                <c:v>4.21</c:v>
              </c:pt>
              <c:pt idx="2409">
                <c:v>4.21</c:v>
              </c:pt>
              <c:pt idx="2410">
                <c:v>4.21</c:v>
              </c:pt>
              <c:pt idx="2411">
                <c:v>4.21</c:v>
              </c:pt>
              <c:pt idx="2412">
                <c:v>4.21</c:v>
              </c:pt>
              <c:pt idx="2413">
                <c:v>4.21</c:v>
              </c:pt>
              <c:pt idx="2414">
                <c:v>4.21</c:v>
              </c:pt>
              <c:pt idx="2415">
                <c:v>4.21</c:v>
              </c:pt>
              <c:pt idx="2416">
                <c:v>4.21</c:v>
              </c:pt>
              <c:pt idx="2417">
                <c:v>4.21</c:v>
              </c:pt>
              <c:pt idx="2418">
                <c:v>4.21</c:v>
              </c:pt>
              <c:pt idx="2419">
                <c:v>4.21</c:v>
              </c:pt>
              <c:pt idx="2420">
                <c:v>4.21</c:v>
              </c:pt>
              <c:pt idx="2421">
                <c:v>4.21</c:v>
              </c:pt>
              <c:pt idx="2422">
                <c:v>4.21</c:v>
              </c:pt>
              <c:pt idx="2423">
                <c:v>4.21</c:v>
              </c:pt>
              <c:pt idx="2424">
                <c:v>4.21</c:v>
              </c:pt>
              <c:pt idx="2425">
                <c:v>4.21</c:v>
              </c:pt>
              <c:pt idx="2426">
                <c:v>4.21</c:v>
              </c:pt>
              <c:pt idx="2427">
                <c:v>4.21</c:v>
              </c:pt>
              <c:pt idx="2428">
                <c:v>4.21</c:v>
              </c:pt>
              <c:pt idx="2429">
                <c:v>4.21</c:v>
              </c:pt>
              <c:pt idx="2430">
                <c:v>4.21</c:v>
              </c:pt>
              <c:pt idx="2431">
                <c:v>4.21</c:v>
              </c:pt>
              <c:pt idx="2432">
                <c:v>4.21</c:v>
              </c:pt>
              <c:pt idx="2433">
                <c:v>4.21</c:v>
              </c:pt>
              <c:pt idx="2434">
                <c:v>4.21</c:v>
              </c:pt>
              <c:pt idx="2435">
                <c:v>4.21</c:v>
              </c:pt>
              <c:pt idx="2436">
                <c:v>4.21</c:v>
              </c:pt>
              <c:pt idx="2437">
                <c:v>4.21</c:v>
              </c:pt>
              <c:pt idx="2438">
                <c:v>4.21</c:v>
              </c:pt>
              <c:pt idx="2439">
                <c:v>4.21</c:v>
              </c:pt>
              <c:pt idx="2440">
                <c:v>4.21</c:v>
              </c:pt>
              <c:pt idx="2441">
                <c:v>4.21</c:v>
              </c:pt>
              <c:pt idx="2442">
                <c:v>4.21</c:v>
              </c:pt>
              <c:pt idx="2443">
                <c:v>4.21</c:v>
              </c:pt>
              <c:pt idx="2444">
                <c:v>4.21</c:v>
              </c:pt>
              <c:pt idx="2445">
                <c:v>4.21</c:v>
              </c:pt>
              <c:pt idx="2446">
                <c:v>4.21</c:v>
              </c:pt>
              <c:pt idx="2447">
                <c:v>4.21</c:v>
              </c:pt>
              <c:pt idx="2448">
                <c:v>4.21</c:v>
              </c:pt>
              <c:pt idx="2449">
                <c:v>4.21</c:v>
              </c:pt>
              <c:pt idx="2450">
                <c:v>4.21</c:v>
              </c:pt>
              <c:pt idx="2451">
                <c:v>4.21</c:v>
              </c:pt>
              <c:pt idx="2452">
                <c:v>4.21</c:v>
              </c:pt>
              <c:pt idx="2453">
                <c:v>4.21</c:v>
              </c:pt>
              <c:pt idx="2454">
                <c:v>4.21</c:v>
              </c:pt>
              <c:pt idx="2455">
                <c:v>4.21</c:v>
              </c:pt>
              <c:pt idx="2456">
                <c:v>4.21</c:v>
              </c:pt>
              <c:pt idx="2457">
                <c:v>4.21</c:v>
              </c:pt>
              <c:pt idx="2458">
                <c:v>4.21</c:v>
              </c:pt>
              <c:pt idx="2459">
                <c:v>4.21</c:v>
              </c:pt>
              <c:pt idx="2460">
                <c:v>4.21</c:v>
              </c:pt>
              <c:pt idx="2461">
                <c:v>4.21</c:v>
              </c:pt>
              <c:pt idx="2462">
                <c:v>4.21</c:v>
              </c:pt>
              <c:pt idx="2463">
                <c:v>4.21</c:v>
              </c:pt>
              <c:pt idx="2464">
                <c:v>4.21</c:v>
              </c:pt>
              <c:pt idx="2465">
                <c:v>4.21</c:v>
              </c:pt>
              <c:pt idx="2466">
                <c:v>4.21</c:v>
              </c:pt>
              <c:pt idx="2467">
                <c:v>4.21</c:v>
              </c:pt>
              <c:pt idx="2468">
                <c:v>4.21</c:v>
              </c:pt>
              <c:pt idx="2469">
                <c:v>4.21</c:v>
              </c:pt>
              <c:pt idx="2470">
                <c:v>4.21</c:v>
              </c:pt>
              <c:pt idx="2471">
                <c:v>4.21</c:v>
              </c:pt>
              <c:pt idx="2472">
                <c:v>4.21</c:v>
              </c:pt>
              <c:pt idx="2473">
                <c:v>4.21</c:v>
              </c:pt>
              <c:pt idx="2474">
                <c:v>4.21</c:v>
              </c:pt>
              <c:pt idx="2475">
                <c:v>4.21</c:v>
              </c:pt>
              <c:pt idx="2476">
                <c:v>4.21</c:v>
              </c:pt>
              <c:pt idx="2477">
                <c:v>4.21</c:v>
              </c:pt>
              <c:pt idx="2478">
                <c:v>4.21</c:v>
              </c:pt>
              <c:pt idx="2479">
                <c:v>4.21</c:v>
              </c:pt>
              <c:pt idx="2480">
                <c:v>4.21</c:v>
              </c:pt>
              <c:pt idx="2481">
                <c:v>4.21</c:v>
              </c:pt>
              <c:pt idx="2482">
                <c:v>4.21</c:v>
              </c:pt>
              <c:pt idx="2483">
                <c:v>4.21</c:v>
              </c:pt>
              <c:pt idx="2484">
                <c:v>4.21</c:v>
              </c:pt>
              <c:pt idx="2485">
                <c:v>4.21</c:v>
              </c:pt>
              <c:pt idx="2486">
                <c:v>4.21</c:v>
              </c:pt>
              <c:pt idx="2487">
                <c:v>4.21</c:v>
              </c:pt>
              <c:pt idx="2488">
                <c:v>4.21</c:v>
              </c:pt>
              <c:pt idx="2489">
                <c:v>4.21</c:v>
              </c:pt>
              <c:pt idx="2490">
                <c:v>4.21</c:v>
              </c:pt>
              <c:pt idx="2491">
                <c:v>4.21</c:v>
              </c:pt>
              <c:pt idx="2492">
                <c:v>4.21</c:v>
              </c:pt>
              <c:pt idx="2493">
                <c:v>4.21</c:v>
              </c:pt>
              <c:pt idx="2494">
                <c:v>4.21</c:v>
              </c:pt>
              <c:pt idx="2495">
                <c:v>4.21</c:v>
              </c:pt>
              <c:pt idx="2496">
                <c:v>4.21</c:v>
              </c:pt>
              <c:pt idx="2497">
                <c:v>4.21</c:v>
              </c:pt>
              <c:pt idx="2498">
                <c:v>4.21</c:v>
              </c:pt>
              <c:pt idx="2499">
                <c:v>4.21</c:v>
              </c:pt>
              <c:pt idx="2500">
                <c:v>4.21</c:v>
              </c:pt>
              <c:pt idx="2501">
                <c:v>4.21</c:v>
              </c:pt>
              <c:pt idx="2502">
                <c:v>4.21</c:v>
              </c:pt>
              <c:pt idx="2503">
                <c:v>4.21</c:v>
              </c:pt>
              <c:pt idx="2504">
                <c:v>4.21</c:v>
              </c:pt>
              <c:pt idx="2505">
                <c:v>4.21</c:v>
              </c:pt>
              <c:pt idx="2506">
                <c:v>4.21</c:v>
              </c:pt>
              <c:pt idx="2507">
                <c:v>4.21</c:v>
              </c:pt>
              <c:pt idx="2508">
                <c:v>4.21</c:v>
              </c:pt>
              <c:pt idx="2509">
                <c:v>4.21</c:v>
              </c:pt>
              <c:pt idx="2510">
                <c:v>4.21</c:v>
              </c:pt>
              <c:pt idx="2511">
                <c:v>4.21</c:v>
              </c:pt>
              <c:pt idx="2512">
                <c:v>4.21</c:v>
              </c:pt>
              <c:pt idx="2513">
                <c:v>4.21</c:v>
              </c:pt>
              <c:pt idx="2514">
                <c:v>4.21</c:v>
              </c:pt>
              <c:pt idx="2515">
                <c:v>4.21</c:v>
              </c:pt>
              <c:pt idx="2516">
                <c:v>4.21</c:v>
              </c:pt>
              <c:pt idx="2517">
                <c:v>4.21</c:v>
              </c:pt>
              <c:pt idx="2518">
                <c:v>4.21</c:v>
              </c:pt>
              <c:pt idx="2519">
                <c:v>4.21</c:v>
              </c:pt>
              <c:pt idx="2520">
                <c:v>4.21</c:v>
              </c:pt>
              <c:pt idx="2521">
                <c:v>4.21</c:v>
              </c:pt>
              <c:pt idx="2522">
                <c:v>4.21</c:v>
              </c:pt>
              <c:pt idx="2523">
                <c:v>4.21</c:v>
              </c:pt>
              <c:pt idx="2524">
                <c:v>4.21</c:v>
              </c:pt>
              <c:pt idx="2525">
                <c:v>4.21</c:v>
              </c:pt>
              <c:pt idx="2526">
                <c:v>4.21</c:v>
              </c:pt>
              <c:pt idx="2527">
                <c:v>4.21</c:v>
              </c:pt>
              <c:pt idx="2528">
                <c:v>4.21</c:v>
              </c:pt>
              <c:pt idx="2529">
                <c:v>4.21</c:v>
              </c:pt>
              <c:pt idx="2530">
                <c:v>4.21</c:v>
              </c:pt>
              <c:pt idx="2531">
                <c:v>4.21</c:v>
              </c:pt>
              <c:pt idx="2532">
                <c:v>4.21</c:v>
              </c:pt>
              <c:pt idx="2533">
                <c:v>4.21</c:v>
              </c:pt>
              <c:pt idx="2534">
                <c:v>4.21</c:v>
              </c:pt>
              <c:pt idx="2535">
                <c:v>4.21</c:v>
              </c:pt>
              <c:pt idx="2536">
                <c:v>4.21</c:v>
              </c:pt>
              <c:pt idx="2537">
                <c:v>4.21</c:v>
              </c:pt>
              <c:pt idx="2538">
                <c:v>4.21</c:v>
              </c:pt>
              <c:pt idx="2539">
                <c:v>4.21</c:v>
              </c:pt>
              <c:pt idx="2540">
                <c:v>4.21</c:v>
              </c:pt>
              <c:pt idx="2541">
                <c:v>4.21</c:v>
              </c:pt>
              <c:pt idx="2542">
                <c:v>4.21</c:v>
              </c:pt>
              <c:pt idx="2543">
                <c:v>4.21</c:v>
              </c:pt>
              <c:pt idx="2544">
                <c:v>4.21</c:v>
              </c:pt>
              <c:pt idx="2545">
                <c:v>4.21</c:v>
              </c:pt>
              <c:pt idx="2546">
                <c:v>4.21</c:v>
              </c:pt>
              <c:pt idx="2547">
                <c:v>4.21</c:v>
              </c:pt>
              <c:pt idx="2548">
                <c:v>4.21</c:v>
              </c:pt>
              <c:pt idx="2549">
                <c:v>4.21</c:v>
              </c:pt>
              <c:pt idx="2550">
                <c:v>4.21</c:v>
              </c:pt>
              <c:pt idx="2551">
                <c:v>4.21</c:v>
              </c:pt>
              <c:pt idx="2552">
                <c:v>4.21</c:v>
              </c:pt>
              <c:pt idx="2553">
                <c:v>4.21</c:v>
              </c:pt>
              <c:pt idx="2554">
                <c:v>4.21</c:v>
              </c:pt>
              <c:pt idx="2555">
                <c:v>4.21</c:v>
              </c:pt>
              <c:pt idx="2556">
                <c:v>4.21</c:v>
              </c:pt>
              <c:pt idx="2557">
                <c:v>4.21</c:v>
              </c:pt>
              <c:pt idx="2558">
                <c:v>4.21</c:v>
              </c:pt>
              <c:pt idx="2559">
                <c:v>4.21</c:v>
              </c:pt>
              <c:pt idx="2560">
                <c:v>4.21</c:v>
              </c:pt>
              <c:pt idx="2561">
                <c:v>4.21</c:v>
              </c:pt>
              <c:pt idx="2562">
                <c:v>4.21</c:v>
              </c:pt>
              <c:pt idx="2563">
                <c:v>4.21</c:v>
              </c:pt>
              <c:pt idx="2564">
                <c:v>4.21</c:v>
              </c:pt>
              <c:pt idx="2565">
                <c:v>4.21</c:v>
              </c:pt>
              <c:pt idx="2566">
                <c:v>4.21</c:v>
              </c:pt>
              <c:pt idx="2567">
                <c:v>4.21</c:v>
              </c:pt>
              <c:pt idx="2568">
                <c:v>4.21</c:v>
              </c:pt>
              <c:pt idx="2569">
                <c:v>4.21</c:v>
              </c:pt>
              <c:pt idx="2570">
                <c:v>4.21</c:v>
              </c:pt>
              <c:pt idx="2571">
                <c:v>4.21</c:v>
              </c:pt>
              <c:pt idx="2572">
                <c:v>4.21</c:v>
              </c:pt>
              <c:pt idx="2573">
                <c:v>4.21</c:v>
              </c:pt>
              <c:pt idx="2574">
                <c:v>4.21</c:v>
              </c:pt>
              <c:pt idx="2575">
                <c:v>4.21</c:v>
              </c:pt>
              <c:pt idx="2576">
                <c:v>4.21</c:v>
              </c:pt>
              <c:pt idx="2577">
                <c:v>4.21</c:v>
              </c:pt>
              <c:pt idx="2578">
                <c:v>4.21</c:v>
              </c:pt>
              <c:pt idx="2579">
                <c:v>4.21</c:v>
              </c:pt>
              <c:pt idx="2580">
                <c:v>4.21</c:v>
              </c:pt>
              <c:pt idx="2581">
                <c:v>4.21</c:v>
              </c:pt>
              <c:pt idx="2582">
                <c:v>4.21</c:v>
              </c:pt>
              <c:pt idx="2583">
                <c:v>4.21</c:v>
              </c:pt>
              <c:pt idx="2584">
                <c:v>4.21</c:v>
              </c:pt>
              <c:pt idx="2585">
                <c:v>4.21</c:v>
              </c:pt>
              <c:pt idx="2586">
                <c:v>4.21</c:v>
              </c:pt>
              <c:pt idx="2587">
                <c:v>4.21</c:v>
              </c:pt>
              <c:pt idx="2588">
                <c:v>4.21</c:v>
              </c:pt>
              <c:pt idx="2589">
                <c:v>4.21</c:v>
              </c:pt>
              <c:pt idx="2590">
                <c:v>4.21</c:v>
              </c:pt>
              <c:pt idx="2591">
                <c:v>4.21</c:v>
              </c:pt>
              <c:pt idx="2592">
                <c:v>4.21</c:v>
              </c:pt>
              <c:pt idx="2593">
                <c:v>4.21</c:v>
              </c:pt>
              <c:pt idx="2594">
                <c:v>4.21</c:v>
              </c:pt>
              <c:pt idx="2595">
                <c:v>4.21</c:v>
              </c:pt>
              <c:pt idx="2596">
                <c:v>4.21</c:v>
              </c:pt>
              <c:pt idx="2597">
                <c:v>4.21</c:v>
              </c:pt>
              <c:pt idx="2598">
                <c:v>4.21</c:v>
              </c:pt>
              <c:pt idx="2599">
                <c:v>4.21</c:v>
              </c:pt>
              <c:pt idx="2600">
                <c:v>4.21</c:v>
              </c:pt>
              <c:pt idx="2601">
                <c:v>4.21</c:v>
              </c:pt>
              <c:pt idx="2602">
                <c:v>4.21</c:v>
              </c:pt>
              <c:pt idx="2603">
                <c:v>4.21</c:v>
              </c:pt>
              <c:pt idx="2604">
                <c:v>4.21</c:v>
              </c:pt>
              <c:pt idx="2605">
                <c:v>4.21</c:v>
              </c:pt>
              <c:pt idx="2606">
                <c:v>4.21</c:v>
              </c:pt>
              <c:pt idx="2607">
                <c:v>4.21</c:v>
              </c:pt>
              <c:pt idx="2608">
                <c:v>4.21</c:v>
              </c:pt>
              <c:pt idx="2609">
                <c:v>4.21</c:v>
              </c:pt>
              <c:pt idx="2610">
                <c:v>4.21</c:v>
              </c:pt>
              <c:pt idx="2611">
                <c:v>4.21</c:v>
              </c:pt>
              <c:pt idx="2612">
                <c:v>4.21</c:v>
              </c:pt>
              <c:pt idx="2613">
                <c:v>4.21</c:v>
              </c:pt>
              <c:pt idx="2614">
                <c:v>4.21</c:v>
              </c:pt>
              <c:pt idx="2615">
                <c:v>4.21</c:v>
              </c:pt>
              <c:pt idx="2616">
                <c:v>4.21</c:v>
              </c:pt>
              <c:pt idx="2617">
                <c:v>4.21</c:v>
              </c:pt>
              <c:pt idx="2618">
                <c:v>4.21</c:v>
              </c:pt>
              <c:pt idx="2619">
                <c:v>4.21</c:v>
              </c:pt>
              <c:pt idx="2620">
                <c:v>4.21</c:v>
              </c:pt>
              <c:pt idx="2621">
                <c:v>4.21</c:v>
              </c:pt>
              <c:pt idx="2622">
                <c:v>4.21</c:v>
              </c:pt>
              <c:pt idx="2623">
                <c:v>4.21</c:v>
              </c:pt>
              <c:pt idx="2624">
                <c:v>4.21</c:v>
              </c:pt>
              <c:pt idx="2625">
                <c:v>4.21</c:v>
              </c:pt>
              <c:pt idx="2626">
                <c:v>4.21</c:v>
              </c:pt>
              <c:pt idx="2627">
                <c:v>4.21</c:v>
              </c:pt>
              <c:pt idx="2628">
                <c:v>4.21</c:v>
              </c:pt>
              <c:pt idx="2629">
                <c:v>4.21</c:v>
              </c:pt>
              <c:pt idx="2630">
                <c:v>4.21</c:v>
              </c:pt>
              <c:pt idx="2631">
                <c:v>4.21</c:v>
              </c:pt>
              <c:pt idx="2632">
                <c:v>4.21</c:v>
              </c:pt>
              <c:pt idx="2633">
                <c:v>4.21</c:v>
              </c:pt>
              <c:pt idx="2634">
                <c:v>4.21</c:v>
              </c:pt>
              <c:pt idx="2635">
                <c:v>4.21</c:v>
              </c:pt>
              <c:pt idx="2636">
                <c:v>4.21</c:v>
              </c:pt>
              <c:pt idx="2637">
                <c:v>4.21</c:v>
              </c:pt>
              <c:pt idx="2638">
                <c:v>4.21</c:v>
              </c:pt>
              <c:pt idx="2639">
                <c:v>4.21</c:v>
              </c:pt>
              <c:pt idx="2640">
                <c:v>4.21</c:v>
              </c:pt>
              <c:pt idx="2641">
                <c:v>4.21</c:v>
              </c:pt>
              <c:pt idx="2642">
                <c:v>4.21</c:v>
              </c:pt>
              <c:pt idx="2643">
                <c:v>4.21</c:v>
              </c:pt>
              <c:pt idx="2644">
                <c:v>4.21</c:v>
              </c:pt>
              <c:pt idx="2645">
                <c:v>4.21</c:v>
              </c:pt>
              <c:pt idx="2646">
                <c:v>4.21</c:v>
              </c:pt>
              <c:pt idx="2647">
                <c:v>4.21</c:v>
              </c:pt>
              <c:pt idx="2648">
                <c:v>4.21</c:v>
              </c:pt>
              <c:pt idx="2649">
                <c:v>4.21</c:v>
              </c:pt>
              <c:pt idx="2650">
                <c:v>4.21</c:v>
              </c:pt>
              <c:pt idx="2651">
                <c:v>4.21</c:v>
              </c:pt>
              <c:pt idx="2652">
                <c:v>4.21</c:v>
              </c:pt>
              <c:pt idx="2653">
                <c:v>4.21</c:v>
              </c:pt>
              <c:pt idx="2654">
                <c:v>4.21</c:v>
              </c:pt>
              <c:pt idx="2655">
                <c:v>4.21</c:v>
              </c:pt>
              <c:pt idx="2656">
                <c:v>4.21</c:v>
              </c:pt>
              <c:pt idx="2657">
                <c:v>4.21</c:v>
              </c:pt>
              <c:pt idx="2658">
                <c:v>4.21</c:v>
              </c:pt>
              <c:pt idx="2659">
                <c:v>4.21</c:v>
              </c:pt>
              <c:pt idx="2660">
                <c:v>4.21</c:v>
              </c:pt>
              <c:pt idx="2661">
                <c:v>4.21</c:v>
              </c:pt>
              <c:pt idx="2662">
                <c:v>4.21</c:v>
              </c:pt>
              <c:pt idx="2663">
                <c:v>4.21</c:v>
              </c:pt>
              <c:pt idx="2664">
                <c:v>4.21</c:v>
              </c:pt>
              <c:pt idx="2665">
                <c:v>4.21</c:v>
              </c:pt>
              <c:pt idx="2666">
                <c:v>4.21</c:v>
              </c:pt>
              <c:pt idx="2667">
                <c:v>4.21</c:v>
              </c:pt>
              <c:pt idx="2668">
                <c:v>4.21</c:v>
              </c:pt>
              <c:pt idx="2669">
                <c:v>4.21</c:v>
              </c:pt>
              <c:pt idx="2670">
                <c:v>4.21</c:v>
              </c:pt>
              <c:pt idx="2671">
                <c:v>4.21</c:v>
              </c:pt>
              <c:pt idx="2672">
                <c:v>4.21</c:v>
              </c:pt>
              <c:pt idx="2673">
                <c:v>4.21</c:v>
              </c:pt>
              <c:pt idx="2674">
                <c:v>4.21</c:v>
              </c:pt>
              <c:pt idx="2675">
                <c:v>4.21</c:v>
              </c:pt>
              <c:pt idx="2676">
                <c:v>4.21</c:v>
              </c:pt>
              <c:pt idx="2677">
                <c:v>4.21</c:v>
              </c:pt>
              <c:pt idx="2678">
                <c:v>4.21</c:v>
              </c:pt>
              <c:pt idx="2679">
                <c:v>4.21</c:v>
              </c:pt>
              <c:pt idx="2680">
                <c:v>4.21</c:v>
              </c:pt>
              <c:pt idx="2681">
                <c:v>4.21</c:v>
              </c:pt>
              <c:pt idx="2682">
                <c:v>4.21</c:v>
              </c:pt>
              <c:pt idx="2683">
                <c:v>4.21</c:v>
              </c:pt>
              <c:pt idx="2684">
                <c:v>4.21</c:v>
              </c:pt>
              <c:pt idx="2685">
                <c:v>4.21</c:v>
              </c:pt>
              <c:pt idx="2686">
                <c:v>4.21</c:v>
              </c:pt>
              <c:pt idx="2687">
                <c:v>4.21</c:v>
              </c:pt>
              <c:pt idx="2688">
                <c:v>4.21</c:v>
              </c:pt>
              <c:pt idx="2689">
                <c:v>4.21</c:v>
              </c:pt>
              <c:pt idx="2690">
                <c:v>4.21</c:v>
              </c:pt>
              <c:pt idx="2691">
                <c:v>4.21</c:v>
              </c:pt>
              <c:pt idx="2692">
                <c:v>4.21</c:v>
              </c:pt>
              <c:pt idx="2693">
                <c:v>4.21</c:v>
              </c:pt>
              <c:pt idx="2694">
                <c:v>4.21</c:v>
              </c:pt>
              <c:pt idx="2695">
                <c:v>4.21</c:v>
              </c:pt>
              <c:pt idx="2696">
                <c:v>4.21</c:v>
              </c:pt>
              <c:pt idx="2697">
                <c:v>4.21</c:v>
              </c:pt>
              <c:pt idx="2698">
                <c:v>4.21</c:v>
              </c:pt>
              <c:pt idx="2699">
                <c:v>4.21</c:v>
              </c:pt>
              <c:pt idx="2700">
                <c:v>4.21</c:v>
              </c:pt>
              <c:pt idx="2701">
                <c:v>4.21</c:v>
              </c:pt>
              <c:pt idx="2702">
                <c:v>4.21</c:v>
              </c:pt>
              <c:pt idx="2703">
                <c:v>4.21</c:v>
              </c:pt>
              <c:pt idx="2704">
                <c:v>4.21</c:v>
              </c:pt>
              <c:pt idx="2705">
                <c:v>4.21</c:v>
              </c:pt>
              <c:pt idx="2706">
                <c:v>4.21</c:v>
              </c:pt>
              <c:pt idx="2707">
                <c:v>4.21</c:v>
              </c:pt>
              <c:pt idx="2708">
                <c:v>4.21</c:v>
              </c:pt>
              <c:pt idx="2709">
                <c:v>4.21</c:v>
              </c:pt>
              <c:pt idx="2710">
                <c:v>4.21</c:v>
              </c:pt>
              <c:pt idx="2711">
                <c:v>4.21</c:v>
              </c:pt>
              <c:pt idx="2712">
                <c:v>4.21</c:v>
              </c:pt>
              <c:pt idx="2713">
                <c:v>4.21</c:v>
              </c:pt>
              <c:pt idx="2714">
                <c:v>4.21</c:v>
              </c:pt>
              <c:pt idx="2715">
                <c:v>4.21</c:v>
              </c:pt>
              <c:pt idx="2716">
                <c:v>4.21</c:v>
              </c:pt>
              <c:pt idx="2717">
                <c:v>4.21</c:v>
              </c:pt>
              <c:pt idx="2718">
                <c:v>4.21</c:v>
              </c:pt>
              <c:pt idx="2719">
                <c:v>4.21</c:v>
              </c:pt>
              <c:pt idx="2720">
                <c:v>4.21</c:v>
              </c:pt>
              <c:pt idx="2721">
                <c:v>4.21</c:v>
              </c:pt>
              <c:pt idx="2722">
                <c:v>4.21</c:v>
              </c:pt>
              <c:pt idx="2723">
                <c:v>4.21</c:v>
              </c:pt>
              <c:pt idx="2724">
                <c:v>4.21</c:v>
              </c:pt>
              <c:pt idx="2725">
                <c:v>4.21</c:v>
              </c:pt>
              <c:pt idx="2726">
                <c:v>4.21</c:v>
              </c:pt>
              <c:pt idx="2727">
                <c:v>4.21</c:v>
              </c:pt>
              <c:pt idx="2728">
                <c:v>4.21</c:v>
              </c:pt>
              <c:pt idx="2729">
                <c:v>4.21</c:v>
              </c:pt>
              <c:pt idx="2730">
                <c:v>4.21</c:v>
              </c:pt>
              <c:pt idx="2731">
                <c:v>4.21</c:v>
              </c:pt>
              <c:pt idx="2732">
                <c:v>4.21</c:v>
              </c:pt>
              <c:pt idx="2733">
                <c:v>4.21</c:v>
              </c:pt>
              <c:pt idx="2734">
                <c:v>4.21</c:v>
              </c:pt>
              <c:pt idx="2735">
                <c:v>4.21</c:v>
              </c:pt>
              <c:pt idx="2736">
                <c:v>4.21</c:v>
              </c:pt>
              <c:pt idx="2737">
                <c:v>4.21</c:v>
              </c:pt>
              <c:pt idx="2738">
                <c:v>4.21</c:v>
              </c:pt>
              <c:pt idx="2739">
                <c:v>4.21</c:v>
              </c:pt>
              <c:pt idx="2740">
                <c:v>4.21</c:v>
              </c:pt>
              <c:pt idx="2741">
                <c:v>4.21</c:v>
              </c:pt>
              <c:pt idx="2742">
                <c:v>4.21</c:v>
              </c:pt>
              <c:pt idx="2743">
                <c:v>4.21</c:v>
              </c:pt>
              <c:pt idx="2744">
                <c:v>4.21</c:v>
              </c:pt>
              <c:pt idx="2745">
                <c:v>4.21</c:v>
              </c:pt>
              <c:pt idx="2746">
                <c:v>4.21</c:v>
              </c:pt>
              <c:pt idx="2747">
                <c:v>4.21</c:v>
              </c:pt>
              <c:pt idx="2748">
                <c:v>4.21</c:v>
              </c:pt>
              <c:pt idx="2749">
                <c:v>4.21</c:v>
              </c:pt>
              <c:pt idx="2750">
                <c:v>4.21</c:v>
              </c:pt>
              <c:pt idx="2751">
                <c:v>4.21</c:v>
              </c:pt>
              <c:pt idx="2752">
                <c:v>4.21</c:v>
              </c:pt>
              <c:pt idx="2753">
                <c:v>4.21</c:v>
              </c:pt>
              <c:pt idx="2754">
                <c:v>4.21</c:v>
              </c:pt>
              <c:pt idx="2755">
                <c:v>4.21</c:v>
              </c:pt>
              <c:pt idx="2756">
                <c:v>4.21</c:v>
              </c:pt>
              <c:pt idx="2757">
                <c:v>4.21</c:v>
              </c:pt>
              <c:pt idx="2758">
                <c:v>4.21</c:v>
              </c:pt>
              <c:pt idx="2759">
                <c:v>4.21</c:v>
              </c:pt>
              <c:pt idx="2760">
                <c:v>4.21</c:v>
              </c:pt>
              <c:pt idx="2761">
                <c:v>4.21</c:v>
              </c:pt>
              <c:pt idx="2762">
                <c:v>4.21</c:v>
              </c:pt>
              <c:pt idx="2763">
                <c:v>4.21</c:v>
              </c:pt>
              <c:pt idx="2764">
                <c:v>4.21</c:v>
              </c:pt>
              <c:pt idx="2765">
                <c:v>4.21</c:v>
              </c:pt>
              <c:pt idx="2766">
                <c:v>4.21</c:v>
              </c:pt>
              <c:pt idx="2767">
                <c:v>4.21</c:v>
              </c:pt>
              <c:pt idx="2768">
                <c:v>4.21</c:v>
              </c:pt>
              <c:pt idx="2769">
                <c:v>4.21</c:v>
              </c:pt>
              <c:pt idx="2770">
                <c:v>4.21</c:v>
              </c:pt>
              <c:pt idx="2771">
                <c:v>4.21</c:v>
              </c:pt>
              <c:pt idx="2772">
                <c:v>4.21</c:v>
              </c:pt>
              <c:pt idx="2773">
                <c:v>4.21</c:v>
              </c:pt>
              <c:pt idx="2774">
                <c:v>4.21</c:v>
              </c:pt>
              <c:pt idx="2775">
                <c:v>4.21</c:v>
              </c:pt>
              <c:pt idx="2776">
                <c:v>4.21</c:v>
              </c:pt>
              <c:pt idx="2777">
                <c:v>4.21</c:v>
              </c:pt>
              <c:pt idx="2778">
                <c:v>4.21</c:v>
              </c:pt>
              <c:pt idx="2779">
                <c:v>4.21</c:v>
              </c:pt>
              <c:pt idx="2780">
                <c:v>4.21</c:v>
              </c:pt>
              <c:pt idx="2781">
                <c:v>4.21</c:v>
              </c:pt>
              <c:pt idx="2782">
                <c:v>4.21</c:v>
              </c:pt>
              <c:pt idx="2783">
                <c:v>4.21</c:v>
              </c:pt>
              <c:pt idx="2784">
                <c:v>4.21</c:v>
              </c:pt>
              <c:pt idx="2785">
                <c:v>4.21</c:v>
              </c:pt>
              <c:pt idx="2786">
                <c:v>4.21</c:v>
              </c:pt>
              <c:pt idx="2787">
                <c:v>4.21</c:v>
              </c:pt>
              <c:pt idx="2788">
                <c:v>4.21</c:v>
              </c:pt>
              <c:pt idx="2789">
                <c:v>4.21</c:v>
              </c:pt>
              <c:pt idx="2790">
                <c:v>4.21</c:v>
              </c:pt>
              <c:pt idx="2791">
                <c:v>4.21</c:v>
              </c:pt>
              <c:pt idx="2792">
                <c:v>4.21</c:v>
              </c:pt>
              <c:pt idx="2793">
                <c:v>4.21</c:v>
              </c:pt>
              <c:pt idx="2794">
                <c:v>4.21</c:v>
              </c:pt>
              <c:pt idx="2795">
                <c:v>4.21</c:v>
              </c:pt>
              <c:pt idx="2796">
                <c:v>4.21</c:v>
              </c:pt>
              <c:pt idx="2797">
                <c:v>4.21</c:v>
              </c:pt>
              <c:pt idx="2798">
                <c:v>4.21</c:v>
              </c:pt>
              <c:pt idx="2799">
                <c:v>4.21</c:v>
              </c:pt>
              <c:pt idx="2800">
                <c:v>4.21</c:v>
              </c:pt>
              <c:pt idx="2801">
                <c:v>4.21</c:v>
              </c:pt>
              <c:pt idx="2802">
                <c:v>4.21</c:v>
              </c:pt>
              <c:pt idx="2803">
                <c:v>4.21</c:v>
              </c:pt>
              <c:pt idx="2804">
                <c:v>4.21</c:v>
              </c:pt>
              <c:pt idx="2805">
                <c:v>4.21</c:v>
              </c:pt>
              <c:pt idx="2806">
                <c:v>4.21</c:v>
              </c:pt>
              <c:pt idx="2807">
                <c:v>4.21</c:v>
              </c:pt>
              <c:pt idx="2808">
                <c:v>4.21</c:v>
              </c:pt>
              <c:pt idx="2809">
                <c:v>4.21</c:v>
              </c:pt>
              <c:pt idx="2810">
                <c:v>4.21</c:v>
              </c:pt>
              <c:pt idx="2811">
                <c:v>4.21</c:v>
              </c:pt>
              <c:pt idx="2812">
                <c:v>4.21</c:v>
              </c:pt>
              <c:pt idx="2813">
                <c:v>4.21</c:v>
              </c:pt>
              <c:pt idx="2814">
                <c:v>4.21</c:v>
              </c:pt>
              <c:pt idx="2815">
                <c:v>4.21</c:v>
              </c:pt>
              <c:pt idx="2816">
                <c:v>4.21</c:v>
              </c:pt>
              <c:pt idx="2817">
                <c:v>4.21</c:v>
              </c:pt>
              <c:pt idx="2818">
                <c:v>4.21</c:v>
              </c:pt>
              <c:pt idx="2819">
                <c:v>4.21</c:v>
              </c:pt>
              <c:pt idx="2820">
                <c:v>4.21</c:v>
              </c:pt>
              <c:pt idx="2821">
                <c:v>4.21</c:v>
              </c:pt>
              <c:pt idx="2822">
                <c:v>4.21</c:v>
              </c:pt>
              <c:pt idx="2823">
                <c:v>4.21</c:v>
              </c:pt>
              <c:pt idx="2824">
                <c:v>4.21</c:v>
              </c:pt>
              <c:pt idx="2825">
                <c:v>4.21</c:v>
              </c:pt>
              <c:pt idx="2826">
                <c:v>4.21</c:v>
              </c:pt>
              <c:pt idx="2827">
                <c:v>4.21</c:v>
              </c:pt>
              <c:pt idx="2828">
                <c:v>4.21</c:v>
              </c:pt>
              <c:pt idx="2829">
                <c:v>4.21</c:v>
              </c:pt>
              <c:pt idx="2830">
                <c:v>4.21</c:v>
              </c:pt>
              <c:pt idx="2831">
                <c:v>4.21</c:v>
              </c:pt>
              <c:pt idx="2832">
                <c:v>4.21</c:v>
              </c:pt>
              <c:pt idx="2833">
                <c:v>4.21</c:v>
              </c:pt>
              <c:pt idx="2834">
                <c:v>4.21</c:v>
              </c:pt>
              <c:pt idx="2835">
                <c:v>4.21</c:v>
              </c:pt>
              <c:pt idx="2836">
                <c:v>4.21</c:v>
              </c:pt>
              <c:pt idx="2837">
                <c:v>4.21</c:v>
              </c:pt>
              <c:pt idx="2838">
                <c:v>4.21</c:v>
              </c:pt>
              <c:pt idx="2839">
                <c:v>4.21</c:v>
              </c:pt>
              <c:pt idx="2840">
                <c:v>4.21</c:v>
              </c:pt>
              <c:pt idx="2841">
                <c:v>4.21</c:v>
              </c:pt>
              <c:pt idx="2842">
                <c:v>4.21</c:v>
              </c:pt>
              <c:pt idx="2843">
                <c:v>4.21</c:v>
              </c:pt>
              <c:pt idx="2844">
                <c:v>4.21</c:v>
              </c:pt>
              <c:pt idx="2845">
                <c:v>4.21</c:v>
              </c:pt>
              <c:pt idx="2846">
                <c:v>4.21</c:v>
              </c:pt>
              <c:pt idx="2847">
                <c:v>4.21</c:v>
              </c:pt>
              <c:pt idx="2848">
                <c:v>4.21</c:v>
              </c:pt>
              <c:pt idx="2849">
                <c:v>4.21</c:v>
              </c:pt>
              <c:pt idx="2850">
                <c:v>4.21</c:v>
              </c:pt>
              <c:pt idx="2851">
                <c:v>4.21</c:v>
              </c:pt>
              <c:pt idx="2852">
                <c:v>4.21</c:v>
              </c:pt>
              <c:pt idx="2853">
                <c:v>4.21</c:v>
              </c:pt>
              <c:pt idx="2854">
                <c:v>4.21</c:v>
              </c:pt>
              <c:pt idx="2855">
                <c:v>4.21</c:v>
              </c:pt>
              <c:pt idx="2856">
                <c:v>4.21</c:v>
              </c:pt>
              <c:pt idx="2857">
                <c:v>4.21</c:v>
              </c:pt>
              <c:pt idx="2858">
                <c:v>4.21</c:v>
              </c:pt>
              <c:pt idx="2859">
                <c:v>4.21</c:v>
              </c:pt>
              <c:pt idx="2860">
                <c:v>4.21</c:v>
              </c:pt>
              <c:pt idx="2861">
                <c:v>4.21</c:v>
              </c:pt>
              <c:pt idx="2862">
                <c:v>4.21</c:v>
              </c:pt>
              <c:pt idx="2863">
                <c:v>4.21</c:v>
              </c:pt>
              <c:pt idx="2864">
                <c:v>4.21</c:v>
              </c:pt>
              <c:pt idx="2865">
                <c:v>4.21</c:v>
              </c:pt>
              <c:pt idx="2866">
                <c:v>4.21</c:v>
              </c:pt>
              <c:pt idx="2867">
                <c:v>4.21</c:v>
              </c:pt>
              <c:pt idx="2868">
                <c:v>4.21</c:v>
              </c:pt>
              <c:pt idx="2869">
                <c:v>4.21</c:v>
              </c:pt>
              <c:pt idx="2870">
                <c:v>4.21</c:v>
              </c:pt>
              <c:pt idx="2871">
                <c:v>4.21</c:v>
              </c:pt>
              <c:pt idx="2872">
                <c:v>4.21</c:v>
              </c:pt>
              <c:pt idx="2873">
                <c:v>4.21</c:v>
              </c:pt>
              <c:pt idx="2874">
                <c:v>4.21</c:v>
              </c:pt>
              <c:pt idx="2875">
                <c:v>4.21</c:v>
              </c:pt>
              <c:pt idx="2876">
                <c:v>4.21</c:v>
              </c:pt>
              <c:pt idx="2877">
                <c:v>4.21</c:v>
              </c:pt>
              <c:pt idx="2878">
                <c:v>4.21</c:v>
              </c:pt>
              <c:pt idx="2879">
                <c:v>4.21</c:v>
              </c:pt>
              <c:pt idx="2880">
                <c:v>4.21</c:v>
              </c:pt>
              <c:pt idx="2881">
                <c:v>4.21</c:v>
              </c:pt>
              <c:pt idx="2882">
                <c:v>4.21</c:v>
              </c:pt>
              <c:pt idx="2883">
                <c:v>4.21</c:v>
              </c:pt>
              <c:pt idx="2884">
                <c:v>4.21</c:v>
              </c:pt>
              <c:pt idx="2885">
                <c:v>4.21</c:v>
              </c:pt>
              <c:pt idx="2886">
                <c:v>4.21</c:v>
              </c:pt>
            </c:numLit>
          </c:val>
          <c:smooth val="0"/>
          <c:extLst>
            <c:ext xmlns:c16="http://schemas.microsoft.com/office/drawing/2014/chart" uri="{C3380CC4-5D6E-409C-BE32-E72D297353CC}">
              <c16:uniqueId val="{00000006-4557-4156-8111-616AB5FB2C46}"/>
            </c:ext>
          </c:extLst>
        </c:ser>
        <c:ser>
          <c:idx val="3"/>
          <c:order val="3"/>
          <c:spPr>
            <a:ln w="28575" cap="rnd">
              <a:solidFill>
                <a:schemeClr val="accent2"/>
              </a:solidFill>
              <a:round/>
            </a:ln>
            <a:effectLst/>
          </c:spPr>
          <c:marker>
            <c:symbol val="none"/>
          </c:marker>
          <c:dLbls>
            <c:dLbl>
              <c:idx val="1268"/>
              <c:layout>
                <c:manualLayout>
                  <c:x val="-3.3910702107118502E-2"/>
                  <c:y val="-2.683265091863522E-2"/>
                </c:manualLayout>
              </c:layout>
              <c:tx>
                <c:rich>
                  <a:bodyPr/>
                  <a:lstStyle/>
                  <a:p>
                    <a:r>
                      <a:rPr lang="en-US"/>
                      <a:t>UC determination for prior period (</a:t>
                    </a:r>
                    <a:fld id="{55A6160E-89BF-442E-9ACD-8C17922B3007}" type="VALUE">
                      <a:rPr lang="en-US"/>
                      <a:pPr/>
                      <a:t>[VALUE]</a:t>
                    </a:fld>
                    <a:r>
                      <a:rPr lang="en-US"/>
                      <a:t>%)</a:t>
                    </a:r>
                  </a:p>
                </c:rich>
              </c:tx>
              <c:showLegendKey val="0"/>
              <c:showVal val="1"/>
              <c:showCatName val="0"/>
              <c:showSerName val="0"/>
              <c:showPercent val="0"/>
              <c:showBubbleSize val="0"/>
              <c:extLst>
                <c:ext xmlns:c15="http://schemas.microsoft.com/office/drawing/2012/chart" uri="{CE6537A1-D6FC-4f65-9D91-7224C49458BB}">
                  <c15:layout>
                    <c:manualLayout>
                      <c:w val="0.26007999200506221"/>
                      <c:h val="3.7525414325069679E-2"/>
                    </c:manualLayout>
                  </c15:layout>
                  <c15:dlblFieldTable/>
                  <c15:showDataLabelsRange val="0"/>
                </c:ext>
                <c:ext xmlns:c16="http://schemas.microsoft.com/office/drawing/2014/chart" uri="{C3380CC4-5D6E-409C-BE32-E72D297353CC}">
                  <c16:uniqueId val="{00000007-4557-4156-8111-616AB5FB2C46}"/>
                </c:ext>
              </c:extLst>
            </c:dLbl>
            <c:dLbl>
              <c:idx val="2096"/>
              <c:layout>
                <c:manualLayout>
                  <c:x val="-2.5984571660576532E-2"/>
                  <c:y val="-2.6666666666666668E-2"/>
                </c:manualLayout>
              </c:layout>
              <c:tx>
                <c:rich>
                  <a:bodyPr/>
                  <a:lstStyle/>
                  <a:p>
                    <a:r>
                      <a:rPr lang="en-US" b="1">
                        <a:solidFill>
                          <a:schemeClr val="tx2"/>
                        </a:solidFill>
                      </a:rPr>
                      <a:t>UC Determination (</a:t>
                    </a:r>
                    <a:fld id="{5168651B-16E5-44F9-9228-DA55B2EA85F5}" type="VALUE">
                      <a:rPr lang="en-US" b="1">
                        <a:solidFill>
                          <a:schemeClr val="tx2"/>
                        </a:solidFill>
                      </a:rPr>
                      <a:pPr/>
                      <a:t>[VALUE]</a:t>
                    </a:fld>
                    <a:r>
                      <a:rPr lang="en-US" b="1">
                        <a:solidFill>
                          <a:schemeClr val="tx2"/>
                        </a:solidFill>
                      </a:rPr>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4557-4156-8111-616AB5FB2C4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887"/>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38533</c:v>
              </c:pt>
              <c:pt idx="22">
                <c:v>38534</c:v>
              </c:pt>
              <c:pt idx="23">
                <c:v>38537</c:v>
              </c:pt>
              <c:pt idx="24">
                <c:v>38538</c:v>
              </c:pt>
              <c:pt idx="25">
                <c:v>38539</c:v>
              </c:pt>
              <c:pt idx="26">
                <c:v>38540</c:v>
              </c:pt>
              <c:pt idx="27">
                <c:v>38541</c:v>
              </c:pt>
              <c:pt idx="28">
                <c:v>38544</c:v>
              </c:pt>
              <c:pt idx="29">
                <c:v>38545</c:v>
              </c:pt>
              <c:pt idx="30">
                <c:v>38546</c:v>
              </c:pt>
              <c:pt idx="31">
                <c:v>38547</c:v>
              </c:pt>
              <c:pt idx="32">
                <c:v>38548</c:v>
              </c:pt>
              <c:pt idx="33">
                <c:v>38551</c:v>
              </c:pt>
              <c:pt idx="34">
                <c:v>38552</c:v>
              </c:pt>
              <c:pt idx="35">
                <c:v>38553</c:v>
              </c:pt>
              <c:pt idx="36">
                <c:v>38554</c:v>
              </c:pt>
              <c:pt idx="37">
                <c:v>38555</c:v>
              </c:pt>
              <c:pt idx="38">
                <c:v>38558</c:v>
              </c:pt>
              <c:pt idx="39">
                <c:v>38559</c:v>
              </c:pt>
              <c:pt idx="40">
                <c:v>38560</c:v>
              </c:pt>
              <c:pt idx="41">
                <c:v>38561</c:v>
              </c:pt>
              <c:pt idx="42">
                <c:v>38562</c:v>
              </c:pt>
              <c:pt idx="43">
                <c:v>38625</c:v>
              </c:pt>
              <c:pt idx="44">
                <c:v>38628</c:v>
              </c:pt>
              <c:pt idx="45">
                <c:v>38629</c:v>
              </c:pt>
              <c:pt idx="46">
                <c:v>38630</c:v>
              </c:pt>
              <c:pt idx="47">
                <c:v>38631</c:v>
              </c:pt>
              <c:pt idx="48">
                <c:v>38632</c:v>
              </c:pt>
              <c:pt idx="49">
                <c:v>38635</c:v>
              </c:pt>
              <c:pt idx="50">
                <c:v>38636</c:v>
              </c:pt>
              <c:pt idx="51">
                <c:v>38637</c:v>
              </c:pt>
              <c:pt idx="52">
                <c:v>38638</c:v>
              </c:pt>
              <c:pt idx="53">
                <c:v>38639</c:v>
              </c:pt>
              <c:pt idx="54">
                <c:v>38642</c:v>
              </c:pt>
              <c:pt idx="55">
                <c:v>38643</c:v>
              </c:pt>
              <c:pt idx="56">
                <c:v>38644</c:v>
              </c:pt>
              <c:pt idx="57">
                <c:v>38645</c:v>
              </c:pt>
              <c:pt idx="58">
                <c:v>38646</c:v>
              </c:pt>
              <c:pt idx="59">
                <c:v>38649</c:v>
              </c:pt>
              <c:pt idx="60">
                <c:v>38650</c:v>
              </c:pt>
              <c:pt idx="61">
                <c:v>38651</c:v>
              </c:pt>
              <c:pt idx="62">
                <c:v>38652</c:v>
              </c:pt>
              <c:pt idx="63">
                <c:v>38653</c:v>
              </c:pt>
              <c:pt idx="64">
                <c:v>38656</c:v>
              </c:pt>
              <c:pt idx="65">
                <c:v>38657</c:v>
              </c:pt>
              <c:pt idx="66">
                <c:v>38658</c:v>
              </c:pt>
              <c:pt idx="67">
                <c:v>38659</c:v>
              </c:pt>
              <c:pt idx="68">
                <c:v>38660</c:v>
              </c:pt>
              <c:pt idx="69">
                <c:v>38663</c:v>
              </c:pt>
              <c:pt idx="70">
                <c:v>38664</c:v>
              </c:pt>
              <c:pt idx="71">
                <c:v>38665</c:v>
              </c:pt>
              <c:pt idx="72">
                <c:v>38666</c:v>
              </c:pt>
              <c:pt idx="73">
                <c:v>38667</c:v>
              </c:pt>
              <c:pt idx="74">
                <c:v>38670</c:v>
              </c:pt>
              <c:pt idx="75">
                <c:v>38671</c:v>
              </c:pt>
              <c:pt idx="76">
                <c:v>38672</c:v>
              </c:pt>
              <c:pt idx="77">
                <c:v>38673</c:v>
              </c:pt>
              <c:pt idx="78">
                <c:v>38674</c:v>
              </c:pt>
              <c:pt idx="79">
                <c:v>38677</c:v>
              </c:pt>
              <c:pt idx="80">
                <c:v>38678</c:v>
              </c:pt>
              <c:pt idx="81">
                <c:v>38679</c:v>
              </c:pt>
              <c:pt idx="82">
                <c:v>38680</c:v>
              </c:pt>
              <c:pt idx="83">
                <c:v>38681</c:v>
              </c:pt>
              <c:pt idx="84">
                <c:v>38684</c:v>
              </c:pt>
              <c:pt idx="85">
                <c:v>38685</c:v>
              </c:pt>
              <c:pt idx="86">
                <c:v>38686</c:v>
              </c:pt>
              <c:pt idx="87">
                <c:v>38687</c:v>
              </c:pt>
              <c:pt idx="88">
                <c:v>38688</c:v>
              </c:pt>
              <c:pt idx="89">
                <c:v>38691</c:v>
              </c:pt>
              <c:pt idx="90">
                <c:v>38692</c:v>
              </c:pt>
              <c:pt idx="91">
                <c:v>38693</c:v>
              </c:pt>
              <c:pt idx="92">
                <c:v>38694</c:v>
              </c:pt>
              <c:pt idx="93">
                <c:v>38695</c:v>
              </c:pt>
              <c:pt idx="94">
                <c:v>38698</c:v>
              </c:pt>
              <c:pt idx="95">
                <c:v>38699</c:v>
              </c:pt>
              <c:pt idx="96">
                <c:v>38700</c:v>
              </c:pt>
              <c:pt idx="97">
                <c:v>38701</c:v>
              </c:pt>
              <c:pt idx="98">
                <c:v>38702</c:v>
              </c:pt>
              <c:pt idx="99">
                <c:v>38705</c:v>
              </c:pt>
              <c:pt idx="100">
                <c:v>38706</c:v>
              </c:pt>
              <c:pt idx="101">
                <c:v>38707</c:v>
              </c:pt>
              <c:pt idx="102">
                <c:v>38708</c:v>
              </c:pt>
              <c:pt idx="103">
                <c:v>38709</c:v>
              </c:pt>
              <c:pt idx="104">
                <c:v>38714</c:v>
              </c:pt>
              <c:pt idx="105">
                <c:v>38715</c:v>
              </c:pt>
              <c:pt idx="106">
                <c:v>38716</c:v>
              </c:pt>
              <c:pt idx="107">
                <c:v>38720</c:v>
              </c:pt>
              <c:pt idx="108">
                <c:v>38721</c:v>
              </c:pt>
              <c:pt idx="109">
                <c:v>38722</c:v>
              </c:pt>
              <c:pt idx="110">
                <c:v>38723</c:v>
              </c:pt>
              <c:pt idx="111">
                <c:v>38726</c:v>
              </c:pt>
              <c:pt idx="112">
                <c:v>38727</c:v>
              </c:pt>
              <c:pt idx="113">
                <c:v>38728</c:v>
              </c:pt>
              <c:pt idx="114">
                <c:v>38729</c:v>
              </c:pt>
              <c:pt idx="115">
                <c:v>38730</c:v>
              </c:pt>
              <c:pt idx="116">
                <c:v>38733</c:v>
              </c:pt>
              <c:pt idx="117">
                <c:v>38734</c:v>
              </c:pt>
              <c:pt idx="118">
                <c:v>38735</c:v>
              </c:pt>
              <c:pt idx="119">
                <c:v>38736</c:v>
              </c:pt>
              <c:pt idx="120">
                <c:v>38737</c:v>
              </c:pt>
              <c:pt idx="121">
                <c:v>38740</c:v>
              </c:pt>
              <c:pt idx="122">
                <c:v>38741</c:v>
              </c:pt>
              <c:pt idx="123">
                <c:v>38742</c:v>
              </c:pt>
              <c:pt idx="124">
                <c:v>38744</c:v>
              </c:pt>
              <c:pt idx="125">
                <c:v>38747</c:v>
              </c:pt>
              <c:pt idx="126">
                <c:v>38748</c:v>
              </c:pt>
              <c:pt idx="127">
                <c:v>38749</c:v>
              </c:pt>
              <c:pt idx="128">
                <c:v>38750</c:v>
              </c:pt>
              <c:pt idx="129">
                <c:v>38751</c:v>
              </c:pt>
              <c:pt idx="130">
                <c:v>38754</c:v>
              </c:pt>
              <c:pt idx="131">
                <c:v>38755</c:v>
              </c:pt>
              <c:pt idx="132">
                <c:v>38756</c:v>
              </c:pt>
              <c:pt idx="133">
                <c:v>38757</c:v>
              </c:pt>
              <c:pt idx="134">
                <c:v>38758</c:v>
              </c:pt>
              <c:pt idx="135">
                <c:v>38761</c:v>
              </c:pt>
              <c:pt idx="136">
                <c:v>38762</c:v>
              </c:pt>
              <c:pt idx="137">
                <c:v>38763</c:v>
              </c:pt>
              <c:pt idx="138">
                <c:v>38764</c:v>
              </c:pt>
              <c:pt idx="139">
                <c:v>38765</c:v>
              </c:pt>
              <c:pt idx="140">
                <c:v>38768</c:v>
              </c:pt>
              <c:pt idx="141">
                <c:v>38769</c:v>
              </c:pt>
              <c:pt idx="142">
                <c:v>38770</c:v>
              </c:pt>
              <c:pt idx="143">
                <c:v>38771</c:v>
              </c:pt>
              <c:pt idx="144">
                <c:v>38772</c:v>
              </c:pt>
              <c:pt idx="145">
                <c:v>38775</c:v>
              </c:pt>
              <c:pt idx="146">
                <c:v>38776</c:v>
              </c:pt>
              <c:pt idx="147">
                <c:v>38777</c:v>
              </c:pt>
              <c:pt idx="148">
                <c:v>38778</c:v>
              </c:pt>
              <c:pt idx="149">
                <c:v>38779</c:v>
              </c:pt>
              <c:pt idx="150">
                <c:v>38782</c:v>
              </c:pt>
              <c:pt idx="151">
                <c:v>38783</c:v>
              </c:pt>
              <c:pt idx="152">
                <c:v>38784</c:v>
              </c:pt>
              <c:pt idx="153">
                <c:v>38785</c:v>
              </c:pt>
              <c:pt idx="154">
                <c:v>38786</c:v>
              </c:pt>
              <c:pt idx="155">
                <c:v>38789</c:v>
              </c:pt>
              <c:pt idx="156">
                <c:v>38790</c:v>
              </c:pt>
              <c:pt idx="157">
                <c:v>38791</c:v>
              </c:pt>
              <c:pt idx="158">
                <c:v>38792</c:v>
              </c:pt>
              <c:pt idx="159">
                <c:v>38793</c:v>
              </c:pt>
              <c:pt idx="160">
                <c:v>38796</c:v>
              </c:pt>
              <c:pt idx="161">
                <c:v>38797</c:v>
              </c:pt>
              <c:pt idx="162">
                <c:v>38798</c:v>
              </c:pt>
              <c:pt idx="163">
                <c:v>38799</c:v>
              </c:pt>
              <c:pt idx="164">
                <c:v>38800</c:v>
              </c:pt>
              <c:pt idx="165">
                <c:v>38803</c:v>
              </c:pt>
              <c:pt idx="166">
                <c:v>38804</c:v>
              </c:pt>
              <c:pt idx="167">
                <c:v>38805</c:v>
              </c:pt>
              <c:pt idx="168">
                <c:v>38806</c:v>
              </c:pt>
              <c:pt idx="169">
                <c:v>38807</c:v>
              </c:pt>
              <c:pt idx="170">
                <c:v>38810</c:v>
              </c:pt>
              <c:pt idx="171">
                <c:v>38811</c:v>
              </c:pt>
              <c:pt idx="172">
                <c:v>38812</c:v>
              </c:pt>
              <c:pt idx="173">
                <c:v>38813</c:v>
              </c:pt>
              <c:pt idx="174">
                <c:v>38814</c:v>
              </c:pt>
              <c:pt idx="175">
                <c:v>38817</c:v>
              </c:pt>
              <c:pt idx="176">
                <c:v>38818</c:v>
              </c:pt>
              <c:pt idx="177">
                <c:v>38819</c:v>
              </c:pt>
              <c:pt idx="178">
                <c:v>38820</c:v>
              </c:pt>
              <c:pt idx="179">
                <c:v>38825</c:v>
              </c:pt>
              <c:pt idx="180">
                <c:v>38826</c:v>
              </c:pt>
              <c:pt idx="181">
                <c:v>38827</c:v>
              </c:pt>
              <c:pt idx="182">
                <c:v>38828</c:v>
              </c:pt>
              <c:pt idx="183">
                <c:v>38831</c:v>
              </c:pt>
              <c:pt idx="184">
                <c:v>38833</c:v>
              </c:pt>
              <c:pt idx="185">
                <c:v>38834</c:v>
              </c:pt>
              <c:pt idx="186">
                <c:v>38835</c:v>
              </c:pt>
              <c:pt idx="187">
                <c:v>38838</c:v>
              </c:pt>
              <c:pt idx="188">
                <c:v>38839</c:v>
              </c:pt>
              <c:pt idx="189">
                <c:v>38840</c:v>
              </c:pt>
              <c:pt idx="190">
                <c:v>38841</c:v>
              </c:pt>
              <c:pt idx="191">
                <c:v>38842</c:v>
              </c:pt>
              <c:pt idx="192">
                <c:v>38845</c:v>
              </c:pt>
              <c:pt idx="193">
                <c:v>38846</c:v>
              </c:pt>
              <c:pt idx="194">
                <c:v>38847</c:v>
              </c:pt>
              <c:pt idx="195">
                <c:v>38848</c:v>
              </c:pt>
              <c:pt idx="196">
                <c:v>38849</c:v>
              </c:pt>
              <c:pt idx="197">
                <c:v>38852</c:v>
              </c:pt>
              <c:pt idx="198">
                <c:v>38853</c:v>
              </c:pt>
              <c:pt idx="199">
                <c:v>38854</c:v>
              </c:pt>
              <c:pt idx="200">
                <c:v>38855</c:v>
              </c:pt>
              <c:pt idx="201">
                <c:v>38856</c:v>
              </c:pt>
              <c:pt idx="202">
                <c:v>38859</c:v>
              </c:pt>
              <c:pt idx="203">
                <c:v>38860</c:v>
              </c:pt>
              <c:pt idx="204">
                <c:v>38861</c:v>
              </c:pt>
              <c:pt idx="205">
                <c:v>38862</c:v>
              </c:pt>
              <c:pt idx="206">
                <c:v>38863</c:v>
              </c:pt>
              <c:pt idx="207">
                <c:v>38866</c:v>
              </c:pt>
              <c:pt idx="208">
                <c:v>38867</c:v>
              </c:pt>
              <c:pt idx="209">
                <c:v>38868</c:v>
              </c:pt>
              <c:pt idx="210">
                <c:v>38869</c:v>
              </c:pt>
              <c:pt idx="211">
                <c:v>38870</c:v>
              </c:pt>
              <c:pt idx="212">
                <c:v>38873</c:v>
              </c:pt>
              <c:pt idx="213">
                <c:v>38874</c:v>
              </c:pt>
              <c:pt idx="214">
                <c:v>38875</c:v>
              </c:pt>
              <c:pt idx="215">
                <c:v>38876</c:v>
              </c:pt>
              <c:pt idx="216">
                <c:v>38877</c:v>
              </c:pt>
              <c:pt idx="217">
                <c:v>38881</c:v>
              </c:pt>
              <c:pt idx="218">
                <c:v>38882</c:v>
              </c:pt>
              <c:pt idx="219">
                <c:v>38883</c:v>
              </c:pt>
              <c:pt idx="220">
                <c:v>38884</c:v>
              </c:pt>
              <c:pt idx="221">
                <c:v>38887</c:v>
              </c:pt>
              <c:pt idx="222">
                <c:v>38888</c:v>
              </c:pt>
              <c:pt idx="223">
                <c:v>38889</c:v>
              </c:pt>
              <c:pt idx="224">
                <c:v>38890</c:v>
              </c:pt>
              <c:pt idx="225">
                <c:v>38891</c:v>
              </c:pt>
              <c:pt idx="226">
                <c:v>38894</c:v>
              </c:pt>
              <c:pt idx="227">
                <c:v>38895</c:v>
              </c:pt>
              <c:pt idx="228">
                <c:v>38896</c:v>
              </c:pt>
              <c:pt idx="229">
                <c:v>38897</c:v>
              </c:pt>
              <c:pt idx="230">
                <c:v>38898</c:v>
              </c:pt>
              <c:pt idx="231">
                <c:v>38901</c:v>
              </c:pt>
              <c:pt idx="232">
                <c:v>38902</c:v>
              </c:pt>
              <c:pt idx="233">
                <c:v>38903</c:v>
              </c:pt>
              <c:pt idx="234">
                <c:v>38904</c:v>
              </c:pt>
              <c:pt idx="235">
                <c:v>38905</c:v>
              </c:pt>
              <c:pt idx="236">
                <c:v>38908</c:v>
              </c:pt>
              <c:pt idx="237">
                <c:v>38909</c:v>
              </c:pt>
              <c:pt idx="238">
                <c:v>38910</c:v>
              </c:pt>
              <c:pt idx="239">
                <c:v>38911</c:v>
              </c:pt>
              <c:pt idx="240">
                <c:v>38912</c:v>
              </c:pt>
              <c:pt idx="241">
                <c:v>38915</c:v>
              </c:pt>
              <c:pt idx="242">
                <c:v>38916</c:v>
              </c:pt>
              <c:pt idx="243">
                <c:v>38917</c:v>
              </c:pt>
              <c:pt idx="244">
                <c:v>38918</c:v>
              </c:pt>
              <c:pt idx="245">
                <c:v>38919</c:v>
              </c:pt>
              <c:pt idx="246">
                <c:v>38922</c:v>
              </c:pt>
              <c:pt idx="247">
                <c:v>38923</c:v>
              </c:pt>
              <c:pt idx="248">
                <c:v>38924</c:v>
              </c:pt>
              <c:pt idx="249">
                <c:v>38925</c:v>
              </c:pt>
              <c:pt idx="250">
                <c:v>38926</c:v>
              </c:pt>
              <c:pt idx="251">
                <c:v>38929</c:v>
              </c:pt>
              <c:pt idx="252">
                <c:v>38930</c:v>
              </c:pt>
              <c:pt idx="253">
                <c:v>38931</c:v>
              </c:pt>
              <c:pt idx="254">
                <c:v>38932</c:v>
              </c:pt>
              <c:pt idx="255">
                <c:v>38933</c:v>
              </c:pt>
              <c:pt idx="256">
                <c:v>38936</c:v>
              </c:pt>
              <c:pt idx="257">
                <c:v>38937</c:v>
              </c:pt>
              <c:pt idx="258">
                <c:v>38938</c:v>
              </c:pt>
              <c:pt idx="259">
                <c:v>38939</c:v>
              </c:pt>
              <c:pt idx="260">
                <c:v>38940</c:v>
              </c:pt>
              <c:pt idx="261">
                <c:v>38943</c:v>
              </c:pt>
              <c:pt idx="262">
                <c:v>38944</c:v>
              </c:pt>
              <c:pt idx="263">
                <c:v>38945</c:v>
              </c:pt>
              <c:pt idx="264">
                <c:v>38946</c:v>
              </c:pt>
              <c:pt idx="265">
                <c:v>38947</c:v>
              </c:pt>
              <c:pt idx="266">
                <c:v>38950</c:v>
              </c:pt>
              <c:pt idx="267">
                <c:v>38951</c:v>
              </c:pt>
              <c:pt idx="268">
                <c:v>38952</c:v>
              </c:pt>
              <c:pt idx="269">
                <c:v>38953</c:v>
              </c:pt>
              <c:pt idx="270">
                <c:v>38954</c:v>
              </c:pt>
              <c:pt idx="271">
                <c:v>38957</c:v>
              </c:pt>
              <c:pt idx="272">
                <c:v>38958</c:v>
              </c:pt>
              <c:pt idx="273">
                <c:v>38959</c:v>
              </c:pt>
              <c:pt idx="274">
                <c:v>38960</c:v>
              </c:pt>
              <c:pt idx="275">
                <c:v>38961</c:v>
              </c:pt>
              <c:pt idx="276">
                <c:v>38964</c:v>
              </c:pt>
              <c:pt idx="277">
                <c:v>38965</c:v>
              </c:pt>
              <c:pt idx="278">
                <c:v>38966</c:v>
              </c:pt>
              <c:pt idx="279">
                <c:v>38967</c:v>
              </c:pt>
              <c:pt idx="280">
                <c:v>38968</c:v>
              </c:pt>
              <c:pt idx="281">
                <c:v>38971</c:v>
              </c:pt>
              <c:pt idx="282">
                <c:v>38972</c:v>
              </c:pt>
              <c:pt idx="283">
                <c:v>38973</c:v>
              </c:pt>
              <c:pt idx="284">
                <c:v>38974</c:v>
              </c:pt>
              <c:pt idx="285">
                <c:v>38975</c:v>
              </c:pt>
              <c:pt idx="286">
                <c:v>38978</c:v>
              </c:pt>
              <c:pt idx="287">
                <c:v>38979</c:v>
              </c:pt>
              <c:pt idx="288">
                <c:v>38980</c:v>
              </c:pt>
              <c:pt idx="289">
                <c:v>38981</c:v>
              </c:pt>
              <c:pt idx="290">
                <c:v>38982</c:v>
              </c:pt>
              <c:pt idx="291">
                <c:v>38985</c:v>
              </c:pt>
              <c:pt idx="292">
                <c:v>38986</c:v>
              </c:pt>
              <c:pt idx="293">
                <c:v>38987</c:v>
              </c:pt>
              <c:pt idx="294">
                <c:v>38988</c:v>
              </c:pt>
              <c:pt idx="295">
                <c:v>38989</c:v>
              </c:pt>
              <c:pt idx="296">
                <c:v>38992</c:v>
              </c:pt>
              <c:pt idx="297">
                <c:v>38993</c:v>
              </c:pt>
              <c:pt idx="298">
                <c:v>38994</c:v>
              </c:pt>
              <c:pt idx="299">
                <c:v>38995</c:v>
              </c:pt>
              <c:pt idx="300">
                <c:v>38996</c:v>
              </c:pt>
              <c:pt idx="301">
                <c:v>38999</c:v>
              </c:pt>
              <c:pt idx="302">
                <c:v>39000</c:v>
              </c:pt>
              <c:pt idx="303">
                <c:v>39001</c:v>
              </c:pt>
              <c:pt idx="304">
                <c:v>39002</c:v>
              </c:pt>
              <c:pt idx="305">
                <c:v>39003</c:v>
              </c:pt>
              <c:pt idx="306">
                <c:v>39006</c:v>
              </c:pt>
              <c:pt idx="307">
                <c:v>39007</c:v>
              </c:pt>
              <c:pt idx="308">
                <c:v>39008</c:v>
              </c:pt>
              <c:pt idx="309">
                <c:v>39009</c:v>
              </c:pt>
              <c:pt idx="310">
                <c:v>39010</c:v>
              </c:pt>
              <c:pt idx="311">
                <c:v>39013</c:v>
              </c:pt>
              <c:pt idx="312">
                <c:v>39014</c:v>
              </c:pt>
              <c:pt idx="313">
                <c:v>39015</c:v>
              </c:pt>
              <c:pt idx="314">
                <c:v>39016</c:v>
              </c:pt>
              <c:pt idx="315">
                <c:v>39017</c:v>
              </c:pt>
              <c:pt idx="316">
                <c:v>39020</c:v>
              </c:pt>
              <c:pt idx="317">
                <c:v>39021</c:v>
              </c:pt>
              <c:pt idx="318">
                <c:v>39022</c:v>
              </c:pt>
              <c:pt idx="319">
                <c:v>39023</c:v>
              </c:pt>
              <c:pt idx="320">
                <c:v>39024</c:v>
              </c:pt>
              <c:pt idx="321">
                <c:v>39027</c:v>
              </c:pt>
              <c:pt idx="322">
                <c:v>39028</c:v>
              </c:pt>
              <c:pt idx="323">
                <c:v>39029</c:v>
              </c:pt>
              <c:pt idx="324">
                <c:v>39030</c:v>
              </c:pt>
              <c:pt idx="325">
                <c:v>39031</c:v>
              </c:pt>
              <c:pt idx="326">
                <c:v>39034</c:v>
              </c:pt>
              <c:pt idx="327">
                <c:v>39035</c:v>
              </c:pt>
              <c:pt idx="328">
                <c:v>39036</c:v>
              </c:pt>
              <c:pt idx="329">
                <c:v>39037</c:v>
              </c:pt>
              <c:pt idx="330">
                <c:v>39038</c:v>
              </c:pt>
              <c:pt idx="331">
                <c:v>39041</c:v>
              </c:pt>
              <c:pt idx="332">
                <c:v>39042</c:v>
              </c:pt>
              <c:pt idx="333">
                <c:v>39043</c:v>
              </c:pt>
              <c:pt idx="334">
                <c:v>39044</c:v>
              </c:pt>
              <c:pt idx="335">
                <c:v>39045</c:v>
              </c:pt>
              <c:pt idx="336">
                <c:v>39048</c:v>
              </c:pt>
              <c:pt idx="337">
                <c:v>39049</c:v>
              </c:pt>
              <c:pt idx="338">
                <c:v>39050</c:v>
              </c:pt>
              <c:pt idx="339">
                <c:v>39051</c:v>
              </c:pt>
              <c:pt idx="340">
                <c:v>39052</c:v>
              </c:pt>
              <c:pt idx="341">
                <c:v>39055</c:v>
              </c:pt>
              <c:pt idx="342">
                <c:v>39056</c:v>
              </c:pt>
              <c:pt idx="343">
                <c:v>39057</c:v>
              </c:pt>
              <c:pt idx="344">
                <c:v>39058</c:v>
              </c:pt>
              <c:pt idx="345">
                <c:v>39059</c:v>
              </c:pt>
              <c:pt idx="346">
                <c:v>39062</c:v>
              </c:pt>
              <c:pt idx="347">
                <c:v>39063</c:v>
              </c:pt>
              <c:pt idx="348">
                <c:v>39064</c:v>
              </c:pt>
              <c:pt idx="349">
                <c:v>39065</c:v>
              </c:pt>
              <c:pt idx="350">
                <c:v>39066</c:v>
              </c:pt>
              <c:pt idx="351">
                <c:v>39069</c:v>
              </c:pt>
              <c:pt idx="352">
                <c:v>39070</c:v>
              </c:pt>
              <c:pt idx="353">
                <c:v>39071</c:v>
              </c:pt>
              <c:pt idx="354">
                <c:v>39072</c:v>
              </c:pt>
              <c:pt idx="355">
                <c:v>39073</c:v>
              </c:pt>
              <c:pt idx="356">
                <c:v>39078</c:v>
              </c:pt>
              <c:pt idx="357">
                <c:v>39079</c:v>
              </c:pt>
              <c:pt idx="358">
                <c:v>39080</c:v>
              </c:pt>
              <c:pt idx="359">
                <c:v>39084</c:v>
              </c:pt>
              <c:pt idx="360">
                <c:v>39085</c:v>
              </c:pt>
              <c:pt idx="361">
                <c:v>39086</c:v>
              </c:pt>
              <c:pt idx="362">
                <c:v>39087</c:v>
              </c:pt>
              <c:pt idx="363">
                <c:v>39090</c:v>
              </c:pt>
              <c:pt idx="364">
                <c:v>39091</c:v>
              </c:pt>
              <c:pt idx="365">
                <c:v>39092</c:v>
              </c:pt>
              <c:pt idx="366">
                <c:v>39093</c:v>
              </c:pt>
              <c:pt idx="367">
                <c:v>39094</c:v>
              </c:pt>
              <c:pt idx="368">
                <c:v>39097</c:v>
              </c:pt>
              <c:pt idx="369">
                <c:v>39098</c:v>
              </c:pt>
              <c:pt idx="370">
                <c:v>39099</c:v>
              </c:pt>
              <c:pt idx="371">
                <c:v>39100</c:v>
              </c:pt>
              <c:pt idx="372">
                <c:v>39101</c:v>
              </c:pt>
              <c:pt idx="373">
                <c:v>39104</c:v>
              </c:pt>
              <c:pt idx="374">
                <c:v>39105</c:v>
              </c:pt>
              <c:pt idx="375">
                <c:v>39106</c:v>
              </c:pt>
              <c:pt idx="376">
                <c:v>39107</c:v>
              </c:pt>
              <c:pt idx="377">
                <c:v>39111</c:v>
              </c:pt>
              <c:pt idx="378">
                <c:v>39112</c:v>
              </c:pt>
              <c:pt idx="379">
                <c:v>39113</c:v>
              </c:pt>
              <c:pt idx="380">
                <c:v>39114</c:v>
              </c:pt>
              <c:pt idx="381">
                <c:v>39115</c:v>
              </c:pt>
              <c:pt idx="382">
                <c:v>39118</c:v>
              </c:pt>
              <c:pt idx="383">
                <c:v>39119</c:v>
              </c:pt>
              <c:pt idx="384">
                <c:v>39120</c:v>
              </c:pt>
              <c:pt idx="385">
                <c:v>39121</c:v>
              </c:pt>
              <c:pt idx="386">
                <c:v>39122</c:v>
              </c:pt>
              <c:pt idx="387">
                <c:v>39125</c:v>
              </c:pt>
              <c:pt idx="388">
                <c:v>39126</c:v>
              </c:pt>
              <c:pt idx="389">
                <c:v>39127</c:v>
              </c:pt>
              <c:pt idx="390">
                <c:v>39128</c:v>
              </c:pt>
              <c:pt idx="391">
                <c:v>39129</c:v>
              </c:pt>
              <c:pt idx="392">
                <c:v>39132</c:v>
              </c:pt>
              <c:pt idx="393">
                <c:v>39133</c:v>
              </c:pt>
              <c:pt idx="394">
                <c:v>39134</c:v>
              </c:pt>
              <c:pt idx="395">
                <c:v>39135</c:v>
              </c:pt>
              <c:pt idx="396">
                <c:v>39136</c:v>
              </c:pt>
              <c:pt idx="397">
                <c:v>39139</c:v>
              </c:pt>
              <c:pt idx="398">
                <c:v>39140</c:v>
              </c:pt>
              <c:pt idx="399">
                <c:v>39141</c:v>
              </c:pt>
              <c:pt idx="400">
                <c:v>39142</c:v>
              </c:pt>
              <c:pt idx="401">
                <c:v>39143</c:v>
              </c:pt>
              <c:pt idx="402">
                <c:v>39146</c:v>
              </c:pt>
              <c:pt idx="403">
                <c:v>39147</c:v>
              </c:pt>
              <c:pt idx="404">
                <c:v>39148</c:v>
              </c:pt>
              <c:pt idx="405">
                <c:v>39149</c:v>
              </c:pt>
              <c:pt idx="406">
                <c:v>39150</c:v>
              </c:pt>
              <c:pt idx="407">
                <c:v>39153</c:v>
              </c:pt>
              <c:pt idx="408">
                <c:v>39154</c:v>
              </c:pt>
              <c:pt idx="409">
                <c:v>39155</c:v>
              </c:pt>
              <c:pt idx="410">
                <c:v>39156</c:v>
              </c:pt>
              <c:pt idx="411">
                <c:v>39157</c:v>
              </c:pt>
              <c:pt idx="412">
                <c:v>39160</c:v>
              </c:pt>
              <c:pt idx="413">
                <c:v>39161</c:v>
              </c:pt>
              <c:pt idx="414">
                <c:v>39162</c:v>
              </c:pt>
              <c:pt idx="415">
                <c:v>39163</c:v>
              </c:pt>
              <c:pt idx="416">
                <c:v>39164</c:v>
              </c:pt>
              <c:pt idx="417">
                <c:v>39167</c:v>
              </c:pt>
              <c:pt idx="418">
                <c:v>39168</c:v>
              </c:pt>
              <c:pt idx="419">
                <c:v>39169</c:v>
              </c:pt>
              <c:pt idx="420">
                <c:v>39170</c:v>
              </c:pt>
              <c:pt idx="421">
                <c:v>39171</c:v>
              </c:pt>
              <c:pt idx="422">
                <c:v>39174</c:v>
              </c:pt>
              <c:pt idx="423">
                <c:v>39175</c:v>
              </c:pt>
              <c:pt idx="424">
                <c:v>39176</c:v>
              </c:pt>
              <c:pt idx="425">
                <c:v>39177</c:v>
              </c:pt>
              <c:pt idx="426">
                <c:v>39182</c:v>
              </c:pt>
              <c:pt idx="427">
                <c:v>39183</c:v>
              </c:pt>
              <c:pt idx="428">
                <c:v>39184</c:v>
              </c:pt>
              <c:pt idx="429">
                <c:v>39185</c:v>
              </c:pt>
              <c:pt idx="430">
                <c:v>39188</c:v>
              </c:pt>
              <c:pt idx="431">
                <c:v>39189</c:v>
              </c:pt>
              <c:pt idx="432">
                <c:v>39190</c:v>
              </c:pt>
              <c:pt idx="433">
                <c:v>39191</c:v>
              </c:pt>
              <c:pt idx="434">
                <c:v>39192</c:v>
              </c:pt>
              <c:pt idx="435">
                <c:v>39195</c:v>
              </c:pt>
              <c:pt idx="436">
                <c:v>39196</c:v>
              </c:pt>
              <c:pt idx="437">
                <c:v>39198</c:v>
              </c:pt>
              <c:pt idx="438">
                <c:v>39199</c:v>
              </c:pt>
              <c:pt idx="439">
                <c:v>39202</c:v>
              </c:pt>
              <c:pt idx="440">
                <c:v>39203</c:v>
              </c:pt>
              <c:pt idx="441">
                <c:v>39204</c:v>
              </c:pt>
              <c:pt idx="442">
                <c:v>39205</c:v>
              </c:pt>
              <c:pt idx="443">
                <c:v>39206</c:v>
              </c:pt>
              <c:pt idx="444">
                <c:v>39209</c:v>
              </c:pt>
              <c:pt idx="445">
                <c:v>39210</c:v>
              </c:pt>
              <c:pt idx="446">
                <c:v>39211</c:v>
              </c:pt>
              <c:pt idx="447">
                <c:v>39212</c:v>
              </c:pt>
              <c:pt idx="448">
                <c:v>39213</c:v>
              </c:pt>
              <c:pt idx="449">
                <c:v>39216</c:v>
              </c:pt>
              <c:pt idx="450">
                <c:v>39217</c:v>
              </c:pt>
              <c:pt idx="451">
                <c:v>39218</c:v>
              </c:pt>
              <c:pt idx="452">
                <c:v>39219</c:v>
              </c:pt>
              <c:pt idx="453">
                <c:v>39220</c:v>
              </c:pt>
              <c:pt idx="454">
                <c:v>39223</c:v>
              </c:pt>
              <c:pt idx="455">
                <c:v>39224</c:v>
              </c:pt>
              <c:pt idx="456">
                <c:v>39225</c:v>
              </c:pt>
              <c:pt idx="457">
                <c:v>39226</c:v>
              </c:pt>
              <c:pt idx="458">
                <c:v>39227</c:v>
              </c:pt>
              <c:pt idx="459">
                <c:v>39230</c:v>
              </c:pt>
              <c:pt idx="460">
                <c:v>39231</c:v>
              </c:pt>
              <c:pt idx="461">
                <c:v>39232</c:v>
              </c:pt>
              <c:pt idx="462">
                <c:v>39233</c:v>
              </c:pt>
              <c:pt idx="463">
                <c:v>39234</c:v>
              </c:pt>
              <c:pt idx="464">
                <c:v>39237</c:v>
              </c:pt>
              <c:pt idx="465">
                <c:v>39238</c:v>
              </c:pt>
              <c:pt idx="466">
                <c:v>39239</c:v>
              </c:pt>
              <c:pt idx="467">
                <c:v>39240</c:v>
              </c:pt>
              <c:pt idx="468">
                <c:v>39241</c:v>
              </c:pt>
              <c:pt idx="469">
                <c:v>39245</c:v>
              </c:pt>
              <c:pt idx="470">
                <c:v>39246</c:v>
              </c:pt>
              <c:pt idx="471">
                <c:v>39247</c:v>
              </c:pt>
              <c:pt idx="472">
                <c:v>39248</c:v>
              </c:pt>
              <c:pt idx="473">
                <c:v>39251</c:v>
              </c:pt>
              <c:pt idx="474">
                <c:v>39252</c:v>
              </c:pt>
              <c:pt idx="475">
                <c:v>39253</c:v>
              </c:pt>
              <c:pt idx="476">
                <c:v>39254</c:v>
              </c:pt>
              <c:pt idx="477">
                <c:v>39255</c:v>
              </c:pt>
              <c:pt idx="478">
                <c:v>39258</c:v>
              </c:pt>
              <c:pt idx="479">
                <c:v>39259</c:v>
              </c:pt>
              <c:pt idx="480">
                <c:v>39260</c:v>
              </c:pt>
              <c:pt idx="481">
                <c:v>39261</c:v>
              </c:pt>
              <c:pt idx="482">
                <c:v>39262</c:v>
              </c:pt>
              <c:pt idx="483">
                <c:v>39265</c:v>
              </c:pt>
              <c:pt idx="484">
                <c:v>39266</c:v>
              </c:pt>
              <c:pt idx="485">
                <c:v>39267</c:v>
              </c:pt>
              <c:pt idx="486">
                <c:v>39268</c:v>
              </c:pt>
              <c:pt idx="487">
                <c:v>39269</c:v>
              </c:pt>
              <c:pt idx="488">
                <c:v>39272</c:v>
              </c:pt>
              <c:pt idx="489">
                <c:v>39273</c:v>
              </c:pt>
              <c:pt idx="490">
                <c:v>39274</c:v>
              </c:pt>
              <c:pt idx="491">
                <c:v>39275</c:v>
              </c:pt>
              <c:pt idx="492">
                <c:v>39276</c:v>
              </c:pt>
              <c:pt idx="493">
                <c:v>39279</c:v>
              </c:pt>
              <c:pt idx="494">
                <c:v>39280</c:v>
              </c:pt>
              <c:pt idx="495">
                <c:v>39281</c:v>
              </c:pt>
              <c:pt idx="496">
                <c:v>39282</c:v>
              </c:pt>
              <c:pt idx="497">
                <c:v>39283</c:v>
              </c:pt>
              <c:pt idx="498">
                <c:v>39286</c:v>
              </c:pt>
              <c:pt idx="499">
                <c:v>39287</c:v>
              </c:pt>
              <c:pt idx="500">
                <c:v>39288</c:v>
              </c:pt>
              <c:pt idx="501">
                <c:v>39289</c:v>
              </c:pt>
              <c:pt idx="502">
                <c:v>39290</c:v>
              </c:pt>
              <c:pt idx="503">
                <c:v>39293</c:v>
              </c:pt>
              <c:pt idx="504">
                <c:v>39294</c:v>
              </c:pt>
              <c:pt idx="505">
                <c:v>39295</c:v>
              </c:pt>
              <c:pt idx="506">
                <c:v>39296</c:v>
              </c:pt>
              <c:pt idx="507">
                <c:v>39297</c:v>
              </c:pt>
              <c:pt idx="508">
                <c:v>39300</c:v>
              </c:pt>
              <c:pt idx="509">
                <c:v>39301</c:v>
              </c:pt>
              <c:pt idx="510">
                <c:v>39302</c:v>
              </c:pt>
              <c:pt idx="511">
                <c:v>39303</c:v>
              </c:pt>
              <c:pt idx="512">
                <c:v>39304</c:v>
              </c:pt>
              <c:pt idx="513">
                <c:v>39307</c:v>
              </c:pt>
              <c:pt idx="514">
                <c:v>39308</c:v>
              </c:pt>
              <c:pt idx="515">
                <c:v>39309</c:v>
              </c:pt>
              <c:pt idx="516">
                <c:v>39310</c:v>
              </c:pt>
              <c:pt idx="517">
                <c:v>39311</c:v>
              </c:pt>
              <c:pt idx="518">
                <c:v>39314</c:v>
              </c:pt>
              <c:pt idx="519">
                <c:v>39315</c:v>
              </c:pt>
              <c:pt idx="520">
                <c:v>39316</c:v>
              </c:pt>
              <c:pt idx="521">
                <c:v>39317</c:v>
              </c:pt>
              <c:pt idx="522">
                <c:v>39318</c:v>
              </c:pt>
              <c:pt idx="523">
                <c:v>39321</c:v>
              </c:pt>
              <c:pt idx="524">
                <c:v>39322</c:v>
              </c:pt>
              <c:pt idx="525">
                <c:v>39323</c:v>
              </c:pt>
              <c:pt idx="526">
                <c:v>39324</c:v>
              </c:pt>
              <c:pt idx="527">
                <c:v>39325</c:v>
              </c:pt>
              <c:pt idx="528">
                <c:v>39568</c:v>
              </c:pt>
              <c:pt idx="529">
                <c:v>39569</c:v>
              </c:pt>
              <c:pt idx="530">
                <c:v>39570</c:v>
              </c:pt>
              <c:pt idx="531">
                <c:v>39573</c:v>
              </c:pt>
              <c:pt idx="532">
                <c:v>39574</c:v>
              </c:pt>
              <c:pt idx="533">
                <c:v>39575</c:v>
              </c:pt>
              <c:pt idx="534">
                <c:v>39576</c:v>
              </c:pt>
              <c:pt idx="535">
                <c:v>39577</c:v>
              </c:pt>
              <c:pt idx="536">
                <c:v>39580</c:v>
              </c:pt>
              <c:pt idx="537">
                <c:v>39581</c:v>
              </c:pt>
              <c:pt idx="538">
                <c:v>39582</c:v>
              </c:pt>
              <c:pt idx="539">
                <c:v>39583</c:v>
              </c:pt>
              <c:pt idx="540">
                <c:v>39584</c:v>
              </c:pt>
              <c:pt idx="541">
                <c:v>39587</c:v>
              </c:pt>
              <c:pt idx="542">
                <c:v>39588</c:v>
              </c:pt>
              <c:pt idx="543">
                <c:v>39589</c:v>
              </c:pt>
              <c:pt idx="544">
                <c:v>39590</c:v>
              </c:pt>
              <c:pt idx="545">
                <c:v>39591</c:v>
              </c:pt>
              <c:pt idx="546">
                <c:v>39594</c:v>
              </c:pt>
              <c:pt idx="547">
                <c:v>39595</c:v>
              </c:pt>
              <c:pt idx="548">
                <c:v>39596</c:v>
              </c:pt>
              <c:pt idx="549">
                <c:v>39597</c:v>
              </c:pt>
              <c:pt idx="550">
                <c:v>39598</c:v>
              </c:pt>
              <c:pt idx="551">
                <c:v>39660</c:v>
              </c:pt>
              <c:pt idx="552">
                <c:v>39661</c:v>
              </c:pt>
              <c:pt idx="553">
                <c:v>39664</c:v>
              </c:pt>
              <c:pt idx="554">
                <c:v>39665</c:v>
              </c:pt>
              <c:pt idx="555">
                <c:v>39666</c:v>
              </c:pt>
              <c:pt idx="556">
                <c:v>39667</c:v>
              </c:pt>
              <c:pt idx="557">
                <c:v>39668</c:v>
              </c:pt>
              <c:pt idx="558">
                <c:v>39671</c:v>
              </c:pt>
              <c:pt idx="559">
                <c:v>39672</c:v>
              </c:pt>
              <c:pt idx="560">
                <c:v>39673</c:v>
              </c:pt>
              <c:pt idx="561">
                <c:v>39674</c:v>
              </c:pt>
              <c:pt idx="562">
                <c:v>39675</c:v>
              </c:pt>
              <c:pt idx="563">
                <c:v>39678</c:v>
              </c:pt>
              <c:pt idx="564">
                <c:v>39679</c:v>
              </c:pt>
              <c:pt idx="565">
                <c:v>39680</c:v>
              </c:pt>
              <c:pt idx="566">
                <c:v>39681</c:v>
              </c:pt>
              <c:pt idx="567">
                <c:v>39682</c:v>
              </c:pt>
              <c:pt idx="568">
                <c:v>39685</c:v>
              </c:pt>
              <c:pt idx="569">
                <c:v>39686</c:v>
              </c:pt>
              <c:pt idx="570">
                <c:v>39687</c:v>
              </c:pt>
              <c:pt idx="571">
                <c:v>39688</c:v>
              </c:pt>
              <c:pt idx="572">
                <c:v>39689</c:v>
              </c:pt>
              <c:pt idx="573">
                <c:v>39692</c:v>
              </c:pt>
              <c:pt idx="574">
                <c:v>39693</c:v>
              </c:pt>
              <c:pt idx="575">
                <c:v>39694</c:v>
              </c:pt>
              <c:pt idx="576">
                <c:v>39695</c:v>
              </c:pt>
              <c:pt idx="577">
                <c:v>39696</c:v>
              </c:pt>
              <c:pt idx="578">
                <c:v>39699</c:v>
              </c:pt>
              <c:pt idx="579">
                <c:v>39700</c:v>
              </c:pt>
              <c:pt idx="580">
                <c:v>39701</c:v>
              </c:pt>
              <c:pt idx="581">
                <c:v>39702</c:v>
              </c:pt>
              <c:pt idx="582">
                <c:v>39703</c:v>
              </c:pt>
              <c:pt idx="583">
                <c:v>39706</c:v>
              </c:pt>
              <c:pt idx="584">
                <c:v>39707</c:v>
              </c:pt>
              <c:pt idx="585">
                <c:v>39708</c:v>
              </c:pt>
              <c:pt idx="586">
                <c:v>39709</c:v>
              </c:pt>
              <c:pt idx="587">
                <c:v>39710</c:v>
              </c:pt>
              <c:pt idx="588">
                <c:v>39713</c:v>
              </c:pt>
              <c:pt idx="589">
                <c:v>39714</c:v>
              </c:pt>
              <c:pt idx="590">
                <c:v>39715</c:v>
              </c:pt>
              <c:pt idx="591">
                <c:v>39716</c:v>
              </c:pt>
              <c:pt idx="592">
                <c:v>39717</c:v>
              </c:pt>
              <c:pt idx="593">
                <c:v>39720</c:v>
              </c:pt>
              <c:pt idx="594">
                <c:v>39721</c:v>
              </c:pt>
              <c:pt idx="595">
                <c:v>39722</c:v>
              </c:pt>
              <c:pt idx="596">
                <c:v>39723</c:v>
              </c:pt>
              <c:pt idx="597">
                <c:v>39724</c:v>
              </c:pt>
              <c:pt idx="598">
                <c:v>39727</c:v>
              </c:pt>
              <c:pt idx="599">
                <c:v>39728</c:v>
              </c:pt>
              <c:pt idx="600">
                <c:v>39729</c:v>
              </c:pt>
              <c:pt idx="601">
                <c:v>39730</c:v>
              </c:pt>
              <c:pt idx="602">
                <c:v>39731</c:v>
              </c:pt>
              <c:pt idx="603">
                <c:v>39734</c:v>
              </c:pt>
              <c:pt idx="604">
                <c:v>39735</c:v>
              </c:pt>
              <c:pt idx="605">
                <c:v>39736</c:v>
              </c:pt>
              <c:pt idx="606">
                <c:v>39737</c:v>
              </c:pt>
              <c:pt idx="607">
                <c:v>39738</c:v>
              </c:pt>
              <c:pt idx="608">
                <c:v>39741</c:v>
              </c:pt>
              <c:pt idx="609">
                <c:v>39742</c:v>
              </c:pt>
              <c:pt idx="610">
                <c:v>39743</c:v>
              </c:pt>
              <c:pt idx="611">
                <c:v>39744</c:v>
              </c:pt>
              <c:pt idx="612">
                <c:v>39745</c:v>
              </c:pt>
              <c:pt idx="613">
                <c:v>39748</c:v>
              </c:pt>
              <c:pt idx="614">
                <c:v>39749</c:v>
              </c:pt>
              <c:pt idx="615">
                <c:v>39750</c:v>
              </c:pt>
              <c:pt idx="616">
                <c:v>39751</c:v>
              </c:pt>
              <c:pt idx="617">
                <c:v>39752</c:v>
              </c:pt>
              <c:pt idx="618">
                <c:v>39755</c:v>
              </c:pt>
              <c:pt idx="619">
                <c:v>39756</c:v>
              </c:pt>
              <c:pt idx="620">
                <c:v>39757</c:v>
              </c:pt>
              <c:pt idx="621">
                <c:v>39758</c:v>
              </c:pt>
              <c:pt idx="622">
                <c:v>39759</c:v>
              </c:pt>
              <c:pt idx="623">
                <c:v>39762</c:v>
              </c:pt>
              <c:pt idx="624">
                <c:v>39763</c:v>
              </c:pt>
              <c:pt idx="625">
                <c:v>39764</c:v>
              </c:pt>
              <c:pt idx="626">
                <c:v>39765</c:v>
              </c:pt>
              <c:pt idx="627">
                <c:v>39766</c:v>
              </c:pt>
              <c:pt idx="628">
                <c:v>39769</c:v>
              </c:pt>
              <c:pt idx="629">
                <c:v>39770</c:v>
              </c:pt>
              <c:pt idx="630">
                <c:v>39771</c:v>
              </c:pt>
              <c:pt idx="631">
                <c:v>39772</c:v>
              </c:pt>
              <c:pt idx="632">
                <c:v>39773</c:v>
              </c:pt>
              <c:pt idx="633">
                <c:v>39776</c:v>
              </c:pt>
              <c:pt idx="634">
                <c:v>39777</c:v>
              </c:pt>
              <c:pt idx="635">
                <c:v>39778</c:v>
              </c:pt>
              <c:pt idx="636">
                <c:v>39779</c:v>
              </c:pt>
              <c:pt idx="637">
                <c:v>39780</c:v>
              </c:pt>
              <c:pt idx="638">
                <c:v>39783</c:v>
              </c:pt>
              <c:pt idx="639">
                <c:v>39784</c:v>
              </c:pt>
              <c:pt idx="640">
                <c:v>39785</c:v>
              </c:pt>
              <c:pt idx="641">
                <c:v>39786</c:v>
              </c:pt>
              <c:pt idx="642">
                <c:v>39787</c:v>
              </c:pt>
              <c:pt idx="643">
                <c:v>39790</c:v>
              </c:pt>
              <c:pt idx="644">
                <c:v>39791</c:v>
              </c:pt>
              <c:pt idx="645">
                <c:v>39792</c:v>
              </c:pt>
              <c:pt idx="646">
                <c:v>39793</c:v>
              </c:pt>
              <c:pt idx="647">
                <c:v>39794</c:v>
              </c:pt>
              <c:pt idx="648">
                <c:v>39797</c:v>
              </c:pt>
              <c:pt idx="649">
                <c:v>39798</c:v>
              </c:pt>
              <c:pt idx="650">
                <c:v>39799</c:v>
              </c:pt>
              <c:pt idx="651">
                <c:v>39800</c:v>
              </c:pt>
              <c:pt idx="652">
                <c:v>39801</c:v>
              </c:pt>
              <c:pt idx="653">
                <c:v>39804</c:v>
              </c:pt>
              <c:pt idx="654">
                <c:v>39805</c:v>
              </c:pt>
              <c:pt idx="655">
                <c:v>39806</c:v>
              </c:pt>
              <c:pt idx="656">
                <c:v>39811</c:v>
              </c:pt>
              <c:pt idx="657">
                <c:v>39812</c:v>
              </c:pt>
              <c:pt idx="658">
                <c:v>39813</c:v>
              </c:pt>
              <c:pt idx="659">
                <c:v>39815</c:v>
              </c:pt>
              <c:pt idx="660">
                <c:v>39818</c:v>
              </c:pt>
              <c:pt idx="661">
                <c:v>39819</c:v>
              </c:pt>
              <c:pt idx="662">
                <c:v>39820</c:v>
              </c:pt>
              <c:pt idx="663">
                <c:v>39821</c:v>
              </c:pt>
              <c:pt idx="664">
                <c:v>39822</c:v>
              </c:pt>
              <c:pt idx="665">
                <c:v>39825</c:v>
              </c:pt>
              <c:pt idx="666">
                <c:v>39826</c:v>
              </c:pt>
              <c:pt idx="667">
                <c:v>39827</c:v>
              </c:pt>
              <c:pt idx="668">
                <c:v>39828</c:v>
              </c:pt>
              <c:pt idx="669">
                <c:v>39829</c:v>
              </c:pt>
              <c:pt idx="670">
                <c:v>39832</c:v>
              </c:pt>
              <c:pt idx="671">
                <c:v>39833</c:v>
              </c:pt>
              <c:pt idx="672">
                <c:v>39834</c:v>
              </c:pt>
              <c:pt idx="673">
                <c:v>39835</c:v>
              </c:pt>
              <c:pt idx="674">
                <c:v>39836</c:v>
              </c:pt>
              <c:pt idx="675">
                <c:v>39840</c:v>
              </c:pt>
              <c:pt idx="676">
                <c:v>39841</c:v>
              </c:pt>
              <c:pt idx="677">
                <c:v>39842</c:v>
              </c:pt>
              <c:pt idx="678">
                <c:v>39843</c:v>
              </c:pt>
              <c:pt idx="679">
                <c:v>39846</c:v>
              </c:pt>
              <c:pt idx="680">
                <c:v>39847</c:v>
              </c:pt>
              <c:pt idx="681">
                <c:v>39848</c:v>
              </c:pt>
              <c:pt idx="682">
                <c:v>39849</c:v>
              </c:pt>
              <c:pt idx="683">
                <c:v>39850</c:v>
              </c:pt>
              <c:pt idx="684">
                <c:v>39853</c:v>
              </c:pt>
              <c:pt idx="685">
                <c:v>39854</c:v>
              </c:pt>
              <c:pt idx="686">
                <c:v>39855</c:v>
              </c:pt>
              <c:pt idx="687">
                <c:v>39856</c:v>
              </c:pt>
              <c:pt idx="688">
                <c:v>39857</c:v>
              </c:pt>
              <c:pt idx="689">
                <c:v>39860</c:v>
              </c:pt>
              <c:pt idx="690">
                <c:v>39861</c:v>
              </c:pt>
              <c:pt idx="691">
                <c:v>39862</c:v>
              </c:pt>
              <c:pt idx="692">
                <c:v>39863</c:v>
              </c:pt>
              <c:pt idx="693">
                <c:v>39864</c:v>
              </c:pt>
              <c:pt idx="694">
                <c:v>39867</c:v>
              </c:pt>
              <c:pt idx="695">
                <c:v>39868</c:v>
              </c:pt>
              <c:pt idx="696">
                <c:v>39869</c:v>
              </c:pt>
              <c:pt idx="697">
                <c:v>39870</c:v>
              </c:pt>
              <c:pt idx="698">
                <c:v>39871</c:v>
              </c:pt>
              <c:pt idx="699">
                <c:v>39874</c:v>
              </c:pt>
              <c:pt idx="700">
                <c:v>39875</c:v>
              </c:pt>
              <c:pt idx="701">
                <c:v>39876</c:v>
              </c:pt>
              <c:pt idx="702">
                <c:v>39877</c:v>
              </c:pt>
              <c:pt idx="703">
                <c:v>39878</c:v>
              </c:pt>
              <c:pt idx="704">
                <c:v>39881</c:v>
              </c:pt>
              <c:pt idx="705">
                <c:v>39882</c:v>
              </c:pt>
              <c:pt idx="706">
                <c:v>39883</c:v>
              </c:pt>
              <c:pt idx="707">
                <c:v>39884</c:v>
              </c:pt>
              <c:pt idx="708">
                <c:v>39885</c:v>
              </c:pt>
              <c:pt idx="709">
                <c:v>39888</c:v>
              </c:pt>
              <c:pt idx="710">
                <c:v>39889</c:v>
              </c:pt>
              <c:pt idx="711">
                <c:v>39890</c:v>
              </c:pt>
              <c:pt idx="712">
                <c:v>39891</c:v>
              </c:pt>
              <c:pt idx="713">
                <c:v>39892</c:v>
              </c:pt>
              <c:pt idx="714">
                <c:v>39895</c:v>
              </c:pt>
              <c:pt idx="715">
                <c:v>39896</c:v>
              </c:pt>
              <c:pt idx="716">
                <c:v>39897</c:v>
              </c:pt>
              <c:pt idx="717">
                <c:v>39898</c:v>
              </c:pt>
              <c:pt idx="718">
                <c:v>39899</c:v>
              </c:pt>
              <c:pt idx="719">
                <c:v>39902</c:v>
              </c:pt>
              <c:pt idx="720">
                <c:v>39903</c:v>
              </c:pt>
              <c:pt idx="721">
                <c:v>39904</c:v>
              </c:pt>
              <c:pt idx="722">
                <c:v>39905</c:v>
              </c:pt>
              <c:pt idx="723">
                <c:v>39906</c:v>
              </c:pt>
              <c:pt idx="724">
                <c:v>39909</c:v>
              </c:pt>
              <c:pt idx="725">
                <c:v>39910</c:v>
              </c:pt>
              <c:pt idx="726">
                <c:v>39911</c:v>
              </c:pt>
              <c:pt idx="727">
                <c:v>39912</c:v>
              </c:pt>
              <c:pt idx="728">
                <c:v>39917</c:v>
              </c:pt>
              <c:pt idx="729">
                <c:v>39918</c:v>
              </c:pt>
              <c:pt idx="730">
                <c:v>39919</c:v>
              </c:pt>
              <c:pt idx="731">
                <c:v>39920</c:v>
              </c:pt>
              <c:pt idx="732">
                <c:v>39923</c:v>
              </c:pt>
              <c:pt idx="733">
                <c:v>39924</c:v>
              </c:pt>
              <c:pt idx="734">
                <c:v>39925</c:v>
              </c:pt>
              <c:pt idx="735">
                <c:v>39926</c:v>
              </c:pt>
              <c:pt idx="736">
                <c:v>39927</c:v>
              </c:pt>
              <c:pt idx="737">
                <c:v>39930</c:v>
              </c:pt>
              <c:pt idx="738">
                <c:v>39931</c:v>
              </c:pt>
              <c:pt idx="739">
                <c:v>39932</c:v>
              </c:pt>
              <c:pt idx="740">
                <c:v>39933</c:v>
              </c:pt>
              <c:pt idx="741">
                <c:v>39934</c:v>
              </c:pt>
              <c:pt idx="742">
                <c:v>39937</c:v>
              </c:pt>
              <c:pt idx="743">
                <c:v>39938</c:v>
              </c:pt>
              <c:pt idx="744">
                <c:v>39939</c:v>
              </c:pt>
              <c:pt idx="745">
                <c:v>39940</c:v>
              </c:pt>
              <c:pt idx="746">
                <c:v>39941</c:v>
              </c:pt>
              <c:pt idx="747">
                <c:v>39944</c:v>
              </c:pt>
              <c:pt idx="748">
                <c:v>39945</c:v>
              </c:pt>
              <c:pt idx="749">
                <c:v>39946</c:v>
              </c:pt>
              <c:pt idx="750">
                <c:v>39947</c:v>
              </c:pt>
              <c:pt idx="751">
                <c:v>39948</c:v>
              </c:pt>
              <c:pt idx="752">
                <c:v>39951</c:v>
              </c:pt>
              <c:pt idx="753">
                <c:v>39952</c:v>
              </c:pt>
              <c:pt idx="754">
                <c:v>39953</c:v>
              </c:pt>
              <c:pt idx="755">
                <c:v>39954</c:v>
              </c:pt>
              <c:pt idx="756">
                <c:v>39955</c:v>
              </c:pt>
              <c:pt idx="757">
                <c:v>39958</c:v>
              </c:pt>
              <c:pt idx="758">
                <c:v>39959</c:v>
              </c:pt>
              <c:pt idx="759">
                <c:v>39960</c:v>
              </c:pt>
              <c:pt idx="760">
                <c:v>39961</c:v>
              </c:pt>
              <c:pt idx="761">
                <c:v>39962</c:v>
              </c:pt>
              <c:pt idx="762">
                <c:v>39965</c:v>
              </c:pt>
              <c:pt idx="763">
                <c:v>39966</c:v>
              </c:pt>
              <c:pt idx="764">
                <c:v>39967</c:v>
              </c:pt>
              <c:pt idx="765">
                <c:v>39968</c:v>
              </c:pt>
              <c:pt idx="766">
                <c:v>39969</c:v>
              </c:pt>
              <c:pt idx="767">
                <c:v>39973</c:v>
              </c:pt>
              <c:pt idx="768">
                <c:v>39974</c:v>
              </c:pt>
              <c:pt idx="769">
                <c:v>39975</c:v>
              </c:pt>
              <c:pt idx="770">
                <c:v>39976</c:v>
              </c:pt>
              <c:pt idx="771">
                <c:v>39979</c:v>
              </c:pt>
              <c:pt idx="772">
                <c:v>39980</c:v>
              </c:pt>
              <c:pt idx="773">
                <c:v>39981</c:v>
              </c:pt>
              <c:pt idx="774">
                <c:v>39982</c:v>
              </c:pt>
              <c:pt idx="775">
                <c:v>39983</c:v>
              </c:pt>
              <c:pt idx="776">
                <c:v>39986</c:v>
              </c:pt>
              <c:pt idx="777">
                <c:v>39987</c:v>
              </c:pt>
              <c:pt idx="778">
                <c:v>39988</c:v>
              </c:pt>
              <c:pt idx="779">
                <c:v>39989</c:v>
              </c:pt>
              <c:pt idx="780">
                <c:v>39990</c:v>
              </c:pt>
              <c:pt idx="781">
                <c:v>39993</c:v>
              </c:pt>
              <c:pt idx="782">
                <c:v>39994</c:v>
              </c:pt>
              <c:pt idx="783">
                <c:v>39995</c:v>
              </c:pt>
              <c:pt idx="784">
                <c:v>39996</c:v>
              </c:pt>
              <c:pt idx="785">
                <c:v>39997</c:v>
              </c:pt>
              <c:pt idx="786">
                <c:v>40000</c:v>
              </c:pt>
              <c:pt idx="787">
                <c:v>40001</c:v>
              </c:pt>
              <c:pt idx="788">
                <c:v>40002</c:v>
              </c:pt>
              <c:pt idx="789">
                <c:v>40003</c:v>
              </c:pt>
              <c:pt idx="790">
                <c:v>40004</c:v>
              </c:pt>
              <c:pt idx="791">
                <c:v>40007</c:v>
              </c:pt>
              <c:pt idx="792">
                <c:v>40008</c:v>
              </c:pt>
              <c:pt idx="793">
                <c:v>40009</c:v>
              </c:pt>
              <c:pt idx="794">
                <c:v>40010</c:v>
              </c:pt>
              <c:pt idx="795">
                <c:v>40011</c:v>
              </c:pt>
              <c:pt idx="796">
                <c:v>40014</c:v>
              </c:pt>
              <c:pt idx="797">
                <c:v>40015</c:v>
              </c:pt>
              <c:pt idx="798">
                <c:v>40016</c:v>
              </c:pt>
              <c:pt idx="799">
                <c:v>40017</c:v>
              </c:pt>
              <c:pt idx="800">
                <c:v>40018</c:v>
              </c:pt>
              <c:pt idx="801">
                <c:v>40021</c:v>
              </c:pt>
              <c:pt idx="802">
                <c:v>40022</c:v>
              </c:pt>
              <c:pt idx="803">
                <c:v>40023</c:v>
              </c:pt>
              <c:pt idx="804">
                <c:v>40024</c:v>
              </c:pt>
              <c:pt idx="805">
                <c:v>40025</c:v>
              </c:pt>
              <c:pt idx="806">
                <c:v>40028</c:v>
              </c:pt>
              <c:pt idx="807">
                <c:v>40029</c:v>
              </c:pt>
              <c:pt idx="808">
                <c:v>40030</c:v>
              </c:pt>
              <c:pt idx="809">
                <c:v>40031</c:v>
              </c:pt>
              <c:pt idx="810">
                <c:v>40032</c:v>
              </c:pt>
              <c:pt idx="811">
                <c:v>40035</c:v>
              </c:pt>
              <c:pt idx="812">
                <c:v>40036</c:v>
              </c:pt>
              <c:pt idx="813">
                <c:v>40037</c:v>
              </c:pt>
              <c:pt idx="814">
                <c:v>40038</c:v>
              </c:pt>
              <c:pt idx="815">
                <c:v>40039</c:v>
              </c:pt>
              <c:pt idx="816">
                <c:v>40042</c:v>
              </c:pt>
              <c:pt idx="817">
                <c:v>40043</c:v>
              </c:pt>
              <c:pt idx="818">
                <c:v>40044</c:v>
              </c:pt>
              <c:pt idx="819">
                <c:v>40045</c:v>
              </c:pt>
              <c:pt idx="820">
                <c:v>40046</c:v>
              </c:pt>
              <c:pt idx="821">
                <c:v>40049</c:v>
              </c:pt>
              <c:pt idx="822">
                <c:v>40050</c:v>
              </c:pt>
              <c:pt idx="823">
                <c:v>40051</c:v>
              </c:pt>
              <c:pt idx="824">
                <c:v>40052</c:v>
              </c:pt>
              <c:pt idx="825">
                <c:v>40053</c:v>
              </c:pt>
              <c:pt idx="826">
                <c:v>40056</c:v>
              </c:pt>
              <c:pt idx="827">
                <c:v>40057</c:v>
              </c:pt>
              <c:pt idx="828">
                <c:v>40058</c:v>
              </c:pt>
              <c:pt idx="829">
                <c:v>40059</c:v>
              </c:pt>
              <c:pt idx="830">
                <c:v>40060</c:v>
              </c:pt>
              <c:pt idx="831">
                <c:v>40063</c:v>
              </c:pt>
              <c:pt idx="832">
                <c:v>40064</c:v>
              </c:pt>
              <c:pt idx="833">
                <c:v>40065</c:v>
              </c:pt>
              <c:pt idx="834">
                <c:v>40066</c:v>
              </c:pt>
              <c:pt idx="835">
                <c:v>40067</c:v>
              </c:pt>
              <c:pt idx="836">
                <c:v>40070</c:v>
              </c:pt>
              <c:pt idx="837">
                <c:v>40071</c:v>
              </c:pt>
              <c:pt idx="838">
                <c:v>40072</c:v>
              </c:pt>
              <c:pt idx="839">
                <c:v>40073</c:v>
              </c:pt>
              <c:pt idx="840">
                <c:v>40074</c:v>
              </c:pt>
              <c:pt idx="841">
                <c:v>40077</c:v>
              </c:pt>
              <c:pt idx="842">
                <c:v>40078</c:v>
              </c:pt>
              <c:pt idx="843">
                <c:v>40079</c:v>
              </c:pt>
              <c:pt idx="844">
                <c:v>40080</c:v>
              </c:pt>
              <c:pt idx="845">
                <c:v>40081</c:v>
              </c:pt>
              <c:pt idx="846">
                <c:v>40084</c:v>
              </c:pt>
              <c:pt idx="847">
                <c:v>40085</c:v>
              </c:pt>
              <c:pt idx="848">
                <c:v>40086</c:v>
              </c:pt>
              <c:pt idx="849">
                <c:v>40087</c:v>
              </c:pt>
              <c:pt idx="850">
                <c:v>40088</c:v>
              </c:pt>
              <c:pt idx="851">
                <c:v>40091</c:v>
              </c:pt>
              <c:pt idx="852">
                <c:v>40092</c:v>
              </c:pt>
              <c:pt idx="853">
                <c:v>40093</c:v>
              </c:pt>
              <c:pt idx="854">
                <c:v>40094</c:v>
              </c:pt>
              <c:pt idx="855">
                <c:v>40095</c:v>
              </c:pt>
              <c:pt idx="856">
                <c:v>40098</c:v>
              </c:pt>
              <c:pt idx="857">
                <c:v>40099</c:v>
              </c:pt>
              <c:pt idx="858">
                <c:v>40100</c:v>
              </c:pt>
              <c:pt idx="859">
                <c:v>40101</c:v>
              </c:pt>
              <c:pt idx="860">
                <c:v>40102</c:v>
              </c:pt>
              <c:pt idx="861">
                <c:v>40105</c:v>
              </c:pt>
              <c:pt idx="862">
                <c:v>40106</c:v>
              </c:pt>
              <c:pt idx="863">
                <c:v>40107</c:v>
              </c:pt>
              <c:pt idx="864">
                <c:v>40108</c:v>
              </c:pt>
              <c:pt idx="865">
                <c:v>40109</c:v>
              </c:pt>
              <c:pt idx="866">
                <c:v>40112</c:v>
              </c:pt>
              <c:pt idx="867">
                <c:v>40113</c:v>
              </c:pt>
              <c:pt idx="868">
                <c:v>40114</c:v>
              </c:pt>
              <c:pt idx="869">
                <c:v>40115</c:v>
              </c:pt>
              <c:pt idx="870">
                <c:v>40116</c:v>
              </c:pt>
              <c:pt idx="871">
                <c:v>40119</c:v>
              </c:pt>
              <c:pt idx="872">
                <c:v>40120</c:v>
              </c:pt>
              <c:pt idx="873">
                <c:v>40121</c:v>
              </c:pt>
              <c:pt idx="874">
                <c:v>40122</c:v>
              </c:pt>
              <c:pt idx="875">
                <c:v>40123</c:v>
              </c:pt>
              <c:pt idx="876">
                <c:v>40126</c:v>
              </c:pt>
              <c:pt idx="877">
                <c:v>40127</c:v>
              </c:pt>
              <c:pt idx="878">
                <c:v>40128</c:v>
              </c:pt>
              <c:pt idx="879">
                <c:v>40129</c:v>
              </c:pt>
              <c:pt idx="880">
                <c:v>40130</c:v>
              </c:pt>
              <c:pt idx="881">
                <c:v>40133</c:v>
              </c:pt>
              <c:pt idx="882">
                <c:v>40134</c:v>
              </c:pt>
              <c:pt idx="883">
                <c:v>40135</c:v>
              </c:pt>
              <c:pt idx="884">
                <c:v>40136</c:v>
              </c:pt>
              <c:pt idx="885">
                <c:v>40137</c:v>
              </c:pt>
              <c:pt idx="886">
                <c:v>40140</c:v>
              </c:pt>
              <c:pt idx="887">
                <c:v>40141</c:v>
              </c:pt>
              <c:pt idx="888">
                <c:v>40142</c:v>
              </c:pt>
              <c:pt idx="889">
                <c:v>40143</c:v>
              </c:pt>
              <c:pt idx="890">
                <c:v>40144</c:v>
              </c:pt>
              <c:pt idx="891">
                <c:v>40147</c:v>
              </c:pt>
              <c:pt idx="892">
                <c:v>40148</c:v>
              </c:pt>
              <c:pt idx="893">
                <c:v>40149</c:v>
              </c:pt>
              <c:pt idx="894">
                <c:v>40150</c:v>
              </c:pt>
              <c:pt idx="895">
                <c:v>40151</c:v>
              </c:pt>
              <c:pt idx="896">
                <c:v>40154</c:v>
              </c:pt>
              <c:pt idx="897">
                <c:v>40155</c:v>
              </c:pt>
              <c:pt idx="898">
                <c:v>40156</c:v>
              </c:pt>
              <c:pt idx="899">
                <c:v>40157</c:v>
              </c:pt>
              <c:pt idx="900">
                <c:v>40158</c:v>
              </c:pt>
              <c:pt idx="901">
                <c:v>40161</c:v>
              </c:pt>
              <c:pt idx="902">
                <c:v>40162</c:v>
              </c:pt>
              <c:pt idx="903">
                <c:v>40163</c:v>
              </c:pt>
              <c:pt idx="904">
                <c:v>40164</c:v>
              </c:pt>
              <c:pt idx="905">
                <c:v>40165</c:v>
              </c:pt>
              <c:pt idx="906">
                <c:v>40168</c:v>
              </c:pt>
              <c:pt idx="907">
                <c:v>40169</c:v>
              </c:pt>
              <c:pt idx="908">
                <c:v>40170</c:v>
              </c:pt>
              <c:pt idx="909">
                <c:v>40171</c:v>
              </c:pt>
              <c:pt idx="910">
                <c:v>40176</c:v>
              </c:pt>
              <c:pt idx="911">
                <c:v>40177</c:v>
              </c:pt>
              <c:pt idx="912">
                <c:v>40178</c:v>
              </c:pt>
              <c:pt idx="913">
                <c:v>40182</c:v>
              </c:pt>
              <c:pt idx="914">
                <c:v>40183</c:v>
              </c:pt>
              <c:pt idx="915">
                <c:v>40184</c:v>
              </c:pt>
              <c:pt idx="916">
                <c:v>40185</c:v>
              </c:pt>
              <c:pt idx="917">
                <c:v>40186</c:v>
              </c:pt>
              <c:pt idx="918">
                <c:v>40189</c:v>
              </c:pt>
              <c:pt idx="919">
                <c:v>40190</c:v>
              </c:pt>
              <c:pt idx="920">
                <c:v>40191</c:v>
              </c:pt>
              <c:pt idx="921">
                <c:v>40192</c:v>
              </c:pt>
              <c:pt idx="922">
                <c:v>40193</c:v>
              </c:pt>
              <c:pt idx="923">
                <c:v>40196</c:v>
              </c:pt>
              <c:pt idx="924">
                <c:v>40197</c:v>
              </c:pt>
              <c:pt idx="925">
                <c:v>40198</c:v>
              </c:pt>
              <c:pt idx="926">
                <c:v>40199</c:v>
              </c:pt>
              <c:pt idx="927">
                <c:v>40200</c:v>
              </c:pt>
              <c:pt idx="928">
                <c:v>40203</c:v>
              </c:pt>
              <c:pt idx="929">
                <c:v>40205</c:v>
              </c:pt>
              <c:pt idx="930">
                <c:v>40206</c:v>
              </c:pt>
              <c:pt idx="931">
                <c:v>40207</c:v>
              </c:pt>
              <c:pt idx="932">
                <c:v>40210</c:v>
              </c:pt>
              <c:pt idx="933">
                <c:v>40211</c:v>
              </c:pt>
              <c:pt idx="934">
                <c:v>40212</c:v>
              </c:pt>
              <c:pt idx="935">
                <c:v>40213</c:v>
              </c:pt>
              <c:pt idx="936">
                <c:v>40214</c:v>
              </c:pt>
              <c:pt idx="937">
                <c:v>40217</c:v>
              </c:pt>
              <c:pt idx="938">
                <c:v>40218</c:v>
              </c:pt>
              <c:pt idx="939">
                <c:v>40219</c:v>
              </c:pt>
              <c:pt idx="940">
                <c:v>40220</c:v>
              </c:pt>
              <c:pt idx="941">
                <c:v>40221</c:v>
              </c:pt>
              <c:pt idx="942">
                <c:v>40224</c:v>
              </c:pt>
              <c:pt idx="943">
                <c:v>40225</c:v>
              </c:pt>
              <c:pt idx="944">
                <c:v>40226</c:v>
              </c:pt>
              <c:pt idx="945">
                <c:v>40227</c:v>
              </c:pt>
              <c:pt idx="946">
                <c:v>40228</c:v>
              </c:pt>
              <c:pt idx="947">
                <c:v>40231</c:v>
              </c:pt>
              <c:pt idx="948">
                <c:v>40232</c:v>
              </c:pt>
              <c:pt idx="949">
                <c:v>40233</c:v>
              </c:pt>
              <c:pt idx="950">
                <c:v>40234</c:v>
              </c:pt>
              <c:pt idx="951">
                <c:v>40235</c:v>
              </c:pt>
              <c:pt idx="952">
                <c:v>40238</c:v>
              </c:pt>
              <c:pt idx="953">
                <c:v>40239</c:v>
              </c:pt>
              <c:pt idx="954">
                <c:v>40240</c:v>
              </c:pt>
              <c:pt idx="955">
                <c:v>40241</c:v>
              </c:pt>
              <c:pt idx="956">
                <c:v>40242</c:v>
              </c:pt>
              <c:pt idx="957">
                <c:v>40245</c:v>
              </c:pt>
              <c:pt idx="958">
                <c:v>40246</c:v>
              </c:pt>
              <c:pt idx="959">
                <c:v>40247</c:v>
              </c:pt>
              <c:pt idx="960">
                <c:v>40248</c:v>
              </c:pt>
              <c:pt idx="961">
                <c:v>40249</c:v>
              </c:pt>
              <c:pt idx="962">
                <c:v>40252</c:v>
              </c:pt>
              <c:pt idx="963">
                <c:v>40253</c:v>
              </c:pt>
              <c:pt idx="964">
                <c:v>40254</c:v>
              </c:pt>
              <c:pt idx="965">
                <c:v>40255</c:v>
              </c:pt>
              <c:pt idx="966">
                <c:v>40256</c:v>
              </c:pt>
              <c:pt idx="967">
                <c:v>40259</c:v>
              </c:pt>
              <c:pt idx="968">
                <c:v>40260</c:v>
              </c:pt>
              <c:pt idx="969">
                <c:v>40261</c:v>
              </c:pt>
              <c:pt idx="970">
                <c:v>40262</c:v>
              </c:pt>
              <c:pt idx="971">
                <c:v>40263</c:v>
              </c:pt>
              <c:pt idx="972">
                <c:v>40266</c:v>
              </c:pt>
              <c:pt idx="973">
                <c:v>40267</c:v>
              </c:pt>
              <c:pt idx="974">
                <c:v>40268</c:v>
              </c:pt>
              <c:pt idx="975">
                <c:v>40269</c:v>
              </c:pt>
              <c:pt idx="976">
                <c:v>40274</c:v>
              </c:pt>
              <c:pt idx="977">
                <c:v>40275</c:v>
              </c:pt>
              <c:pt idx="978">
                <c:v>40276</c:v>
              </c:pt>
              <c:pt idx="979">
                <c:v>40277</c:v>
              </c:pt>
              <c:pt idx="980">
                <c:v>40280</c:v>
              </c:pt>
              <c:pt idx="981">
                <c:v>40281</c:v>
              </c:pt>
              <c:pt idx="982">
                <c:v>40282</c:v>
              </c:pt>
              <c:pt idx="983">
                <c:v>40283</c:v>
              </c:pt>
              <c:pt idx="984">
                <c:v>40284</c:v>
              </c:pt>
              <c:pt idx="985">
                <c:v>40287</c:v>
              </c:pt>
              <c:pt idx="986">
                <c:v>40288</c:v>
              </c:pt>
              <c:pt idx="987">
                <c:v>40289</c:v>
              </c:pt>
              <c:pt idx="988">
                <c:v>40290</c:v>
              </c:pt>
              <c:pt idx="989">
                <c:v>40291</c:v>
              </c:pt>
              <c:pt idx="990">
                <c:v>40295</c:v>
              </c:pt>
              <c:pt idx="991">
                <c:v>40296</c:v>
              </c:pt>
              <c:pt idx="992">
                <c:v>40297</c:v>
              </c:pt>
              <c:pt idx="993">
                <c:v>40298</c:v>
              </c:pt>
              <c:pt idx="994">
                <c:v>40301</c:v>
              </c:pt>
              <c:pt idx="995">
                <c:v>40302</c:v>
              </c:pt>
              <c:pt idx="996">
                <c:v>40303</c:v>
              </c:pt>
              <c:pt idx="997">
                <c:v>40304</c:v>
              </c:pt>
              <c:pt idx="998">
                <c:v>40305</c:v>
              </c:pt>
              <c:pt idx="999">
                <c:v>40308</c:v>
              </c:pt>
              <c:pt idx="1000">
                <c:v>40309</c:v>
              </c:pt>
              <c:pt idx="1001">
                <c:v>40310</c:v>
              </c:pt>
              <c:pt idx="1002">
                <c:v>40311</c:v>
              </c:pt>
              <c:pt idx="1003">
                <c:v>40312</c:v>
              </c:pt>
              <c:pt idx="1004">
                <c:v>40315</c:v>
              </c:pt>
              <c:pt idx="1005">
                <c:v>40316</c:v>
              </c:pt>
              <c:pt idx="1006">
                <c:v>40317</c:v>
              </c:pt>
              <c:pt idx="1007">
                <c:v>40318</c:v>
              </c:pt>
              <c:pt idx="1008">
                <c:v>40319</c:v>
              </c:pt>
              <c:pt idx="1009">
                <c:v>40322</c:v>
              </c:pt>
              <c:pt idx="1010">
                <c:v>40323</c:v>
              </c:pt>
              <c:pt idx="1011">
                <c:v>40324</c:v>
              </c:pt>
              <c:pt idx="1012">
                <c:v>40325</c:v>
              </c:pt>
              <c:pt idx="1013">
                <c:v>40326</c:v>
              </c:pt>
              <c:pt idx="1014">
                <c:v>40329</c:v>
              </c:pt>
              <c:pt idx="1015">
                <c:v>40330</c:v>
              </c:pt>
              <c:pt idx="1016">
                <c:v>40331</c:v>
              </c:pt>
              <c:pt idx="1017">
                <c:v>40332</c:v>
              </c:pt>
              <c:pt idx="1018">
                <c:v>40333</c:v>
              </c:pt>
              <c:pt idx="1019">
                <c:v>40336</c:v>
              </c:pt>
              <c:pt idx="1020">
                <c:v>40337</c:v>
              </c:pt>
              <c:pt idx="1021">
                <c:v>40338</c:v>
              </c:pt>
              <c:pt idx="1022">
                <c:v>40339</c:v>
              </c:pt>
              <c:pt idx="1023">
                <c:v>40340</c:v>
              </c:pt>
              <c:pt idx="1024">
                <c:v>40344</c:v>
              </c:pt>
              <c:pt idx="1025">
                <c:v>40345</c:v>
              </c:pt>
              <c:pt idx="1026">
                <c:v>40346</c:v>
              </c:pt>
              <c:pt idx="1027">
                <c:v>40347</c:v>
              </c:pt>
              <c:pt idx="1028">
                <c:v>40350</c:v>
              </c:pt>
              <c:pt idx="1029">
                <c:v>40351</c:v>
              </c:pt>
              <c:pt idx="1030">
                <c:v>40352</c:v>
              </c:pt>
              <c:pt idx="1031">
                <c:v>40353</c:v>
              </c:pt>
              <c:pt idx="1032">
                <c:v>40354</c:v>
              </c:pt>
              <c:pt idx="1033">
                <c:v>40357</c:v>
              </c:pt>
              <c:pt idx="1034">
                <c:v>40358</c:v>
              </c:pt>
              <c:pt idx="1035">
                <c:v>40359</c:v>
              </c:pt>
              <c:pt idx="1036">
                <c:v>40360</c:v>
              </c:pt>
              <c:pt idx="1037">
                <c:v>40361</c:v>
              </c:pt>
              <c:pt idx="1038">
                <c:v>40364</c:v>
              </c:pt>
              <c:pt idx="1039">
                <c:v>40365</c:v>
              </c:pt>
              <c:pt idx="1040">
                <c:v>40366</c:v>
              </c:pt>
              <c:pt idx="1041">
                <c:v>40367</c:v>
              </c:pt>
              <c:pt idx="1042">
                <c:v>40368</c:v>
              </c:pt>
              <c:pt idx="1043">
                <c:v>40371</c:v>
              </c:pt>
              <c:pt idx="1044">
                <c:v>40372</c:v>
              </c:pt>
              <c:pt idx="1045">
                <c:v>40373</c:v>
              </c:pt>
              <c:pt idx="1046">
                <c:v>40374</c:v>
              </c:pt>
              <c:pt idx="1047">
                <c:v>40375</c:v>
              </c:pt>
              <c:pt idx="1048">
                <c:v>40378</c:v>
              </c:pt>
              <c:pt idx="1049">
                <c:v>40379</c:v>
              </c:pt>
              <c:pt idx="1050">
                <c:v>40380</c:v>
              </c:pt>
              <c:pt idx="1051">
                <c:v>40381</c:v>
              </c:pt>
              <c:pt idx="1052">
                <c:v>40382</c:v>
              </c:pt>
              <c:pt idx="1053">
                <c:v>40385</c:v>
              </c:pt>
              <c:pt idx="1054">
                <c:v>40386</c:v>
              </c:pt>
              <c:pt idx="1055">
                <c:v>40387</c:v>
              </c:pt>
              <c:pt idx="1056">
                <c:v>40388</c:v>
              </c:pt>
              <c:pt idx="1057">
                <c:v>40389</c:v>
              </c:pt>
              <c:pt idx="1058">
                <c:v>40392</c:v>
              </c:pt>
              <c:pt idx="1059">
                <c:v>40393</c:v>
              </c:pt>
              <c:pt idx="1060">
                <c:v>40394</c:v>
              </c:pt>
              <c:pt idx="1061">
                <c:v>40395</c:v>
              </c:pt>
              <c:pt idx="1062">
                <c:v>40396</c:v>
              </c:pt>
              <c:pt idx="1063">
                <c:v>40399</c:v>
              </c:pt>
              <c:pt idx="1064">
                <c:v>40400</c:v>
              </c:pt>
              <c:pt idx="1065">
                <c:v>40401</c:v>
              </c:pt>
              <c:pt idx="1066">
                <c:v>40402</c:v>
              </c:pt>
              <c:pt idx="1067">
                <c:v>40403</c:v>
              </c:pt>
              <c:pt idx="1068">
                <c:v>40406</c:v>
              </c:pt>
              <c:pt idx="1069">
                <c:v>40407</c:v>
              </c:pt>
              <c:pt idx="1070">
                <c:v>40408</c:v>
              </c:pt>
              <c:pt idx="1071">
                <c:v>40409</c:v>
              </c:pt>
              <c:pt idx="1072">
                <c:v>40410</c:v>
              </c:pt>
              <c:pt idx="1073">
                <c:v>40413</c:v>
              </c:pt>
              <c:pt idx="1074">
                <c:v>40414</c:v>
              </c:pt>
              <c:pt idx="1075">
                <c:v>40415</c:v>
              </c:pt>
              <c:pt idx="1076">
                <c:v>40416</c:v>
              </c:pt>
              <c:pt idx="1077">
                <c:v>40417</c:v>
              </c:pt>
              <c:pt idx="1078">
                <c:v>40420</c:v>
              </c:pt>
              <c:pt idx="1079">
                <c:v>40421</c:v>
              </c:pt>
              <c:pt idx="1080">
                <c:v>40422</c:v>
              </c:pt>
              <c:pt idx="1081">
                <c:v>40423</c:v>
              </c:pt>
              <c:pt idx="1082">
                <c:v>40424</c:v>
              </c:pt>
              <c:pt idx="1083">
                <c:v>40427</c:v>
              </c:pt>
              <c:pt idx="1084">
                <c:v>40428</c:v>
              </c:pt>
              <c:pt idx="1085">
                <c:v>40429</c:v>
              </c:pt>
              <c:pt idx="1086">
                <c:v>40430</c:v>
              </c:pt>
              <c:pt idx="1087">
                <c:v>40431</c:v>
              </c:pt>
              <c:pt idx="1088">
                <c:v>40434</c:v>
              </c:pt>
              <c:pt idx="1089">
                <c:v>40435</c:v>
              </c:pt>
              <c:pt idx="1090">
                <c:v>40436</c:v>
              </c:pt>
              <c:pt idx="1091">
                <c:v>40437</c:v>
              </c:pt>
              <c:pt idx="1092">
                <c:v>40438</c:v>
              </c:pt>
              <c:pt idx="1093">
                <c:v>40441</c:v>
              </c:pt>
              <c:pt idx="1094">
                <c:v>40442</c:v>
              </c:pt>
              <c:pt idx="1095">
                <c:v>40443</c:v>
              </c:pt>
              <c:pt idx="1096">
                <c:v>40444</c:v>
              </c:pt>
              <c:pt idx="1097">
                <c:v>40445</c:v>
              </c:pt>
              <c:pt idx="1098">
                <c:v>40448</c:v>
              </c:pt>
              <c:pt idx="1099">
                <c:v>40449</c:v>
              </c:pt>
              <c:pt idx="1100">
                <c:v>40450</c:v>
              </c:pt>
              <c:pt idx="1101">
                <c:v>40451</c:v>
              </c:pt>
              <c:pt idx="1102">
                <c:v>40452</c:v>
              </c:pt>
              <c:pt idx="1103">
                <c:v>40455</c:v>
              </c:pt>
              <c:pt idx="1104">
                <c:v>40456</c:v>
              </c:pt>
              <c:pt idx="1105">
                <c:v>40457</c:v>
              </c:pt>
              <c:pt idx="1106">
                <c:v>40458</c:v>
              </c:pt>
              <c:pt idx="1107">
                <c:v>40459</c:v>
              </c:pt>
              <c:pt idx="1108">
                <c:v>40462</c:v>
              </c:pt>
              <c:pt idx="1109">
                <c:v>40463</c:v>
              </c:pt>
              <c:pt idx="1110">
                <c:v>40464</c:v>
              </c:pt>
              <c:pt idx="1111">
                <c:v>40465</c:v>
              </c:pt>
              <c:pt idx="1112">
                <c:v>40466</c:v>
              </c:pt>
              <c:pt idx="1113">
                <c:v>40469</c:v>
              </c:pt>
              <c:pt idx="1114">
                <c:v>40470</c:v>
              </c:pt>
              <c:pt idx="1115">
                <c:v>40471</c:v>
              </c:pt>
              <c:pt idx="1116">
                <c:v>40472</c:v>
              </c:pt>
              <c:pt idx="1117">
                <c:v>40473</c:v>
              </c:pt>
              <c:pt idx="1118">
                <c:v>40476</c:v>
              </c:pt>
              <c:pt idx="1119">
                <c:v>40477</c:v>
              </c:pt>
              <c:pt idx="1120">
                <c:v>40478</c:v>
              </c:pt>
              <c:pt idx="1121">
                <c:v>40479</c:v>
              </c:pt>
              <c:pt idx="1122">
                <c:v>40480</c:v>
              </c:pt>
              <c:pt idx="1123">
                <c:v>40483</c:v>
              </c:pt>
              <c:pt idx="1124">
                <c:v>40484</c:v>
              </c:pt>
              <c:pt idx="1125">
                <c:v>40485</c:v>
              </c:pt>
              <c:pt idx="1126">
                <c:v>40486</c:v>
              </c:pt>
              <c:pt idx="1127">
                <c:v>40487</c:v>
              </c:pt>
              <c:pt idx="1128">
                <c:v>40490</c:v>
              </c:pt>
              <c:pt idx="1129">
                <c:v>40491</c:v>
              </c:pt>
              <c:pt idx="1130">
                <c:v>40492</c:v>
              </c:pt>
              <c:pt idx="1131">
                <c:v>40493</c:v>
              </c:pt>
              <c:pt idx="1132">
                <c:v>40494</c:v>
              </c:pt>
              <c:pt idx="1133">
                <c:v>40497</c:v>
              </c:pt>
              <c:pt idx="1134">
                <c:v>40498</c:v>
              </c:pt>
              <c:pt idx="1135">
                <c:v>40499</c:v>
              </c:pt>
              <c:pt idx="1136">
                <c:v>40500</c:v>
              </c:pt>
              <c:pt idx="1137">
                <c:v>40501</c:v>
              </c:pt>
              <c:pt idx="1138">
                <c:v>40504</c:v>
              </c:pt>
              <c:pt idx="1139">
                <c:v>40505</c:v>
              </c:pt>
              <c:pt idx="1140">
                <c:v>40506</c:v>
              </c:pt>
              <c:pt idx="1141">
                <c:v>40507</c:v>
              </c:pt>
              <c:pt idx="1142">
                <c:v>40508</c:v>
              </c:pt>
              <c:pt idx="1143">
                <c:v>40511</c:v>
              </c:pt>
              <c:pt idx="1144">
                <c:v>40512</c:v>
              </c:pt>
              <c:pt idx="1145">
                <c:v>40513</c:v>
              </c:pt>
              <c:pt idx="1146">
                <c:v>40514</c:v>
              </c:pt>
              <c:pt idx="1147">
                <c:v>40515</c:v>
              </c:pt>
              <c:pt idx="1148">
                <c:v>40518</c:v>
              </c:pt>
              <c:pt idx="1149">
                <c:v>40519</c:v>
              </c:pt>
              <c:pt idx="1150">
                <c:v>40520</c:v>
              </c:pt>
              <c:pt idx="1151">
                <c:v>40521</c:v>
              </c:pt>
              <c:pt idx="1152">
                <c:v>40522</c:v>
              </c:pt>
              <c:pt idx="1153">
                <c:v>40525</c:v>
              </c:pt>
              <c:pt idx="1154">
                <c:v>40526</c:v>
              </c:pt>
              <c:pt idx="1155">
                <c:v>40527</c:v>
              </c:pt>
              <c:pt idx="1156">
                <c:v>40528</c:v>
              </c:pt>
              <c:pt idx="1157">
                <c:v>40529</c:v>
              </c:pt>
              <c:pt idx="1158">
                <c:v>40532</c:v>
              </c:pt>
              <c:pt idx="1159">
                <c:v>40533</c:v>
              </c:pt>
              <c:pt idx="1160">
                <c:v>40534</c:v>
              </c:pt>
              <c:pt idx="1161">
                <c:v>40535</c:v>
              </c:pt>
              <c:pt idx="1162">
                <c:v>40536</c:v>
              </c:pt>
              <c:pt idx="1163">
                <c:v>40541</c:v>
              </c:pt>
              <c:pt idx="1164">
                <c:v>40542</c:v>
              </c:pt>
              <c:pt idx="1165">
                <c:v>40543</c:v>
              </c:pt>
              <c:pt idx="1166">
                <c:v>40547</c:v>
              </c:pt>
              <c:pt idx="1167">
                <c:v>40548</c:v>
              </c:pt>
              <c:pt idx="1168">
                <c:v>40549</c:v>
              </c:pt>
              <c:pt idx="1169">
                <c:v>40550</c:v>
              </c:pt>
              <c:pt idx="1170">
                <c:v>40553</c:v>
              </c:pt>
              <c:pt idx="1171">
                <c:v>40554</c:v>
              </c:pt>
              <c:pt idx="1172">
                <c:v>40555</c:v>
              </c:pt>
              <c:pt idx="1173">
                <c:v>40556</c:v>
              </c:pt>
              <c:pt idx="1174">
                <c:v>40557</c:v>
              </c:pt>
              <c:pt idx="1175">
                <c:v>40560</c:v>
              </c:pt>
              <c:pt idx="1176">
                <c:v>40561</c:v>
              </c:pt>
              <c:pt idx="1177">
                <c:v>40562</c:v>
              </c:pt>
              <c:pt idx="1178">
                <c:v>40563</c:v>
              </c:pt>
              <c:pt idx="1179">
                <c:v>40564</c:v>
              </c:pt>
              <c:pt idx="1180">
                <c:v>40567</c:v>
              </c:pt>
              <c:pt idx="1181">
                <c:v>40568</c:v>
              </c:pt>
              <c:pt idx="1182">
                <c:v>40570</c:v>
              </c:pt>
              <c:pt idx="1183">
                <c:v>40571</c:v>
              </c:pt>
              <c:pt idx="1184">
                <c:v>40574</c:v>
              </c:pt>
              <c:pt idx="1185">
                <c:v>40575</c:v>
              </c:pt>
              <c:pt idx="1186">
                <c:v>40576</c:v>
              </c:pt>
              <c:pt idx="1187">
                <c:v>40577</c:v>
              </c:pt>
              <c:pt idx="1188">
                <c:v>40578</c:v>
              </c:pt>
              <c:pt idx="1189">
                <c:v>40581</c:v>
              </c:pt>
              <c:pt idx="1190">
                <c:v>40582</c:v>
              </c:pt>
              <c:pt idx="1191">
                <c:v>40583</c:v>
              </c:pt>
              <c:pt idx="1192">
                <c:v>40584</c:v>
              </c:pt>
              <c:pt idx="1193">
                <c:v>40585</c:v>
              </c:pt>
              <c:pt idx="1194">
                <c:v>40588</c:v>
              </c:pt>
              <c:pt idx="1195">
                <c:v>40589</c:v>
              </c:pt>
              <c:pt idx="1196">
                <c:v>40590</c:v>
              </c:pt>
              <c:pt idx="1197">
                <c:v>40591</c:v>
              </c:pt>
              <c:pt idx="1198">
                <c:v>40592</c:v>
              </c:pt>
              <c:pt idx="1199">
                <c:v>40595</c:v>
              </c:pt>
              <c:pt idx="1200">
                <c:v>40596</c:v>
              </c:pt>
              <c:pt idx="1201">
                <c:v>40597</c:v>
              </c:pt>
              <c:pt idx="1202">
                <c:v>40598</c:v>
              </c:pt>
              <c:pt idx="1203">
                <c:v>40599</c:v>
              </c:pt>
              <c:pt idx="1204">
                <c:v>40602</c:v>
              </c:pt>
              <c:pt idx="1205">
                <c:v>40603</c:v>
              </c:pt>
              <c:pt idx="1206">
                <c:v>40604</c:v>
              </c:pt>
              <c:pt idx="1207">
                <c:v>40605</c:v>
              </c:pt>
              <c:pt idx="1208">
                <c:v>40606</c:v>
              </c:pt>
              <c:pt idx="1209">
                <c:v>40609</c:v>
              </c:pt>
              <c:pt idx="1210">
                <c:v>40610</c:v>
              </c:pt>
              <c:pt idx="1211">
                <c:v>40611</c:v>
              </c:pt>
              <c:pt idx="1212">
                <c:v>40612</c:v>
              </c:pt>
              <c:pt idx="1213">
                <c:v>40613</c:v>
              </c:pt>
              <c:pt idx="1214">
                <c:v>40616</c:v>
              </c:pt>
              <c:pt idx="1215">
                <c:v>40617</c:v>
              </c:pt>
              <c:pt idx="1216">
                <c:v>40618</c:v>
              </c:pt>
              <c:pt idx="1217">
                <c:v>40619</c:v>
              </c:pt>
              <c:pt idx="1218">
                <c:v>40620</c:v>
              </c:pt>
              <c:pt idx="1219">
                <c:v>40623</c:v>
              </c:pt>
              <c:pt idx="1220">
                <c:v>40624</c:v>
              </c:pt>
              <c:pt idx="1221">
                <c:v>40625</c:v>
              </c:pt>
              <c:pt idx="1222">
                <c:v>40626</c:v>
              </c:pt>
              <c:pt idx="1223">
                <c:v>40627</c:v>
              </c:pt>
              <c:pt idx="1224">
                <c:v>40630</c:v>
              </c:pt>
              <c:pt idx="1225">
                <c:v>40631</c:v>
              </c:pt>
              <c:pt idx="1226">
                <c:v>40632</c:v>
              </c:pt>
              <c:pt idx="1227">
                <c:v>40633</c:v>
              </c:pt>
              <c:pt idx="1228">
                <c:v>40634</c:v>
              </c:pt>
              <c:pt idx="1229">
                <c:v>40637</c:v>
              </c:pt>
              <c:pt idx="1230">
                <c:v>40638</c:v>
              </c:pt>
              <c:pt idx="1231">
                <c:v>40639</c:v>
              </c:pt>
              <c:pt idx="1232">
                <c:v>40640</c:v>
              </c:pt>
              <c:pt idx="1233">
                <c:v>40641</c:v>
              </c:pt>
              <c:pt idx="1234">
                <c:v>40644</c:v>
              </c:pt>
              <c:pt idx="1235">
                <c:v>40645</c:v>
              </c:pt>
              <c:pt idx="1236">
                <c:v>40646</c:v>
              </c:pt>
              <c:pt idx="1237">
                <c:v>40647</c:v>
              </c:pt>
              <c:pt idx="1238">
                <c:v>40648</c:v>
              </c:pt>
              <c:pt idx="1239">
                <c:v>40651</c:v>
              </c:pt>
              <c:pt idx="1240">
                <c:v>40652</c:v>
              </c:pt>
              <c:pt idx="1241">
                <c:v>40653</c:v>
              </c:pt>
              <c:pt idx="1242">
                <c:v>40654</c:v>
              </c:pt>
              <c:pt idx="1243">
                <c:v>40660</c:v>
              </c:pt>
              <c:pt idx="1244">
                <c:v>40661</c:v>
              </c:pt>
              <c:pt idx="1245">
                <c:v>40662</c:v>
              </c:pt>
              <c:pt idx="1246">
                <c:v>40665</c:v>
              </c:pt>
              <c:pt idx="1247">
                <c:v>40666</c:v>
              </c:pt>
              <c:pt idx="1248">
                <c:v>40667</c:v>
              </c:pt>
              <c:pt idx="1249">
                <c:v>40668</c:v>
              </c:pt>
              <c:pt idx="1250">
                <c:v>40669</c:v>
              </c:pt>
              <c:pt idx="1251">
                <c:v>40672</c:v>
              </c:pt>
              <c:pt idx="1252">
                <c:v>40673</c:v>
              </c:pt>
              <c:pt idx="1253">
                <c:v>40674</c:v>
              </c:pt>
              <c:pt idx="1254">
                <c:v>40675</c:v>
              </c:pt>
              <c:pt idx="1255">
                <c:v>40676</c:v>
              </c:pt>
              <c:pt idx="1256">
                <c:v>40679</c:v>
              </c:pt>
              <c:pt idx="1257">
                <c:v>40680</c:v>
              </c:pt>
              <c:pt idx="1258">
                <c:v>40681</c:v>
              </c:pt>
              <c:pt idx="1259">
                <c:v>40682</c:v>
              </c:pt>
              <c:pt idx="1260">
                <c:v>40683</c:v>
              </c:pt>
              <c:pt idx="1261">
                <c:v>40686</c:v>
              </c:pt>
              <c:pt idx="1262">
                <c:v>40687</c:v>
              </c:pt>
              <c:pt idx="1263">
                <c:v>40688</c:v>
              </c:pt>
              <c:pt idx="1264">
                <c:v>40689</c:v>
              </c:pt>
              <c:pt idx="1265">
                <c:v>40690</c:v>
              </c:pt>
              <c:pt idx="1266">
                <c:v>40693</c:v>
              </c:pt>
              <c:pt idx="1267">
                <c:v>40694</c:v>
              </c:pt>
              <c:pt idx="1268">
                <c:v>40695</c:v>
              </c:pt>
              <c:pt idx="1269">
                <c:v>40696</c:v>
              </c:pt>
              <c:pt idx="1270">
                <c:v>40697</c:v>
              </c:pt>
              <c:pt idx="1271">
                <c:v>40700</c:v>
              </c:pt>
              <c:pt idx="1272">
                <c:v>40701</c:v>
              </c:pt>
              <c:pt idx="1273">
                <c:v>40702</c:v>
              </c:pt>
              <c:pt idx="1274">
                <c:v>40703</c:v>
              </c:pt>
              <c:pt idx="1275">
                <c:v>40704</c:v>
              </c:pt>
              <c:pt idx="1276">
                <c:v>40708</c:v>
              </c:pt>
              <c:pt idx="1277">
                <c:v>40709</c:v>
              </c:pt>
              <c:pt idx="1278">
                <c:v>40710</c:v>
              </c:pt>
              <c:pt idx="1279">
                <c:v>40711</c:v>
              </c:pt>
              <c:pt idx="1280">
                <c:v>40714</c:v>
              </c:pt>
              <c:pt idx="1281">
                <c:v>40715</c:v>
              </c:pt>
              <c:pt idx="1282">
                <c:v>40716</c:v>
              </c:pt>
              <c:pt idx="1283">
                <c:v>40717</c:v>
              </c:pt>
              <c:pt idx="1284">
                <c:v>40718</c:v>
              </c:pt>
              <c:pt idx="1285">
                <c:v>40721</c:v>
              </c:pt>
              <c:pt idx="1286">
                <c:v>40722</c:v>
              </c:pt>
              <c:pt idx="1287">
                <c:v>40723</c:v>
              </c:pt>
              <c:pt idx="1288">
                <c:v>40724</c:v>
              </c:pt>
              <c:pt idx="1289">
                <c:v>40725</c:v>
              </c:pt>
              <c:pt idx="1290">
                <c:v>40728</c:v>
              </c:pt>
              <c:pt idx="1291">
                <c:v>40729</c:v>
              </c:pt>
              <c:pt idx="1292">
                <c:v>40730</c:v>
              </c:pt>
              <c:pt idx="1293">
                <c:v>40731</c:v>
              </c:pt>
              <c:pt idx="1294">
                <c:v>40732</c:v>
              </c:pt>
              <c:pt idx="1295">
                <c:v>40735</c:v>
              </c:pt>
              <c:pt idx="1296">
                <c:v>40736</c:v>
              </c:pt>
              <c:pt idx="1297">
                <c:v>40737</c:v>
              </c:pt>
              <c:pt idx="1298">
                <c:v>40738</c:v>
              </c:pt>
              <c:pt idx="1299">
                <c:v>40739</c:v>
              </c:pt>
              <c:pt idx="1300">
                <c:v>40742</c:v>
              </c:pt>
              <c:pt idx="1301">
                <c:v>40743</c:v>
              </c:pt>
              <c:pt idx="1302">
                <c:v>40744</c:v>
              </c:pt>
              <c:pt idx="1303">
                <c:v>40745</c:v>
              </c:pt>
              <c:pt idx="1304">
                <c:v>40746</c:v>
              </c:pt>
              <c:pt idx="1305">
                <c:v>40749</c:v>
              </c:pt>
              <c:pt idx="1306">
                <c:v>40750</c:v>
              </c:pt>
              <c:pt idx="1307">
                <c:v>40751</c:v>
              </c:pt>
              <c:pt idx="1308">
                <c:v>40752</c:v>
              </c:pt>
              <c:pt idx="1309">
                <c:v>40753</c:v>
              </c:pt>
              <c:pt idx="1310">
                <c:v>40757</c:v>
              </c:pt>
              <c:pt idx="1311">
                <c:v>40758</c:v>
              </c:pt>
              <c:pt idx="1312">
                <c:v>40759</c:v>
              </c:pt>
              <c:pt idx="1313">
                <c:v>40760</c:v>
              </c:pt>
              <c:pt idx="1314">
                <c:v>40763</c:v>
              </c:pt>
              <c:pt idx="1315">
                <c:v>40764</c:v>
              </c:pt>
              <c:pt idx="1316">
                <c:v>40765</c:v>
              </c:pt>
              <c:pt idx="1317">
                <c:v>40766</c:v>
              </c:pt>
              <c:pt idx="1318">
                <c:v>40767</c:v>
              </c:pt>
              <c:pt idx="1319">
                <c:v>40770</c:v>
              </c:pt>
              <c:pt idx="1320">
                <c:v>40771</c:v>
              </c:pt>
              <c:pt idx="1321">
                <c:v>40772</c:v>
              </c:pt>
              <c:pt idx="1322">
                <c:v>40773</c:v>
              </c:pt>
              <c:pt idx="1323">
                <c:v>40774</c:v>
              </c:pt>
              <c:pt idx="1324">
                <c:v>40777</c:v>
              </c:pt>
              <c:pt idx="1325">
                <c:v>40778</c:v>
              </c:pt>
              <c:pt idx="1326">
                <c:v>40779</c:v>
              </c:pt>
              <c:pt idx="1327">
                <c:v>40780</c:v>
              </c:pt>
              <c:pt idx="1328">
                <c:v>40781</c:v>
              </c:pt>
              <c:pt idx="1329">
                <c:v>40784</c:v>
              </c:pt>
              <c:pt idx="1330">
                <c:v>40785</c:v>
              </c:pt>
              <c:pt idx="1331">
                <c:v>40786</c:v>
              </c:pt>
              <c:pt idx="1332">
                <c:v>40787</c:v>
              </c:pt>
              <c:pt idx="1333">
                <c:v>40788</c:v>
              </c:pt>
              <c:pt idx="1334">
                <c:v>40791</c:v>
              </c:pt>
              <c:pt idx="1335">
                <c:v>40792</c:v>
              </c:pt>
              <c:pt idx="1336">
                <c:v>40793</c:v>
              </c:pt>
              <c:pt idx="1337">
                <c:v>40794</c:v>
              </c:pt>
              <c:pt idx="1338">
                <c:v>40795</c:v>
              </c:pt>
              <c:pt idx="1339">
                <c:v>40798</c:v>
              </c:pt>
              <c:pt idx="1340">
                <c:v>40799</c:v>
              </c:pt>
              <c:pt idx="1341">
                <c:v>40800</c:v>
              </c:pt>
              <c:pt idx="1342">
                <c:v>40801</c:v>
              </c:pt>
              <c:pt idx="1343">
                <c:v>40802</c:v>
              </c:pt>
              <c:pt idx="1344">
                <c:v>40805</c:v>
              </c:pt>
              <c:pt idx="1345">
                <c:v>40806</c:v>
              </c:pt>
              <c:pt idx="1346">
                <c:v>40807</c:v>
              </c:pt>
              <c:pt idx="1347">
                <c:v>40808</c:v>
              </c:pt>
              <c:pt idx="1348">
                <c:v>40809</c:v>
              </c:pt>
              <c:pt idx="1349">
                <c:v>40812</c:v>
              </c:pt>
              <c:pt idx="1350">
                <c:v>40813</c:v>
              </c:pt>
              <c:pt idx="1351">
                <c:v>40814</c:v>
              </c:pt>
              <c:pt idx="1352">
                <c:v>40815</c:v>
              </c:pt>
              <c:pt idx="1353">
                <c:v>40816</c:v>
              </c:pt>
              <c:pt idx="1354">
                <c:v>40820</c:v>
              </c:pt>
              <c:pt idx="1355">
                <c:v>40821</c:v>
              </c:pt>
              <c:pt idx="1356">
                <c:v>40822</c:v>
              </c:pt>
              <c:pt idx="1357">
                <c:v>40823</c:v>
              </c:pt>
              <c:pt idx="1358">
                <c:v>40826</c:v>
              </c:pt>
              <c:pt idx="1359">
                <c:v>40827</c:v>
              </c:pt>
              <c:pt idx="1360">
                <c:v>40828</c:v>
              </c:pt>
              <c:pt idx="1361">
                <c:v>40829</c:v>
              </c:pt>
              <c:pt idx="1362">
                <c:v>40830</c:v>
              </c:pt>
              <c:pt idx="1363">
                <c:v>40833</c:v>
              </c:pt>
              <c:pt idx="1364">
                <c:v>40834</c:v>
              </c:pt>
              <c:pt idx="1365">
                <c:v>40835</c:v>
              </c:pt>
              <c:pt idx="1366">
                <c:v>40836</c:v>
              </c:pt>
              <c:pt idx="1367">
                <c:v>40837</c:v>
              </c:pt>
              <c:pt idx="1368">
                <c:v>40840</c:v>
              </c:pt>
              <c:pt idx="1369">
                <c:v>40841</c:v>
              </c:pt>
              <c:pt idx="1370">
                <c:v>40842</c:v>
              </c:pt>
              <c:pt idx="1371">
                <c:v>40843</c:v>
              </c:pt>
              <c:pt idx="1372">
                <c:v>40844</c:v>
              </c:pt>
              <c:pt idx="1373">
                <c:v>40847</c:v>
              </c:pt>
              <c:pt idx="1374">
                <c:v>40848</c:v>
              </c:pt>
              <c:pt idx="1375">
                <c:v>40849</c:v>
              </c:pt>
              <c:pt idx="1376">
                <c:v>40850</c:v>
              </c:pt>
              <c:pt idx="1377">
                <c:v>40851</c:v>
              </c:pt>
              <c:pt idx="1378">
                <c:v>40854</c:v>
              </c:pt>
              <c:pt idx="1379">
                <c:v>40855</c:v>
              </c:pt>
              <c:pt idx="1380">
                <c:v>40856</c:v>
              </c:pt>
              <c:pt idx="1381">
                <c:v>40857</c:v>
              </c:pt>
              <c:pt idx="1382">
                <c:v>40858</c:v>
              </c:pt>
              <c:pt idx="1383">
                <c:v>40861</c:v>
              </c:pt>
              <c:pt idx="1384">
                <c:v>40862</c:v>
              </c:pt>
              <c:pt idx="1385">
                <c:v>40863</c:v>
              </c:pt>
              <c:pt idx="1386">
                <c:v>40864</c:v>
              </c:pt>
              <c:pt idx="1387">
                <c:v>40865</c:v>
              </c:pt>
              <c:pt idx="1388">
                <c:v>40868</c:v>
              </c:pt>
              <c:pt idx="1389">
                <c:v>40869</c:v>
              </c:pt>
              <c:pt idx="1390">
                <c:v>40870</c:v>
              </c:pt>
              <c:pt idx="1391">
                <c:v>40871</c:v>
              </c:pt>
              <c:pt idx="1392">
                <c:v>40872</c:v>
              </c:pt>
              <c:pt idx="1393">
                <c:v>40875</c:v>
              </c:pt>
              <c:pt idx="1394">
                <c:v>40876</c:v>
              </c:pt>
              <c:pt idx="1395">
                <c:v>40877</c:v>
              </c:pt>
              <c:pt idx="1396">
                <c:v>40878</c:v>
              </c:pt>
              <c:pt idx="1397">
                <c:v>40879</c:v>
              </c:pt>
              <c:pt idx="1398">
                <c:v>40882</c:v>
              </c:pt>
              <c:pt idx="1399">
                <c:v>40883</c:v>
              </c:pt>
              <c:pt idx="1400">
                <c:v>40884</c:v>
              </c:pt>
              <c:pt idx="1401">
                <c:v>40885</c:v>
              </c:pt>
              <c:pt idx="1402">
                <c:v>40886</c:v>
              </c:pt>
              <c:pt idx="1403">
                <c:v>40889</c:v>
              </c:pt>
              <c:pt idx="1404">
                <c:v>40890</c:v>
              </c:pt>
              <c:pt idx="1405">
                <c:v>40891</c:v>
              </c:pt>
              <c:pt idx="1406">
                <c:v>40892</c:v>
              </c:pt>
              <c:pt idx="1407">
                <c:v>40893</c:v>
              </c:pt>
              <c:pt idx="1408">
                <c:v>40896</c:v>
              </c:pt>
              <c:pt idx="1409">
                <c:v>40897</c:v>
              </c:pt>
              <c:pt idx="1410">
                <c:v>40898</c:v>
              </c:pt>
              <c:pt idx="1411">
                <c:v>40899</c:v>
              </c:pt>
              <c:pt idx="1412">
                <c:v>40900</c:v>
              </c:pt>
              <c:pt idx="1413">
                <c:v>40905</c:v>
              </c:pt>
              <c:pt idx="1414">
                <c:v>40906</c:v>
              </c:pt>
              <c:pt idx="1415">
                <c:v>40907</c:v>
              </c:pt>
              <c:pt idx="1416">
                <c:v>40911</c:v>
              </c:pt>
              <c:pt idx="1417">
                <c:v>40912</c:v>
              </c:pt>
              <c:pt idx="1418">
                <c:v>40913</c:v>
              </c:pt>
              <c:pt idx="1419">
                <c:v>40914</c:v>
              </c:pt>
              <c:pt idx="1420">
                <c:v>40917</c:v>
              </c:pt>
              <c:pt idx="1421">
                <c:v>40918</c:v>
              </c:pt>
              <c:pt idx="1422">
                <c:v>40919</c:v>
              </c:pt>
              <c:pt idx="1423">
                <c:v>40920</c:v>
              </c:pt>
              <c:pt idx="1424">
                <c:v>40921</c:v>
              </c:pt>
              <c:pt idx="1425">
                <c:v>40924</c:v>
              </c:pt>
              <c:pt idx="1426">
                <c:v>40925</c:v>
              </c:pt>
              <c:pt idx="1427">
                <c:v>40926</c:v>
              </c:pt>
              <c:pt idx="1428">
                <c:v>40927</c:v>
              </c:pt>
              <c:pt idx="1429">
                <c:v>40928</c:v>
              </c:pt>
              <c:pt idx="1430">
                <c:v>40931</c:v>
              </c:pt>
              <c:pt idx="1431">
                <c:v>40932</c:v>
              </c:pt>
              <c:pt idx="1432">
                <c:v>40933</c:v>
              </c:pt>
              <c:pt idx="1433">
                <c:v>40935</c:v>
              </c:pt>
              <c:pt idx="1434">
                <c:v>40938</c:v>
              </c:pt>
              <c:pt idx="1435">
                <c:v>40939</c:v>
              </c:pt>
              <c:pt idx="1436">
                <c:v>40940</c:v>
              </c:pt>
              <c:pt idx="1437">
                <c:v>40941</c:v>
              </c:pt>
              <c:pt idx="1438">
                <c:v>40942</c:v>
              </c:pt>
              <c:pt idx="1439">
                <c:v>40945</c:v>
              </c:pt>
              <c:pt idx="1440">
                <c:v>40946</c:v>
              </c:pt>
              <c:pt idx="1441">
                <c:v>40947</c:v>
              </c:pt>
              <c:pt idx="1442">
                <c:v>40948</c:v>
              </c:pt>
              <c:pt idx="1443">
                <c:v>40949</c:v>
              </c:pt>
              <c:pt idx="1444">
                <c:v>40952</c:v>
              </c:pt>
              <c:pt idx="1445">
                <c:v>40953</c:v>
              </c:pt>
              <c:pt idx="1446">
                <c:v>40954</c:v>
              </c:pt>
              <c:pt idx="1447">
                <c:v>40955</c:v>
              </c:pt>
              <c:pt idx="1448">
                <c:v>40956</c:v>
              </c:pt>
              <c:pt idx="1449">
                <c:v>40959</c:v>
              </c:pt>
              <c:pt idx="1450">
                <c:v>40960</c:v>
              </c:pt>
              <c:pt idx="1451">
                <c:v>40961</c:v>
              </c:pt>
              <c:pt idx="1452">
                <c:v>40962</c:v>
              </c:pt>
              <c:pt idx="1453">
                <c:v>40963</c:v>
              </c:pt>
              <c:pt idx="1454">
                <c:v>40966</c:v>
              </c:pt>
              <c:pt idx="1455">
                <c:v>40967</c:v>
              </c:pt>
              <c:pt idx="1456">
                <c:v>40968</c:v>
              </c:pt>
              <c:pt idx="1457">
                <c:v>40969</c:v>
              </c:pt>
              <c:pt idx="1458">
                <c:v>40970</c:v>
              </c:pt>
              <c:pt idx="1459">
                <c:v>40973</c:v>
              </c:pt>
              <c:pt idx="1460">
                <c:v>40974</c:v>
              </c:pt>
              <c:pt idx="1461">
                <c:v>40975</c:v>
              </c:pt>
              <c:pt idx="1462">
                <c:v>40976</c:v>
              </c:pt>
              <c:pt idx="1463">
                <c:v>40977</c:v>
              </c:pt>
              <c:pt idx="1464">
                <c:v>40980</c:v>
              </c:pt>
              <c:pt idx="1465">
                <c:v>40981</c:v>
              </c:pt>
              <c:pt idx="1466">
                <c:v>40982</c:v>
              </c:pt>
              <c:pt idx="1467">
                <c:v>40983</c:v>
              </c:pt>
              <c:pt idx="1468">
                <c:v>40984</c:v>
              </c:pt>
              <c:pt idx="1469">
                <c:v>40987</c:v>
              </c:pt>
              <c:pt idx="1470">
                <c:v>40988</c:v>
              </c:pt>
              <c:pt idx="1471">
                <c:v>40989</c:v>
              </c:pt>
              <c:pt idx="1472">
                <c:v>40990</c:v>
              </c:pt>
              <c:pt idx="1473">
                <c:v>40991</c:v>
              </c:pt>
              <c:pt idx="1474">
                <c:v>40994</c:v>
              </c:pt>
              <c:pt idx="1475">
                <c:v>40995</c:v>
              </c:pt>
              <c:pt idx="1476">
                <c:v>40996</c:v>
              </c:pt>
              <c:pt idx="1477">
                <c:v>40997</c:v>
              </c:pt>
              <c:pt idx="1478">
                <c:v>40998</c:v>
              </c:pt>
              <c:pt idx="1479">
                <c:v>41001</c:v>
              </c:pt>
              <c:pt idx="1480">
                <c:v>41002</c:v>
              </c:pt>
              <c:pt idx="1481">
                <c:v>41003</c:v>
              </c:pt>
              <c:pt idx="1482">
                <c:v>41004</c:v>
              </c:pt>
              <c:pt idx="1483">
                <c:v>41009</c:v>
              </c:pt>
              <c:pt idx="1484">
                <c:v>41010</c:v>
              </c:pt>
              <c:pt idx="1485">
                <c:v>41011</c:v>
              </c:pt>
              <c:pt idx="1486">
                <c:v>41012</c:v>
              </c:pt>
              <c:pt idx="1487">
                <c:v>41015</c:v>
              </c:pt>
              <c:pt idx="1488">
                <c:v>41016</c:v>
              </c:pt>
              <c:pt idx="1489">
                <c:v>41017</c:v>
              </c:pt>
              <c:pt idx="1490">
                <c:v>41018</c:v>
              </c:pt>
              <c:pt idx="1491">
                <c:v>41019</c:v>
              </c:pt>
              <c:pt idx="1492">
                <c:v>41022</c:v>
              </c:pt>
              <c:pt idx="1493">
                <c:v>41023</c:v>
              </c:pt>
              <c:pt idx="1494">
                <c:v>41025</c:v>
              </c:pt>
              <c:pt idx="1495">
                <c:v>41026</c:v>
              </c:pt>
              <c:pt idx="1496">
                <c:v>41029</c:v>
              </c:pt>
              <c:pt idx="1497">
                <c:v>41030</c:v>
              </c:pt>
              <c:pt idx="1498">
                <c:v>41031</c:v>
              </c:pt>
              <c:pt idx="1499">
                <c:v>41032</c:v>
              </c:pt>
              <c:pt idx="1500">
                <c:v>41033</c:v>
              </c:pt>
              <c:pt idx="1501">
                <c:v>41036</c:v>
              </c:pt>
              <c:pt idx="1502">
                <c:v>41037</c:v>
              </c:pt>
              <c:pt idx="1503">
                <c:v>41038</c:v>
              </c:pt>
              <c:pt idx="1504">
                <c:v>41039</c:v>
              </c:pt>
              <c:pt idx="1505">
                <c:v>41040</c:v>
              </c:pt>
              <c:pt idx="1506">
                <c:v>41043</c:v>
              </c:pt>
              <c:pt idx="1507">
                <c:v>41044</c:v>
              </c:pt>
              <c:pt idx="1508">
                <c:v>41045</c:v>
              </c:pt>
              <c:pt idx="1509">
                <c:v>41046</c:v>
              </c:pt>
              <c:pt idx="1510">
                <c:v>41047</c:v>
              </c:pt>
              <c:pt idx="1511">
                <c:v>41050</c:v>
              </c:pt>
              <c:pt idx="1512">
                <c:v>41051</c:v>
              </c:pt>
              <c:pt idx="1513">
                <c:v>41052</c:v>
              </c:pt>
              <c:pt idx="1514">
                <c:v>41053</c:v>
              </c:pt>
              <c:pt idx="1515">
                <c:v>41054</c:v>
              </c:pt>
              <c:pt idx="1516">
                <c:v>41057</c:v>
              </c:pt>
              <c:pt idx="1517">
                <c:v>41058</c:v>
              </c:pt>
              <c:pt idx="1518">
                <c:v>41059</c:v>
              </c:pt>
              <c:pt idx="1519">
                <c:v>41060</c:v>
              </c:pt>
              <c:pt idx="1520">
                <c:v>41061</c:v>
              </c:pt>
              <c:pt idx="1521">
                <c:v>41064</c:v>
              </c:pt>
              <c:pt idx="1522">
                <c:v>41065</c:v>
              </c:pt>
              <c:pt idx="1523">
                <c:v>41066</c:v>
              </c:pt>
              <c:pt idx="1524">
                <c:v>41067</c:v>
              </c:pt>
              <c:pt idx="1525">
                <c:v>41068</c:v>
              </c:pt>
              <c:pt idx="1526">
                <c:v>41072</c:v>
              </c:pt>
              <c:pt idx="1527">
                <c:v>41073</c:v>
              </c:pt>
              <c:pt idx="1528">
                <c:v>41074</c:v>
              </c:pt>
              <c:pt idx="1529">
                <c:v>41075</c:v>
              </c:pt>
              <c:pt idx="1530">
                <c:v>41078</c:v>
              </c:pt>
              <c:pt idx="1531">
                <c:v>41079</c:v>
              </c:pt>
              <c:pt idx="1532">
                <c:v>41080</c:v>
              </c:pt>
              <c:pt idx="1533">
                <c:v>41081</c:v>
              </c:pt>
              <c:pt idx="1534">
                <c:v>41082</c:v>
              </c:pt>
              <c:pt idx="1535">
                <c:v>41085</c:v>
              </c:pt>
              <c:pt idx="1536">
                <c:v>41086</c:v>
              </c:pt>
              <c:pt idx="1537">
                <c:v>41087</c:v>
              </c:pt>
              <c:pt idx="1538">
                <c:v>41088</c:v>
              </c:pt>
              <c:pt idx="1539">
                <c:v>41089</c:v>
              </c:pt>
              <c:pt idx="1540">
                <c:v>41092</c:v>
              </c:pt>
              <c:pt idx="1541">
                <c:v>41093</c:v>
              </c:pt>
              <c:pt idx="1542">
                <c:v>41094</c:v>
              </c:pt>
              <c:pt idx="1543">
                <c:v>41095</c:v>
              </c:pt>
              <c:pt idx="1544">
                <c:v>41096</c:v>
              </c:pt>
              <c:pt idx="1545">
                <c:v>41099</c:v>
              </c:pt>
              <c:pt idx="1546">
                <c:v>41100</c:v>
              </c:pt>
              <c:pt idx="1547">
                <c:v>41101</c:v>
              </c:pt>
              <c:pt idx="1548">
                <c:v>41102</c:v>
              </c:pt>
              <c:pt idx="1549">
                <c:v>41103</c:v>
              </c:pt>
              <c:pt idx="1550">
                <c:v>41106</c:v>
              </c:pt>
              <c:pt idx="1551">
                <c:v>41107</c:v>
              </c:pt>
              <c:pt idx="1552">
                <c:v>41108</c:v>
              </c:pt>
              <c:pt idx="1553">
                <c:v>41109</c:v>
              </c:pt>
              <c:pt idx="1554">
                <c:v>41110</c:v>
              </c:pt>
              <c:pt idx="1555">
                <c:v>41113</c:v>
              </c:pt>
              <c:pt idx="1556">
                <c:v>41114</c:v>
              </c:pt>
              <c:pt idx="1557">
                <c:v>41115</c:v>
              </c:pt>
              <c:pt idx="1558">
                <c:v>41116</c:v>
              </c:pt>
              <c:pt idx="1559">
                <c:v>41117</c:v>
              </c:pt>
              <c:pt idx="1560">
                <c:v>41120</c:v>
              </c:pt>
              <c:pt idx="1561">
                <c:v>41121</c:v>
              </c:pt>
              <c:pt idx="1562">
                <c:v>41122</c:v>
              </c:pt>
              <c:pt idx="1563">
                <c:v>41123</c:v>
              </c:pt>
              <c:pt idx="1564">
                <c:v>41124</c:v>
              </c:pt>
              <c:pt idx="1565">
                <c:v>41127</c:v>
              </c:pt>
              <c:pt idx="1566">
                <c:v>41128</c:v>
              </c:pt>
              <c:pt idx="1567">
                <c:v>41129</c:v>
              </c:pt>
              <c:pt idx="1568">
                <c:v>41130</c:v>
              </c:pt>
              <c:pt idx="1569">
                <c:v>41131</c:v>
              </c:pt>
              <c:pt idx="1570">
                <c:v>41134</c:v>
              </c:pt>
              <c:pt idx="1571">
                <c:v>41135</c:v>
              </c:pt>
              <c:pt idx="1572">
                <c:v>41136</c:v>
              </c:pt>
              <c:pt idx="1573">
                <c:v>41137</c:v>
              </c:pt>
              <c:pt idx="1574">
                <c:v>41138</c:v>
              </c:pt>
              <c:pt idx="1575">
                <c:v>41141</c:v>
              </c:pt>
              <c:pt idx="1576">
                <c:v>41142</c:v>
              </c:pt>
              <c:pt idx="1577">
                <c:v>41143</c:v>
              </c:pt>
              <c:pt idx="1578">
                <c:v>41144</c:v>
              </c:pt>
              <c:pt idx="1579">
                <c:v>41145</c:v>
              </c:pt>
              <c:pt idx="1580">
                <c:v>41148</c:v>
              </c:pt>
              <c:pt idx="1581">
                <c:v>41149</c:v>
              </c:pt>
              <c:pt idx="1582">
                <c:v>41150</c:v>
              </c:pt>
              <c:pt idx="1583">
                <c:v>41151</c:v>
              </c:pt>
              <c:pt idx="1584">
                <c:v>41152</c:v>
              </c:pt>
              <c:pt idx="1585">
                <c:v>41155</c:v>
              </c:pt>
              <c:pt idx="1586">
                <c:v>41156</c:v>
              </c:pt>
              <c:pt idx="1587">
                <c:v>41157</c:v>
              </c:pt>
              <c:pt idx="1588">
                <c:v>41158</c:v>
              </c:pt>
              <c:pt idx="1589">
                <c:v>41159</c:v>
              </c:pt>
              <c:pt idx="1590">
                <c:v>41162</c:v>
              </c:pt>
              <c:pt idx="1591">
                <c:v>41163</c:v>
              </c:pt>
              <c:pt idx="1592">
                <c:v>41164</c:v>
              </c:pt>
              <c:pt idx="1593">
                <c:v>41165</c:v>
              </c:pt>
              <c:pt idx="1594">
                <c:v>41166</c:v>
              </c:pt>
              <c:pt idx="1595">
                <c:v>41169</c:v>
              </c:pt>
              <c:pt idx="1596">
                <c:v>41170</c:v>
              </c:pt>
              <c:pt idx="1597">
                <c:v>41171</c:v>
              </c:pt>
              <c:pt idx="1598">
                <c:v>41172</c:v>
              </c:pt>
              <c:pt idx="1599">
                <c:v>41173</c:v>
              </c:pt>
              <c:pt idx="1600">
                <c:v>41176</c:v>
              </c:pt>
              <c:pt idx="1601">
                <c:v>41177</c:v>
              </c:pt>
              <c:pt idx="1602">
                <c:v>41178</c:v>
              </c:pt>
              <c:pt idx="1603">
                <c:v>41179</c:v>
              </c:pt>
              <c:pt idx="1604">
                <c:v>41180</c:v>
              </c:pt>
              <c:pt idx="1605">
                <c:v>41183</c:v>
              </c:pt>
              <c:pt idx="1606">
                <c:v>41184</c:v>
              </c:pt>
              <c:pt idx="1607">
                <c:v>41185</c:v>
              </c:pt>
              <c:pt idx="1608">
                <c:v>41186</c:v>
              </c:pt>
              <c:pt idx="1609">
                <c:v>41187</c:v>
              </c:pt>
              <c:pt idx="1610">
                <c:v>41190</c:v>
              </c:pt>
              <c:pt idx="1611">
                <c:v>41191</c:v>
              </c:pt>
              <c:pt idx="1612">
                <c:v>41192</c:v>
              </c:pt>
              <c:pt idx="1613">
                <c:v>41193</c:v>
              </c:pt>
              <c:pt idx="1614">
                <c:v>41194</c:v>
              </c:pt>
              <c:pt idx="1615">
                <c:v>41197</c:v>
              </c:pt>
              <c:pt idx="1616">
                <c:v>41198</c:v>
              </c:pt>
              <c:pt idx="1617">
                <c:v>41199</c:v>
              </c:pt>
              <c:pt idx="1618">
                <c:v>41200</c:v>
              </c:pt>
              <c:pt idx="1619">
                <c:v>41201</c:v>
              </c:pt>
              <c:pt idx="1620">
                <c:v>41204</c:v>
              </c:pt>
              <c:pt idx="1621">
                <c:v>41205</c:v>
              </c:pt>
              <c:pt idx="1622">
                <c:v>41206</c:v>
              </c:pt>
              <c:pt idx="1623">
                <c:v>41207</c:v>
              </c:pt>
              <c:pt idx="1624">
                <c:v>41208</c:v>
              </c:pt>
              <c:pt idx="1625">
                <c:v>41211</c:v>
              </c:pt>
              <c:pt idx="1626">
                <c:v>41212</c:v>
              </c:pt>
              <c:pt idx="1627">
                <c:v>41213</c:v>
              </c:pt>
              <c:pt idx="1628">
                <c:v>41214</c:v>
              </c:pt>
              <c:pt idx="1629">
                <c:v>41215</c:v>
              </c:pt>
              <c:pt idx="1630">
                <c:v>41218</c:v>
              </c:pt>
              <c:pt idx="1631">
                <c:v>41219</c:v>
              </c:pt>
              <c:pt idx="1632">
                <c:v>41220</c:v>
              </c:pt>
              <c:pt idx="1633">
                <c:v>41221</c:v>
              </c:pt>
              <c:pt idx="1634">
                <c:v>41222</c:v>
              </c:pt>
              <c:pt idx="1635">
                <c:v>41225</c:v>
              </c:pt>
              <c:pt idx="1636">
                <c:v>41226</c:v>
              </c:pt>
              <c:pt idx="1637">
                <c:v>41227</c:v>
              </c:pt>
              <c:pt idx="1638">
                <c:v>41228</c:v>
              </c:pt>
              <c:pt idx="1639">
                <c:v>41229</c:v>
              </c:pt>
              <c:pt idx="1640">
                <c:v>41232</c:v>
              </c:pt>
              <c:pt idx="1641">
                <c:v>41233</c:v>
              </c:pt>
              <c:pt idx="1642">
                <c:v>41234</c:v>
              </c:pt>
              <c:pt idx="1643">
                <c:v>41235</c:v>
              </c:pt>
              <c:pt idx="1644">
                <c:v>41236</c:v>
              </c:pt>
              <c:pt idx="1645">
                <c:v>41239</c:v>
              </c:pt>
              <c:pt idx="1646">
                <c:v>41240</c:v>
              </c:pt>
              <c:pt idx="1647">
                <c:v>41241</c:v>
              </c:pt>
              <c:pt idx="1648">
                <c:v>41242</c:v>
              </c:pt>
              <c:pt idx="1649">
                <c:v>41243</c:v>
              </c:pt>
              <c:pt idx="1650">
                <c:v>41246</c:v>
              </c:pt>
              <c:pt idx="1651">
                <c:v>41247</c:v>
              </c:pt>
              <c:pt idx="1652">
                <c:v>41248</c:v>
              </c:pt>
              <c:pt idx="1653">
                <c:v>41249</c:v>
              </c:pt>
              <c:pt idx="1654">
                <c:v>41250</c:v>
              </c:pt>
              <c:pt idx="1655">
                <c:v>41253</c:v>
              </c:pt>
              <c:pt idx="1656">
                <c:v>41254</c:v>
              </c:pt>
              <c:pt idx="1657">
                <c:v>41255</c:v>
              </c:pt>
              <c:pt idx="1658">
                <c:v>41256</c:v>
              </c:pt>
              <c:pt idx="1659">
                <c:v>41257</c:v>
              </c:pt>
              <c:pt idx="1660">
                <c:v>41260</c:v>
              </c:pt>
              <c:pt idx="1661">
                <c:v>41261</c:v>
              </c:pt>
              <c:pt idx="1662">
                <c:v>41262</c:v>
              </c:pt>
              <c:pt idx="1663">
                <c:v>41263</c:v>
              </c:pt>
              <c:pt idx="1664">
                <c:v>41264</c:v>
              </c:pt>
              <c:pt idx="1665">
                <c:v>41267</c:v>
              </c:pt>
              <c:pt idx="1666">
                <c:v>41270</c:v>
              </c:pt>
              <c:pt idx="1667">
                <c:v>41271</c:v>
              </c:pt>
              <c:pt idx="1668">
                <c:v>41274</c:v>
              </c:pt>
              <c:pt idx="1669">
                <c:v>41276</c:v>
              </c:pt>
              <c:pt idx="1670">
                <c:v>41277</c:v>
              </c:pt>
              <c:pt idx="1671">
                <c:v>41278</c:v>
              </c:pt>
              <c:pt idx="1672">
                <c:v>41281</c:v>
              </c:pt>
              <c:pt idx="1673">
                <c:v>41282</c:v>
              </c:pt>
              <c:pt idx="1674">
                <c:v>41283</c:v>
              </c:pt>
              <c:pt idx="1675">
                <c:v>41284</c:v>
              </c:pt>
              <c:pt idx="1676">
                <c:v>41285</c:v>
              </c:pt>
              <c:pt idx="1677">
                <c:v>41288</c:v>
              </c:pt>
              <c:pt idx="1678">
                <c:v>41289</c:v>
              </c:pt>
              <c:pt idx="1679">
                <c:v>41290</c:v>
              </c:pt>
              <c:pt idx="1680">
                <c:v>41291</c:v>
              </c:pt>
              <c:pt idx="1681">
                <c:v>41292</c:v>
              </c:pt>
              <c:pt idx="1682">
                <c:v>41295</c:v>
              </c:pt>
              <c:pt idx="1683">
                <c:v>41296</c:v>
              </c:pt>
              <c:pt idx="1684">
                <c:v>41297</c:v>
              </c:pt>
              <c:pt idx="1685">
                <c:v>41298</c:v>
              </c:pt>
              <c:pt idx="1686">
                <c:v>41299</c:v>
              </c:pt>
              <c:pt idx="1687">
                <c:v>41303</c:v>
              </c:pt>
              <c:pt idx="1688">
                <c:v>41304</c:v>
              </c:pt>
              <c:pt idx="1689">
                <c:v>41305</c:v>
              </c:pt>
              <c:pt idx="1690">
                <c:v>41306</c:v>
              </c:pt>
              <c:pt idx="1691">
                <c:v>41309</c:v>
              </c:pt>
              <c:pt idx="1692">
                <c:v>41310</c:v>
              </c:pt>
              <c:pt idx="1693">
                <c:v>41311</c:v>
              </c:pt>
              <c:pt idx="1694">
                <c:v>41312</c:v>
              </c:pt>
              <c:pt idx="1695">
                <c:v>41313</c:v>
              </c:pt>
              <c:pt idx="1696">
                <c:v>41316</c:v>
              </c:pt>
              <c:pt idx="1697">
                <c:v>41317</c:v>
              </c:pt>
              <c:pt idx="1698">
                <c:v>41318</c:v>
              </c:pt>
              <c:pt idx="1699">
                <c:v>41319</c:v>
              </c:pt>
              <c:pt idx="1700">
                <c:v>41320</c:v>
              </c:pt>
              <c:pt idx="1701">
                <c:v>41323</c:v>
              </c:pt>
              <c:pt idx="1702">
                <c:v>41324</c:v>
              </c:pt>
              <c:pt idx="1703">
                <c:v>41325</c:v>
              </c:pt>
              <c:pt idx="1704">
                <c:v>41326</c:v>
              </c:pt>
              <c:pt idx="1705">
                <c:v>41327</c:v>
              </c:pt>
              <c:pt idx="1706">
                <c:v>41330</c:v>
              </c:pt>
              <c:pt idx="1707">
                <c:v>41331</c:v>
              </c:pt>
              <c:pt idx="1708">
                <c:v>41332</c:v>
              </c:pt>
              <c:pt idx="1709">
                <c:v>41333</c:v>
              </c:pt>
              <c:pt idx="1710">
                <c:v>41334</c:v>
              </c:pt>
              <c:pt idx="1711">
                <c:v>41337</c:v>
              </c:pt>
              <c:pt idx="1712">
                <c:v>41338</c:v>
              </c:pt>
              <c:pt idx="1713">
                <c:v>41339</c:v>
              </c:pt>
              <c:pt idx="1714">
                <c:v>41340</c:v>
              </c:pt>
              <c:pt idx="1715">
                <c:v>41341</c:v>
              </c:pt>
              <c:pt idx="1716">
                <c:v>41344</c:v>
              </c:pt>
              <c:pt idx="1717">
                <c:v>41345</c:v>
              </c:pt>
              <c:pt idx="1718">
                <c:v>41346</c:v>
              </c:pt>
              <c:pt idx="1719">
                <c:v>41347</c:v>
              </c:pt>
              <c:pt idx="1720">
                <c:v>41348</c:v>
              </c:pt>
              <c:pt idx="1721">
                <c:v>41351</c:v>
              </c:pt>
              <c:pt idx="1722">
                <c:v>41352</c:v>
              </c:pt>
              <c:pt idx="1723">
                <c:v>41353</c:v>
              </c:pt>
              <c:pt idx="1724">
                <c:v>41354</c:v>
              </c:pt>
              <c:pt idx="1725">
                <c:v>41355</c:v>
              </c:pt>
              <c:pt idx="1726">
                <c:v>41358</c:v>
              </c:pt>
              <c:pt idx="1727">
                <c:v>41359</c:v>
              </c:pt>
              <c:pt idx="1728">
                <c:v>41360</c:v>
              </c:pt>
              <c:pt idx="1729">
                <c:v>41361</c:v>
              </c:pt>
              <c:pt idx="1730">
                <c:v>41366</c:v>
              </c:pt>
              <c:pt idx="1731">
                <c:v>41367</c:v>
              </c:pt>
              <c:pt idx="1732">
                <c:v>41368</c:v>
              </c:pt>
              <c:pt idx="1733">
                <c:v>41369</c:v>
              </c:pt>
              <c:pt idx="1734">
                <c:v>41372</c:v>
              </c:pt>
              <c:pt idx="1735">
                <c:v>41373</c:v>
              </c:pt>
              <c:pt idx="1736">
                <c:v>41374</c:v>
              </c:pt>
              <c:pt idx="1737">
                <c:v>41375</c:v>
              </c:pt>
              <c:pt idx="1738">
                <c:v>41376</c:v>
              </c:pt>
              <c:pt idx="1739">
                <c:v>41379</c:v>
              </c:pt>
              <c:pt idx="1740">
                <c:v>41380</c:v>
              </c:pt>
              <c:pt idx="1741">
                <c:v>41381</c:v>
              </c:pt>
              <c:pt idx="1742">
                <c:v>41382</c:v>
              </c:pt>
              <c:pt idx="1743">
                <c:v>41383</c:v>
              </c:pt>
              <c:pt idx="1744">
                <c:v>41386</c:v>
              </c:pt>
              <c:pt idx="1745">
                <c:v>41387</c:v>
              </c:pt>
              <c:pt idx="1746">
                <c:v>41388</c:v>
              </c:pt>
              <c:pt idx="1747">
                <c:v>41390</c:v>
              </c:pt>
              <c:pt idx="1748">
                <c:v>41393</c:v>
              </c:pt>
              <c:pt idx="1749">
                <c:v>41394</c:v>
              </c:pt>
              <c:pt idx="1750">
                <c:v>41395</c:v>
              </c:pt>
              <c:pt idx="1751">
                <c:v>41396</c:v>
              </c:pt>
              <c:pt idx="1752">
                <c:v>41397</c:v>
              </c:pt>
              <c:pt idx="1753">
                <c:v>41400</c:v>
              </c:pt>
              <c:pt idx="1754">
                <c:v>41401</c:v>
              </c:pt>
              <c:pt idx="1755">
                <c:v>41402</c:v>
              </c:pt>
              <c:pt idx="1756">
                <c:v>41403</c:v>
              </c:pt>
              <c:pt idx="1757">
                <c:v>41404</c:v>
              </c:pt>
              <c:pt idx="1758">
                <c:v>41407</c:v>
              </c:pt>
              <c:pt idx="1759">
                <c:v>41408</c:v>
              </c:pt>
              <c:pt idx="1760">
                <c:v>41409</c:v>
              </c:pt>
              <c:pt idx="1761">
                <c:v>41410</c:v>
              </c:pt>
              <c:pt idx="1762">
                <c:v>41411</c:v>
              </c:pt>
              <c:pt idx="1763">
                <c:v>41414</c:v>
              </c:pt>
              <c:pt idx="1764">
                <c:v>41415</c:v>
              </c:pt>
              <c:pt idx="1765">
                <c:v>41416</c:v>
              </c:pt>
              <c:pt idx="1766">
                <c:v>41417</c:v>
              </c:pt>
              <c:pt idx="1767">
                <c:v>41418</c:v>
              </c:pt>
              <c:pt idx="1768">
                <c:v>41421</c:v>
              </c:pt>
              <c:pt idx="1769">
                <c:v>41422</c:v>
              </c:pt>
              <c:pt idx="1770">
                <c:v>41423</c:v>
              </c:pt>
              <c:pt idx="1771">
                <c:v>41424</c:v>
              </c:pt>
              <c:pt idx="1772">
                <c:v>41425</c:v>
              </c:pt>
              <c:pt idx="1773">
                <c:v>41428</c:v>
              </c:pt>
              <c:pt idx="1774">
                <c:v>41429</c:v>
              </c:pt>
              <c:pt idx="1775">
                <c:v>41430</c:v>
              </c:pt>
              <c:pt idx="1776">
                <c:v>41431</c:v>
              </c:pt>
              <c:pt idx="1777">
                <c:v>41432</c:v>
              </c:pt>
              <c:pt idx="1778">
                <c:v>41436</c:v>
              </c:pt>
              <c:pt idx="1779">
                <c:v>41437</c:v>
              </c:pt>
              <c:pt idx="1780">
                <c:v>41438</c:v>
              </c:pt>
              <c:pt idx="1781">
                <c:v>41439</c:v>
              </c:pt>
              <c:pt idx="1782">
                <c:v>41442</c:v>
              </c:pt>
              <c:pt idx="1783">
                <c:v>41443</c:v>
              </c:pt>
              <c:pt idx="1784">
                <c:v>41444</c:v>
              </c:pt>
              <c:pt idx="1785">
                <c:v>41445</c:v>
              </c:pt>
              <c:pt idx="1786">
                <c:v>41446</c:v>
              </c:pt>
              <c:pt idx="1787">
                <c:v>41449</c:v>
              </c:pt>
              <c:pt idx="1788">
                <c:v>41450</c:v>
              </c:pt>
              <c:pt idx="1789">
                <c:v>41451</c:v>
              </c:pt>
              <c:pt idx="1790">
                <c:v>41452</c:v>
              </c:pt>
              <c:pt idx="1791">
                <c:v>41453</c:v>
              </c:pt>
              <c:pt idx="1792">
                <c:v>41456</c:v>
              </c:pt>
              <c:pt idx="1793">
                <c:v>41457</c:v>
              </c:pt>
              <c:pt idx="1794">
                <c:v>41458</c:v>
              </c:pt>
              <c:pt idx="1795">
                <c:v>41459</c:v>
              </c:pt>
              <c:pt idx="1796">
                <c:v>41460</c:v>
              </c:pt>
              <c:pt idx="1797">
                <c:v>41463</c:v>
              </c:pt>
              <c:pt idx="1798">
                <c:v>41464</c:v>
              </c:pt>
              <c:pt idx="1799">
                <c:v>41465</c:v>
              </c:pt>
              <c:pt idx="1800">
                <c:v>41466</c:v>
              </c:pt>
              <c:pt idx="1801">
                <c:v>41467</c:v>
              </c:pt>
              <c:pt idx="1802">
                <c:v>41470</c:v>
              </c:pt>
              <c:pt idx="1803">
                <c:v>41471</c:v>
              </c:pt>
              <c:pt idx="1804">
                <c:v>41472</c:v>
              </c:pt>
              <c:pt idx="1805">
                <c:v>41473</c:v>
              </c:pt>
              <c:pt idx="1806">
                <c:v>41474</c:v>
              </c:pt>
              <c:pt idx="1807">
                <c:v>41477</c:v>
              </c:pt>
              <c:pt idx="1808">
                <c:v>41478</c:v>
              </c:pt>
              <c:pt idx="1809">
                <c:v>41479</c:v>
              </c:pt>
              <c:pt idx="1810">
                <c:v>41480</c:v>
              </c:pt>
              <c:pt idx="1811">
                <c:v>41481</c:v>
              </c:pt>
              <c:pt idx="1812">
                <c:v>41484</c:v>
              </c:pt>
              <c:pt idx="1813">
                <c:v>41485</c:v>
              </c:pt>
              <c:pt idx="1814">
                <c:v>41486</c:v>
              </c:pt>
              <c:pt idx="1815">
                <c:v>41487</c:v>
              </c:pt>
              <c:pt idx="1816">
                <c:v>41488</c:v>
              </c:pt>
              <c:pt idx="1817">
                <c:v>41492</c:v>
              </c:pt>
              <c:pt idx="1818">
                <c:v>41493</c:v>
              </c:pt>
              <c:pt idx="1819">
                <c:v>41494</c:v>
              </c:pt>
              <c:pt idx="1820">
                <c:v>41495</c:v>
              </c:pt>
              <c:pt idx="1821">
                <c:v>41498</c:v>
              </c:pt>
              <c:pt idx="1822">
                <c:v>41499</c:v>
              </c:pt>
              <c:pt idx="1823">
                <c:v>41500</c:v>
              </c:pt>
              <c:pt idx="1824">
                <c:v>41501</c:v>
              </c:pt>
              <c:pt idx="1825">
                <c:v>41502</c:v>
              </c:pt>
              <c:pt idx="1826">
                <c:v>41505</c:v>
              </c:pt>
              <c:pt idx="1827">
                <c:v>41506</c:v>
              </c:pt>
              <c:pt idx="1828">
                <c:v>41507</c:v>
              </c:pt>
              <c:pt idx="1829">
                <c:v>41508</c:v>
              </c:pt>
              <c:pt idx="1830">
                <c:v>41509</c:v>
              </c:pt>
              <c:pt idx="1831">
                <c:v>41512</c:v>
              </c:pt>
              <c:pt idx="1832">
                <c:v>41513</c:v>
              </c:pt>
              <c:pt idx="1833">
                <c:v>41514</c:v>
              </c:pt>
              <c:pt idx="1834">
                <c:v>41515</c:v>
              </c:pt>
              <c:pt idx="1835">
                <c:v>41516</c:v>
              </c:pt>
              <c:pt idx="1836">
                <c:v>41519</c:v>
              </c:pt>
              <c:pt idx="1837">
                <c:v>41520</c:v>
              </c:pt>
              <c:pt idx="1838">
                <c:v>41521</c:v>
              </c:pt>
              <c:pt idx="1839">
                <c:v>41522</c:v>
              </c:pt>
              <c:pt idx="1840">
                <c:v>41523</c:v>
              </c:pt>
              <c:pt idx="1841">
                <c:v>41526</c:v>
              </c:pt>
              <c:pt idx="1842">
                <c:v>41527</c:v>
              </c:pt>
              <c:pt idx="1843">
                <c:v>41528</c:v>
              </c:pt>
              <c:pt idx="1844">
                <c:v>41529</c:v>
              </c:pt>
              <c:pt idx="1845">
                <c:v>41530</c:v>
              </c:pt>
              <c:pt idx="1846">
                <c:v>41533</c:v>
              </c:pt>
              <c:pt idx="1847">
                <c:v>41534</c:v>
              </c:pt>
              <c:pt idx="1848">
                <c:v>41535</c:v>
              </c:pt>
              <c:pt idx="1849">
                <c:v>41536</c:v>
              </c:pt>
              <c:pt idx="1850">
                <c:v>41537</c:v>
              </c:pt>
              <c:pt idx="1851">
                <c:v>41540</c:v>
              </c:pt>
              <c:pt idx="1852">
                <c:v>41541</c:v>
              </c:pt>
              <c:pt idx="1853">
                <c:v>41542</c:v>
              </c:pt>
              <c:pt idx="1854">
                <c:v>41543</c:v>
              </c:pt>
              <c:pt idx="1855">
                <c:v>41544</c:v>
              </c:pt>
              <c:pt idx="1856">
                <c:v>41547</c:v>
              </c:pt>
              <c:pt idx="1857">
                <c:v>41548</c:v>
              </c:pt>
              <c:pt idx="1858">
                <c:v>41549</c:v>
              </c:pt>
              <c:pt idx="1859">
                <c:v>41550</c:v>
              </c:pt>
              <c:pt idx="1860">
                <c:v>41551</c:v>
              </c:pt>
              <c:pt idx="1861">
                <c:v>41555</c:v>
              </c:pt>
              <c:pt idx="1862">
                <c:v>41556</c:v>
              </c:pt>
              <c:pt idx="1863">
                <c:v>41557</c:v>
              </c:pt>
              <c:pt idx="1864">
                <c:v>41558</c:v>
              </c:pt>
              <c:pt idx="1865">
                <c:v>41561</c:v>
              </c:pt>
              <c:pt idx="1866">
                <c:v>41562</c:v>
              </c:pt>
              <c:pt idx="1867">
                <c:v>41563</c:v>
              </c:pt>
              <c:pt idx="1868">
                <c:v>41564</c:v>
              </c:pt>
              <c:pt idx="1869">
                <c:v>41565</c:v>
              </c:pt>
              <c:pt idx="1870">
                <c:v>41568</c:v>
              </c:pt>
              <c:pt idx="1871">
                <c:v>41569</c:v>
              </c:pt>
              <c:pt idx="1872">
                <c:v>41570</c:v>
              </c:pt>
              <c:pt idx="1873">
                <c:v>41571</c:v>
              </c:pt>
              <c:pt idx="1874">
                <c:v>41572</c:v>
              </c:pt>
              <c:pt idx="1875">
                <c:v>41575</c:v>
              </c:pt>
              <c:pt idx="1876">
                <c:v>41576</c:v>
              </c:pt>
              <c:pt idx="1877">
                <c:v>41577</c:v>
              </c:pt>
              <c:pt idx="1878">
                <c:v>41578</c:v>
              </c:pt>
              <c:pt idx="1879">
                <c:v>41579</c:v>
              </c:pt>
              <c:pt idx="1880">
                <c:v>41582</c:v>
              </c:pt>
              <c:pt idx="1881">
                <c:v>41583</c:v>
              </c:pt>
              <c:pt idx="1882">
                <c:v>41584</c:v>
              </c:pt>
              <c:pt idx="1883">
                <c:v>41585</c:v>
              </c:pt>
              <c:pt idx="1884">
                <c:v>41586</c:v>
              </c:pt>
              <c:pt idx="1885">
                <c:v>41589</c:v>
              </c:pt>
              <c:pt idx="1886">
                <c:v>41590</c:v>
              </c:pt>
              <c:pt idx="1887">
                <c:v>41591</c:v>
              </c:pt>
              <c:pt idx="1888">
                <c:v>41592</c:v>
              </c:pt>
              <c:pt idx="1889">
                <c:v>41593</c:v>
              </c:pt>
              <c:pt idx="1890">
                <c:v>41596</c:v>
              </c:pt>
              <c:pt idx="1891">
                <c:v>41597</c:v>
              </c:pt>
              <c:pt idx="1892">
                <c:v>41598</c:v>
              </c:pt>
              <c:pt idx="1893">
                <c:v>41599</c:v>
              </c:pt>
              <c:pt idx="1894">
                <c:v>41600</c:v>
              </c:pt>
              <c:pt idx="1895">
                <c:v>41603</c:v>
              </c:pt>
              <c:pt idx="1896">
                <c:v>41604</c:v>
              </c:pt>
              <c:pt idx="1897">
                <c:v>41605</c:v>
              </c:pt>
              <c:pt idx="1898">
                <c:v>41606</c:v>
              </c:pt>
              <c:pt idx="1899">
                <c:v>41607</c:v>
              </c:pt>
              <c:pt idx="1900">
                <c:v>41610</c:v>
              </c:pt>
              <c:pt idx="1901">
                <c:v>41611</c:v>
              </c:pt>
              <c:pt idx="1902">
                <c:v>41612</c:v>
              </c:pt>
              <c:pt idx="1903">
                <c:v>41613</c:v>
              </c:pt>
              <c:pt idx="1904">
                <c:v>41614</c:v>
              </c:pt>
              <c:pt idx="1905">
                <c:v>41617</c:v>
              </c:pt>
              <c:pt idx="1906">
                <c:v>41618</c:v>
              </c:pt>
              <c:pt idx="1907">
                <c:v>41619</c:v>
              </c:pt>
              <c:pt idx="1908">
                <c:v>41620</c:v>
              </c:pt>
              <c:pt idx="1909">
                <c:v>41621</c:v>
              </c:pt>
              <c:pt idx="1910">
                <c:v>41624</c:v>
              </c:pt>
              <c:pt idx="1911">
                <c:v>41625</c:v>
              </c:pt>
              <c:pt idx="1912">
                <c:v>41626</c:v>
              </c:pt>
              <c:pt idx="1913">
                <c:v>41627</c:v>
              </c:pt>
              <c:pt idx="1914">
                <c:v>41628</c:v>
              </c:pt>
              <c:pt idx="1915">
                <c:v>41631</c:v>
              </c:pt>
              <c:pt idx="1916">
                <c:v>41632</c:v>
              </c:pt>
              <c:pt idx="1917">
                <c:v>41635</c:v>
              </c:pt>
              <c:pt idx="1918">
                <c:v>41638</c:v>
              </c:pt>
              <c:pt idx="1919">
                <c:v>41639</c:v>
              </c:pt>
              <c:pt idx="1920">
                <c:v>41641</c:v>
              </c:pt>
              <c:pt idx="1921">
                <c:v>41642</c:v>
              </c:pt>
              <c:pt idx="1922">
                <c:v>41645</c:v>
              </c:pt>
              <c:pt idx="1923">
                <c:v>41646</c:v>
              </c:pt>
              <c:pt idx="1924">
                <c:v>41647</c:v>
              </c:pt>
              <c:pt idx="1925">
                <c:v>41648</c:v>
              </c:pt>
              <c:pt idx="1926">
                <c:v>41649</c:v>
              </c:pt>
              <c:pt idx="1927">
                <c:v>41652</c:v>
              </c:pt>
              <c:pt idx="1928">
                <c:v>41653</c:v>
              </c:pt>
              <c:pt idx="1929">
                <c:v>41654</c:v>
              </c:pt>
              <c:pt idx="1930">
                <c:v>41655</c:v>
              </c:pt>
              <c:pt idx="1931">
                <c:v>41656</c:v>
              </c:pt>
              <c:pt idx="1932">
                <c:v>41659</c:v>
              </c:pt>
              <c:pt idx="1933">
                <c:v>41660</c:v>
              </c:pt>
              <c:pt idx="1934">
                <c:v>41661</c:v>
              </c:pt>
              <c:pt idx="1935">
                <c:v>41662</c:v>
              </c:pt>
              <c:pt idx="1936">
                <c:v>41663</c:v>
              </c:pt>
              <c:pt idx="1937">
                <c:v>41667</c:v>
              </c:pt>
              <c:pt idx="1938">
                <c:v>41668</c:v>
              </c:pt>
              <c:pt idx="1939">
                <c:v>41669</c:v>
              </c:pt>
              <c:pt idx="1940">
                <c:v>41670</c:v>
              </c:pt>
              <c:pt idx="1941">
                <c:v>41673</c:v>
              </c:pt>
              <c:pt idx="1942">
                <c:v>41674</c:v>
              </c:pt>
              <c:pt idx="1943">
                <c:v>41675</c:v>
              </c:pt>
              <c:pt idx="1944">
                <c:v>41676</c:v>
              </c:pt>
              <c:pt idx="1945">
                <c:v>41677</c:v>
              </c:pt>
              <c:pt idx="1946">
                <c:v>41680</c:v>
              </c:pt>
              <c:pt idx="1947">
                <c:v>41681</c:v>
              </c:pt>
              <c:pt idx="1948">
                <c:v>41682</c:v>
              </c:pt>
              <c:pt idx="1949">
                <c:v>41683</c:v>
              </c:pt>
              <c:pt idx="1950">
                <c:v>41684</c:v>
              </c:pt>
              <c:pt idx="1951">
                <c:v>41687</c:v>
              </c:pt>
              <c:pt idx="1952">
                <c:v>41688</c:v>
              </c:pt>
              <c:pt idx="1953">
                <c:v>41689</c:v>
              </c:pt>
              <c:pt idx="1954">
                <c:v>41690</c:v>
              </c:pt>
              <c:pt idx="1955">
                <c:v>41691</c:v>
              </c:pt>
              <c:pt idx="1956">
                <c:v>41694</c:v>
              </c:pt>
              <c:pt idx="1957">
                <c:v>41695</c:v>
              </c:pt>
              <c:pt idx="1958">
                <c:v>41696</c:v>
              </c:pt>
              <c:pt idx="1959">
                <c:v>41697</c:v>
              </c:pt>
              <c:pt idx="1960">
                <c:v>41698</c:v>
              </c:pt>
              <c:pt idx="1961">
                <c:v>41701</c:v>
              </c:pt>
              <c:pt idx="1962">
                <c:v>41702</c:v>
              </c:pt>
              <c:pt idx="1963">
                <c:v>41703</c:v>
              </c:pt>
              <c:pt idx="1964">
                <c:v>41704</c:v>
              </c:pt>
              <c:pt idx="1965">
                <c:v>41705</c:v>
              </c:pt>
              <c:pt idx="1966">
                <c:v>41708</c:v>
              </c:pt>
              <c:pt idx="1967">
                <c:v>41709</c:v>
              </c:pt>
              <c:pt idx="1968">
                <c:v>41710</c:v>
              </c:pt>
              <c:pt idx="1969">
                <c:v>41711</c:v>
              </c:pt>
              <c:pt idx="1970">
                <c:v>41712</c:v>
              </c:pt>
              <c:pt idx="1971">
                <c:v>41715</c:v>
              </c:pt>
              <c:pt idx="1972">
                <c:v>41716</c:v>
              </c:pt>
              <c:pt idx="1973">
                <c:v>41717</c:v>
              </c:pt>
              <c:pt idx="1974">
                <c:v>41718</c:v>
              </c:pt>
              <c:pt idx="1975">
                <c:v>41719</c:v>
              </c:pt>
              <c:pt idx="1976">
                <c:v>41722</c:v>
              </c:pt>
              <c:pt idx="1977">
                <c:v>41723</c:v>
              </c:pt>
              <c:pt idx="1978">
                <c:v>41724</c:v>
              </c:pt>
              <c:pt idx="1979">
                <c:v>41725</c:v>
              </c:pt>
              <c:pt idx="1980">
                <c:v>41726</c:v>
              </c:pt>
              <c:pt idx="1981">
                <c:v>41729</c:v>
              </c:pt>
              <c:pt idx="1982">
                <c:v>41730</c:v>
              </c:pt>
              <c:pt idx="1983">
                <c:v>41731</c:v>
              </c:pt>
              <c:pt idx="1984">
                <c:v>41732</c:v>
              </c:pt>
              <c:pt idx="1985">
                <c:v>41733</c:v>
              </c:pt>
              <c:pt idx="1986">
                <c:v>41736</c:v>
              </c:pt>
              <c:pt idx="1987">
                <c:v>41737</c:v>
              </c:pt>
              <c:pt idx="1988">
                <c:v>41738</c:v>
              </c:pt>
              <c:pt idx="1989">
                <c:v>41739</c:v>
              </c:pt>
              <c:pt idx="1990">
                <c:v>41740</c:v>
              </c:pt>
              <c:pt idx="1991">
                <c:v>41743</c:v>
              </c:pt>
              <c:pt idx="1992">
                <c:v>41744</c:v>
              </c:pt>
              <c:pt idx="1993">
                <c:v>41745</c:v>
              </c:pt>
              <c:pt idx="1994">
                <c:v>41746</c:v>
              </c:pt>
              <c:pt idx="1995">
                <c:v>41751</c:v>
              </c:pt>
              <c:pt idx="1996">
                <c:v>41752</c:v>
              </c:pt>
              <c:pt idx="1997">
                <c:v>41753</c:v>
              </c:pt>
              <c:pt idx="1998">
                <c:v>41757</c:v>
              </c:pt>
              <c:pt idx="1999">
                <c:v>41758</c:v>
              </c:pt>
              <c:pt idx="2000">
                <c:v>41759</c:v>
              </c:pt>
              <c:pt idx="2001">
                <c:v>41760</c:v>
              </c:pt>
              <c:pt idx="2002">
                <c:v>41761</c:v>
              </c:pt>
              <c:pt idx="2003">
                <c:v>41764</c:v>
              </c:pt>
              <c:pt idx="2004">
                <c:v>41765</c:v>
              </c:pt>
              <c:pt idx="2005">
                <c:v>41766</c:v>
              </c:pt>
              <c:pt idx="2006">
                <c:v>41767</c:v>
              </c:pt>
              <c:pt idx="2007">
                <c:v>41768</c:v>
              </c:pt>
              <c:pt idx="2008">
                <c:v>41771</c:v>
              </c:pt>
              <c:pt idx="2009">
                <c:v>41772</c:v>
              </c:pt>
              <c:pt idx="2010">
                <c:v>41773</c:v>
              </c:pt>
              <c:pt idx="2011">
                <c:v>41774</c:v>
              </c:pt>
              <c:pt idx="2012">
                <c:v>41775</c:v>
              </c:pt>
              <c:pt idx="2013">
                <c:v>41778</c:v>
              </c:pt>
              <c:pt idx="2014">
                <c:v>41779</c:v>
              </c:pt>
              <c:pt idx="2015">
                <c:v>41780</c:v>
              </c:pt>
              <c:pt idx="2016">
                <c:v>41781</c:v>
              </c:pt>
              <c:pt idx="2017">
                <c:v>41782</c:v>
              </c:pt>
              <c:pt idx="2018">
                <c:v>41785</c:v>
              </c:pt>
              <c:pt idx="2019">
                <c:v>41786</c:v>
              </c:pt>
              <c:pt idx="2020">
                <c:v>41787</c:v>
              </c:pt>
              <c:pt idx="2021">
                <c:v>41788</c:v>
              </c:pt>
              <c:pt idx="2022">
                <c:v>41789</c:v>
              </c:pt>
              <c:pt idx="2023">
                <c:v>41792</c:v>
              </c:pt>
              <c:pt idx="2024">
                <c:v>41793</c:v>
              </c:pt>
              <c:pt idx="2025">
                <c:v>41794</c:v>
              </c:pt>
              <c:pt idx="2026">
                <c:v>41795</c:v>
              </c:pt>
              <c:pt idx="2027">
                <c:v>41796</c:v>
              </c:pt>
              <c:pt idx="2028">
                <c:v>41800</c:v>
              </c:pt>
              <c:pt idx="2029">
                <c:v>41801</c:v>
              </c:pt>
              <c:pt idx="2030">
                <c:v>41802</c:v>
              </c:pt>
              <c:pt idx="2031">
                <c:v>41803</c:v>
              </c:pt>
              <c:pt idx="2032">
                <c:v>41806</c:v>
              </c:pt>
              <c:pt idx="2033">
                <c:v>41807</c:v>
              </c:pt>
              <c:pt idx="2034">
                <c:v>41808</c:v>
              </c:pt>
              <c:pt idx="2035">
                <c:v>41809</c:v>
              </c:pt>
              <c:pt idx="2036">
                <c:v>41810</c:v>
              </c:pt>
              <c:pt idx="2037">
                <c:v>41813</c:v>
              </c:pt>
              <c:pt idx="2038">
                <c:v>41814</c:v>
              </c:pt>
              <c:pt idx="2039">
                <c:v>41815</c:v>
              </c:pt>
              <c:pt idx="2040">
                <c:v>41816</c:v>
              </c:pt>
              <c:pt idx="2041">
                <c:v>41817</c:v>
              </c:pt>
              <c:pt idx="2042">
                <c:v>41820</c:v>
              </c:pt>
              <c:pt idx="2043">
                <c:v>41821</c:v>
              </c:pt>
              <c:pt idx="2044">
                <c:v>41822</c:v>
              </c:pt>
              <c:pt idx="2045">
                <c:v>41823</c:v>
              </c:pt>
              <c:pt idx="2046">
                <c:v>41824</c:v>
              </c:pt>
              <c:pt idx="2047">
                <c:v>41827</c:v>
              </c:pt>
              <c:pt idx="2048">
                <c:v>41828</c:v>
              </c:pt>
              <c:pt idx="2049">
                <c:v>41829</c:v>
              </c:pt>
              <c:pt idx="2050">
                <c:v>41830</c:v>
              </c:pt>
              <c:pt idx="2051">
                <c:v>41831</c:v>
              </c:pt>
              <c:pt idx="2052">
                <c:v>41834</c:v>
              </c:pt>
              <c:pt idx="2053">
                <c:v>41835</c:v>
              </c:pt>
              <c:pt idx="2054">
                <c:v>41836</c:v>
              </c:pt>
              <c:pt idx="2055">
                <c:v>41837</c:v>
              </c:pt>
              <c:pt idx="2056">
                <c:v>41838</c:v>
              </c:pt>
              <c:pt idx="2057">
                <c:v>41841</c:v>
              </c:pt>
              <c:pt idx="2058">
                <c:v>41842</c:v>
              </c:pt>
              <c:pt idx="2059">
                <c:v>41843</c:v>
              </c:pt>
              <c:pt idx="2060">
                <c:v>41844</c:v>
              </c:pt>
              <c:pt idx="2061">
                <c:v>41845</c:v>
              </c:pt>
              <c:pt idx="2062">
                <c:v>41848</c:v>
              </c:pt>
              <c:pt idx="2063">
                <c:v>41849</c:v>
              </c:pt>
              <c:pt idx="2064">
                <c:v>41850</c:v>
              </c:pt>
              <c:pt idx="2065">
                <c:v>41851</c:v>
              </c:pt>
              <c:pt idx="2066">
                <c:v>41852</c:v>
              </c:pt>
              <c:pt idx="2067">
                <c:v>41856</c:v>
              </c:pt>
              <c:pt idx="2068">
                <c:v>41857</c:v>
              </c:pt>
              <c:pt idx="2069">
                <c:v>41858</c:v>
              </c:pt>
              <c:pt idx="2070">
                <c:v>41859</c:v>
              </c:pt>
              <c:pt idx="2071">
                <c:v>41862</c:v>
              </c:pt>
              <c:pt idx="2072">
                <c:v>41863</c:v>
              </c:pt>
              <c:pt idx="2073">
                <c:v>41864</c:v>
              </c:pt>
              <c:pt idx="2074">
                <c:v>41865</c:v>
              </c:pt>
              <c:pt idx="2075">
                <c:v>41866</c:v>
              </c:pt>
              <c:pt idx="2076">
                <c:v>41869</c:v>
              </c:pt>
              <c:pt idx="2077">
                <c:v>41870</c:v>
              </c:pt>
              <c:pt idx="2078">
                <c:v>41871</c:v>
              </c:pt>
              <c:pt idx="2079">
                <c:v>41872</c:v>
              </c:pt>
              <c:pt idx="2080">
                <c:v>41873</c:v>
              </c:pt>
              <c:pt idx="2081">
                <c:v>41876</c:v>
              </c:pt>
              <c:pt idx="2082">
                <c:v>41877</c:v>
              </c:pt>
              <c:pt idx="2083">
                <c:v>41878</c:v>
              </c:pt>
              <c:pt idx="2084">
                <c:v>41879</c:v>
              </c:pt>
              <c:pt idx="2085">
                <c:v>41880</c:v>
              </c:pt>
              <c:pt idx="2086">
                <c:v>41883</c:v>
              </c:pt>
              <c:pt idx="2087">
                <c:v>41884</c:v>
              </c:pt>
              <c:pt idx="2088">
                <c:v>41885</c:v>
              </c:pt>
              <c:pt idx="2089">
                <c:v>41886</c:v>
              </c:pt>
              <c:pt idx="2090">
                <c:v>41887</c:v>
              </c:pt>
              <c:pt idx="2091">
                <c:v>41890</c:v>
              </c:pt>
              <c:pt idx="2092">
                <c:v>41891</c:v>
              </c:pt>
              <c:pt idx="2093">
                <c:v>41892</c:v>
              </c:pt>
              <c:pt idx="2094">
                <c:v>41893</c:v>
              </c:pt>
              <c:pt idx="2095">
                <c:v>41894</c:v>
              </c:pt>
              <c:pt idx="2096">
                <c:v>41897</c:v>
              </c:pt>
              <c:pt idx="2097">
                <c:v>41898</c:v>
              </c:pt>
              <c:pt idx="2098">
                <c:v>41899</c:v>
              </c:pt>
              <c:pt idx="2099">
                <c:v>41900</c:v>
              </c:pt>
              <c:pt idx="2100">
                <c:v>41901</c:v>
              </c:pt>
              <c:pt idx="2101">
                <c:v>41904</c:v>
              </c:pt>
              <c:pt idx="2102">
                <c:v>41905</c:v>
              </c:pt>
              <c:pt idx="2103">
                <c:v>41906</c:v>
              </c:pt>
              <c:pt idx="2104">
                <c:v>41907</c:v>
              </c:pt>
              <c:pt idx="2105">
                <c:v>41908</c:v>
              </c:pt>
              <c:pt idx="2106">
                <c:v>41911</c:v>
              </c:pt>
              <c:pt idx="2107">
                <c:v>41912</c:v>
              </c:pt>
              <c:pt idx="2108">
                <c:v>41913</c:v>
              </c:pt>
              <c:pt idx="2109">
                <c:v>41914</c:v>
              </c:pt>
              <c:pt idx="2110">
                <c:v>41915</c:v>
              </c:pt>
              <c:pt idx="2111">
                <c:v>41919</c:v>
              </c:pt>
              <c:pt idx="2112">
                <c:v>41920</c:v>
              </c:pt>
              <c:pt idx="2113">
                <c:v>41921</c:v>
              </c:pt>
              <c:pt idx="2114">
                <c:v>41922</c:v>
              </c:pt>
              <c:pt idx="2115">
                <c:v>41925</c:v>
              </c:pt>
              <c:pt idx="2116">
                <c:v>41926</c:v>
              </c:pt>
              <c:pt idx="2117">
                <c:v>41927</c:v>
              </c:pt>
              <c:pt idx="2118">
                <c:v>41928</c:v>
              </c:pt>
              <c:pt idx="2119">
                <c:v>41929</c:v>
              </c:pt>
              <c:pt idx="2120">
                <c:v>41932</c:v>
              </c:pt>
              <c:pt idx="2121">
                <c:v>41933</c:v>
              </c:pt>
              <c:pt idx="2122">
                <c:v>41934</c:v>
              </c:pt>
              <c:pt idx="2123">
                <c:v>41935</c:v>
              </c:pt>
              <c:pt idx="2124">
                <c:v>41936</c:v>
              </c:pt>
              <c:pt idx="2125">
                <c:v>41939</c:v>
              </c:pt>
              <c:pt idx="2126">
                <c:v>41940</c:v>
              </c:pt>
              <c:pt idx="2127">
                <c:v>41941</c:v>
              </c:pt>
              <c:pt idx="2128">
                <c:v>41942</c:v>
              </c:pt>
              <c:pt idx="2129">
                <c:v>41943</c:v>
              </c:pt>
              <c:pt idx="2130">
                <c:v>41946</c:v>
              </c:pt>
              <c:pt idx="2131">
                <c:v>41947</c:v>
              </c:pt>
              <c:pt idx="2132">
                <c:v>41948</c:v>
              </c:pt>
              <c:pt idx="2133">
                <c:v>41949</c:v>
              </c:pt>
              <c:pt idx="2134">
                <c:v>41950</c:v>
              </c:pt>
              <c:pt idx="2135">
                <c:v>41953</c:v>
              </c:pt>
              <c:pt idx="2136">
                <c:v>41954</c:v>
              </c:pt>
              <c:pt idx="2137">
                <c:v>41955</c:v>
              </c:pt>
              <c:pt idx="2138">
                <c:v>41956</c:v>
              </c:pt>
              <c:pt idx="2139">
                <c:v>41957</c:v>
              </c:pt>
              <c:pt idx="2140">
                <c:v>41960</c:v>
              </c:pt>
              <c:pt idx="2141">
                <c:v>41961</c:v>
              </c:pt>
              <c:pt idx="2142">
                <c:v>41962</c:v>
              </c:pt>
              <c:pt idx="2143">
                <c:v>41963</c:v>
              </c:pt>
              <c:pt idx="2144">
                <c:v>41964</c:v>
              </c:pt>
              <c:pt idx="2145">
                <c:v>41967</c:v>
              </c:pt>
              <c:pt idx="2146">
                <c:v>41968</c:v>
              </c:pt>
              <c:pt idx="2147">
                <c:v>41969</c:v>
              </c:pt>
              <c:pt idx="2148">
                <c:v>41970</c:v>
              </c:pt>
              <c:pt idx="2149">
                <c:v>41971</c:v>
              </c:pt>
              <c:pt idx="2150">
                <c:v>41974</c:v>
              </c:pt>
              <c:pt idx="2151">
                <c:v>41975</c:v>
              </c:pt>
              <c:pt idx="2152">
                <c:v>41976</c:v>
              </c:pt>
              <c:pt idx="2153">
                <c:v>41977</c:v>
              </c:pt>
              <c:pt idx="2154">
                <c:v>41978</c:v>
              </c:pt>
              <c:pt idx="2155">
                <c:v>41981</c:v>
              </c:pt>
              <c:pt idx="2156">
                <c:v>41982</c:v>
              </c:pt>
              <c:pt idx="2157">
                <c:v>41983</c:v>
              </c:pt>
              <c:pt idx="2158">
                <c:v>41984</c:v>
              </c:pt>
              <c:pt idx="2159">
                <c:v>41985</c:v>
              </c:pt>
              <c:pt idx="2160">
                <c:v>41988</c:v>
              </c:pt>
              <c:pt idx="2161">
                <c:v>41989</c:v>
              </c:pt>
              <c:pt idx="2162">
                <c:v>41990</c:v>
              </c:pt>
              <c:pt idx="2163">
                <c:v>41991</c:v>
              </c:pt>
              <c:pt idx="2164">
                <c:v>41992</c:v>
              </c:pt>
              <c:pt idx="2165">
                <c:v>41995</c:v>
              </c:pt>
              <c:pt idx="2166">
                <c:v>41996</c:v>
              </c:pt>
              <c:pt idx="2167">
                <c:v>41997</c:v>
              </c:pt>
              <c:pt idx="2168">
                <c:v>42002</c:v>
              </c:pt>
              <c:pt idx="2169">
                <c:v>42003</c:v>
              </c:pt>
              <c:pt idx="2170">
                <c:v>42004</c:v>
              </c:pt>
              <c:pt idx="2171">
                <c:v>42006</c:v>
              </c:pt>
              <c:pt idx="2172">
                <c:v>42009</c:v>
              </c:pt>
              <c:pt idx="2173">
                <c:v>42010</c:v>
              </c:pt>
              <c:pt idx="2174">
                <c:v>42011</c:v>
              </c:pt>
              <c:pt idx="2175">
                <c:v>42012</c:v>
              </c:pt>
              <c:pt idx="2176">
                <c:v>42013</c:v>
              </c:pt>
              <c:pt idx="2177">
                <c:v>42016</c:v>
              </c:pt>
              <c:pt idx="2178">
                <c:v>42017</c:v>
              </c:pt>
              <c:pt idx="2179">
                <c:v>42018</c:v>
              </c:pt>
              <c:pt idx="2180">
                <c:v>42019</c:v>
              </c:pt>
              <c:pt idx="2181">
                <c:v>42020</c:v>
              </c:pt>
              <c:pt idx="2182">
                <c:v>42023</c:v>
              </c:pt>
              <c:pt idx="2183">
                <c:v>42024</c:v>
              </c:pt>
              <c:pt idx="2184">
                <c:v>42025</c:v>
              </c:pt>
              <c:pt idx="2185">
                <c:v>42026</c:v>
              </c:pt>
              <c:pt idx="2186">
                <c:v>42027</c:v>
              </c:pt>
              <c:pt idx="2187">
                <c:v>42031</c:v>
              </c:pt>
              <c:pt idx="2188">
                <c:v>42032</c:v>
              </c:pt>
              <c:pt idx="2189">
                <c:v>42033</c:v>
              </c:pt>
              <c:pt idx="2190">
                <c:v>42034</c:v>
              </c:pt>
              <c:pt idx="2191">
                <c:v>42037</c:v>
              </c:pt>
              <c:pt idx="2192">
                <c:v>42038</c:v>
              </c:pt>
              <c:pt idx="2193">
                <c:v>42039</c:v>
              </c:pt>
              <c:pt idx="2194">
                <c:v>42040</c:v>
              </c:pt>
              <c:pt idx="2195">
                <c:v>42041</c:v>
              </c:pt>
              <c:pt idx="2196">
                <c:v>42044</c:v>
              </c:pt>
              <c:pt idx="2197">
                <c:v>42045</c:v>
              </c:pt>
              <c:pt idx="2198">
                <c:v>42046</c:v>
              </c:pt>
              <c:pt idx="2199">
                <c:v>42047</c:v>
              </c:pt>
              <c:pt idx="2200">
                <c:v>42048</c:v>
              </c:pt>
              <c:pt idx="2201">
                <c:v>42051</c:v>
              </c:pt>
              <c:pt idx="2202">
                <c:v>42052</c:v>
              </c:pt>
              <c:pt idx="2203">
                <c:v>42053</c:v>
              </c:pt>
              <c:pt idx="2204">
                <c:v>42054</c:v>
              </c:pt>
              <c:pt idx="2205">
                <c:v>42055</c:v>
              </c:pt>
              <c:pt idx="2206">
                <c:v>42058</c:v>
              </c:pt>
              <c:pt idx="2207">
                <c:v>42059</c:v>
              </c:pt>
              <c:pt idx="2208">
                <c:v>42060</c:v>
              </c:pt>
              <c:pt idx="2209">
                <c:v>42061</c:v>
              </c:pt>
              <c:pt idx="2210">
                <c:v>42062</c:v>
              </c:pt>
              <c:pt idx="2211">
                <c:v>42065</c:v>
              </c:pt>
              <c:pt idx="2212">
                <c:v>42066</c:v>
              </c:pt>
              <c:pt idx="2213">
                <c:v>42067</c:v>
              </c:pt>
              <c:pt idx="2214">
                <c:v>42068</c:v>
              </c:pt>
              <c:pt idx="2215">
                <c:v>42069</c:v>
              </c:pt>
              <c:pt idx="2216">
                <c:v>42072</c:v>
              </c:pt>
              <c:pt idx="2217">
                <c:v>42073</c:v>
              </c:pt>
              <c:pt idx="2218">
                <c:v>42074</c:v>
              </c:pt>
              <c:pt idx="2219">
                <c:v>42075</c:v>
              </c:pt>
              <c:pt idx="2220">
                <c:v>42076</c:v>
              </c:pt>
              <c:pt idx="2221">
                <c:v>42079</c:v>
              </c:pt>
              <c:pt idx="2222">
                <c:v>42080</c:v>
              </c:pt>
              <c:pt idx="2223">
                <c:v>42081</c:v>
              </c:pt>
              <c:pt idx="2224">
                <c:v>42082</c:v>
              </c:pt>
              <c:pt idx="2225">
                <c:v>42083</c:v>
              </c:pt>
              <c:pt idx="2226">
                <c:v>42086</c:v>
              </c:pt>
              <c:pt idx="2227">
                <c:v>42087</c:v>
              </c:pt>
              <c:pt idx="2228">
                <c:v>42088</c:v>
              </c:pt>
              <c:pt idx="2229">
                <c:v>42089</c:v>
              </c:pt>
              <c:pt idx="2230">
                <c:v>42090</c:v>
              </c:pt>
              <c:pt idx="2231">
                <c:v>42093</c:v>
              </c:pt>
              <c:pt idx="2232">
                <c:v>42094</c:v>
              </c:pt>
              <c:pt idx="2233">
                <c:v>42095</c:v>
              </c:pt>
              <c:pt idx="2234">
                <c:v>42096</c:v>
              </c:pt>
              <c:pt idx="2235">
                <c:v>42101</c:v>
              </c:pt>
              <c:pt idx="2236">
                <c:v>42102</c:v>
              </c:pt>
              <c:pt idx="2237">
                <c:v>42103</c:v>
              </c:pt>
              <c:pt idx="2238">
                <c:v>42104</c:v>
              </c:pt>
              <c:pt idx="2239">
                <c:v>42107</c:v>
              </c:pt>
              <c:pt idx="2240">
                <c:v>42108</c:v>
              </c:pt>
              <c:pt idx="2241">
                <c:v>42109</c:v>
              </c:pt>
              <c:pt idx="2242">
                <c:v>42110</c:v>
              </c:pt>
              <c:pt idx="2243">
                <c:v>42111</c:v>
              </c:pt>
              <c:pt idx="2244">
                <c:v>42114</c:v>
              </c:pt>
              <c:pt idx="2245">
                <c:v>42115</c:v>
              </c:pt>
              <c:pt idx="2246">
                <c:v>42116</c:v>
              </c:pt>
              <c:pt idx="2247">
                <c:v>42117</c:v>
              </c:pt>
              <c:pt idx="2248">
                <c:v>42118</c:v>
              </c:pt>
              <c:pt idx="2249">
                <c:v>42121</c:v>
              </c:pt>
              <c:pt idx="2250">
                <c:v>42122</c:v>
              </c:pt>
              <c:pt idx="2251">
                <c:v>42123</c:v>
              </c:pt>
              <c:pt idx="2252">
                <c:v>42124</c:v>
              </c:pt>
              <c:pt idx="2253">
                <c:v>42125</c:v>
              </c:pt>
              <c:pt idx="2254">
                <c:v>42128</c:v>
              </c:pt>
              <c:pt idx="2255">
                <c:v>42129</c:v>
              </c:pt>
              <c:pt idx="2256">
                <c:v>42130</c:v>
              </c:pt>
              <c:pt idx="2257">
                <c:v>42131</c:v>
              </c:pt>
              <c:pt idx="2258">
                <c:v>42132</c:v>
              </c:pt>
              <c:pt idx="2259">
                <c:v>42135</c:v>
              </c:pt>
              <c:pt idx="2260">
                <c:v>42136</c:v>
              </c:pt>
              <c:pt idx="2261">
                <c:v>42137</c:v>
              </c:pt>
              <c:pt idx="2262">
                <c:v>42138</c:v>
              </c:pt>
              <c:pt idx="2263">
                <c:v>42139</c:v>
              </c:pt>
              <c:pt idx="2264">
                <c:v>42142</c:v>
              </c:pt>
              <c:pt idx="2265">
                <c:v>42143</c:v>
              </c:pt>
              <c:pt idx="2266">
                <c:v>42144</c:v>
              </c:pt>
              <c:pt idx="2267">
                <c:v>42145</c:v>
              </c:pt>
              <c:pt idx="2268">
                <c:v>42146</c:v>
              </c:pt>
              <c:pt idx="2269">
                <c:v>42149</c:v>
              </c:pt>
              <c:pt idx="2270">
                <c:v>42150</c:v>
              </c:pt>
              <c:pt idx="2271">
                <c:v>42151</c:v>
              </c:pt>
              <c:pt idx="2272">
                <c:v>42152</c:v>
              </c:pt>
              <c:pt idx="2273">
                <c:v>42153</c:v>
              </c:pt>
              <c:pt idx="2274">
                <c:v>42156</c:v>
              </c:pt>
              <c:pt idx="2275">
                <c:v>42157</c:v>
              </c:pt>
              <c:pt idx="2276">
                <c:v>42158</c:v>
              </c:pt>
              <c:pt idx="2277">
                <c:v>42159</c:v>
              </c:pt>
              <c:pt idx="2278">
                <c:v>42160</c:v>
              </c:pt>
              <c:pt idx="2279">
                <c:v>42164</c:v>
              </c:pt>
              <c:pt idx="2280">
                <c:v>42165</c:v>
              </c:pt>
              <c:pt idx="2281">
                <c:v>42166</c:v>
              </c:pt>
              <c:pt idx="2282">
                <c:v>42167</c:v>
              </c:pt>
              <c:pt idx="2283">
                <c:v>42170</c:v>
              </c:pt>
              <c:pt idx="2284">
                <c:v>42171</c:v>
              </c:pt>
              <c:pt idx="2285">
                <c:v>42172</c:v>
              </c:pt>
              <c:pt idx="2286">
                <c:v>42173</c:v>
              </c:pt>
              <c:pt idx="2287">
                <c:v>42174</c:v>
              </c:pt>
              <c:pt idx="2288">
                <c:v>42177</c:v>
              </c:pt>
              <c:pt idx="2289">
                <c:v>42178</c:v>
              </c:pt>
              <c:pt idx="2290">
                <c:v>42179</c:v>
              </c:pt>
              <c:pt idx="2291">
                <c:v>42180</c:v>
              </c:pt>
              <c:pt idx="2292">
                <c:v>42181</c:v>
              </c:pt>
              <c:pt idx="2293">
                <c:v>42184</c:v>
              </c:pt>
              <c:pt idx="2294">
                <c:v>42185</c:v>
              </c:pt>
              <c:pt idx="2295">
                <c:v>42186</c:v>
              </c:pt>
              <c:pt idx="2296">
                <c:v>42187</c:v>
              </c:pt>
              <c:pt idx="2297">
                <c:v>42188</c:v>
              </c:pt>
              <c:pt idx="2298">
                <c:v>42191</c:v>
              </c:pt>
              <c:pt idx="2299">
                <c:v>42192</c:v>
              </c:pt>
              <c:pt idx="2300">
                <c:v>42193</c:v>
              </c:pt>
              <c:pt idx="2301">
                <c:v>42194</c:v>
              </c:pt>
              <c:pt idx="2302">
                <c:v>42195</c:v>
              </c:pt>
              <c:pt idx="2303">
                <c:v>42198</c:v>
              </c:pt>
              <c:pt idx="2304">
                <c:v>42199</c:v>
              </c:pt>
              <c:pt idx="2305">
                <c:v>42200</c:v>
              </c:pt>
              <c:pt idx="2306">
                <c:v>42201</c:v>
              </c:pt>
              <c:pt idx="2307">
                <c:v>42202</c:v>
              </c:pt>
              <c:pt idx="2308">
                <c:v>42205</c:v>
              </c:pt>
              <c:pt idx="2309">
                <c:v>42206</c:v>
              </c:pt>
              <c:pt idx="2310">
                <c:v>42207</c:v>
              </c:pt>
              <c:pt idx="2311">
                <c:v>42208</c:v>
              </c:pt>
              <c:pt idx="2312">
                <c:v>42209</c:v>
              </c:pt>
              <c:pt idx="2313">
                <c:v>42212</c:v>
              </c:pt>
              <c:pt idx="2314">
                <c:v>42213</c:v>
              </c:pt>
              <c:pt idx="2315">
                <c:v>42214</c:v>
              </c:pt>
              <c:pt idx="2316">
                <c:v>42215</c:v>
              </c:pt>
              <c:pt idx="2317">
                <c:v>42216</c:v>
              </c:pt>
              <c:pt idx="2318">
                <c:v>42220</c:v>
              </c:pt>
              <c:pt idx="2319">
                <c:v>42221</c:v>
              </c:pt>
              <c:pt idx="2320">
                <c:v>42222</c:v>
              </c:pt>
              <c:pt idx="2321">
                <c:v>42223</c:v>
              </c:pt>
              <c:pt idx="2322">
                <c:v>42226</c:v>
              </c:pt>
              <c:pt idx="2323">
                <c:v>42227</c:v>
              </c:pt>
              <c:pt idx="2324">
                <c:v>42228</c:v>
              </c:pt>
              <c:pt idx="2325">
                <c:v>42229</c:v>
              </c:pt>
              <c:pt idx="2326">
                <c:v>42230</c:v>
              </c:pt>
              <c:pt idx="2327">
                <c:v>42233</c:v>
              </c:pt>
              <c:pt idx="2328">
                <c:v>42234</c:v>
              </c:pt>
              <c:pt idx="2329">
                <c:v>42235</c:v>
              </c:pt>
              <c:pt idx="2330">
                <c:v>42236</c:v>
              </c:pt>
              <c:pt idx="2331">
                <c:v>42237</c:v>
              </c:pt>
              <c:pt idx="2332">
                <c:v>42240</c:v>
              </c:pt>
              <c:pt idx="2333">
                <c:v>42241</c:v>
              </c:pt>
              <c:pt idx="2334">
                <c:v>42242</c:v>
              </c:pt>
              <c:pt idx="2335">
                <c:v>42243</c:v>
              </c:pt>
              <c:pt idx="2336">
                <c:v>42244</c:v>
              </c:pt>
              <c:pt idx="2337">
                <c:v>42247</c:v>
              </c:pt>
              <c:pt idx="2338">
                <c:v>42248</c:v>
              </c:pt>
              <c:pt idx="2339">
                <c:v>42249</c:v>
              </c:pt>
              <c:pt idx="2340">
                <c:v>42250</c:v>
              </c:pt>
              <c:pt idx="2341">
                <c:v>42251</c:v>
              </c:pt>
              <c:pt idx="2342">
                <c:v>42254</c:v>
              </c:pt>
              <c:pt idx="2343">
                <c:v>42255</c:v>
              </c:pt>
              <c:pt idx="2344">
                <c:v>42256</c:v>
              </c:pt>
              <c:pt idx="2345">
                <c:v>42257</c:v>
              </c:pt>
              <c:pt idx="2346">
                <c:v>42258</c:v>
              </c:pt>
              <c:pt idx="2347">
                <c:v>42261</c:v>
              </c:pt>
              <c:pt idx="2348">
                <c:v>42262</c:v>
              </c:pt>
              <c:pt idx="2349">
                <c:v>42263</c:v>
              </c:pt>
              <c:pt idx="2350">
                <c:v>42264</c:v>
              </c:pt>
              <c:pt idx="2351">
                <c:v>42265</c:v>
              </c:pt>
              <c:pt idx="2352">
                <c:v>42268</c:v>
              </c:pt>
              <c:pt idx="2353">
                <c:v>42269</c:v>
              </c:pt>
              <c:pt idx="2354">
                <c:v>42270</c:v>
              </c:pt>
              <c:pt idx="2355">
                <c:v>42271</c:v>
              </c:pt>
              <c:pt idx="2356">
                <c:v>42272</c:v>
              </c:pt>
              <c:pt idx="2357">
                <c:v>42275</c:v>
              </c:pt>
              <c:pt idx="2358">
                <c:v>42276</c:v>
              </c:pt>
              <c:pt idx="2359">
                <c:v>42277</c:v>
              </c:pt>
              <c:pt idx="2360">
                <c:v>42278</c:v>
              </c:pt>
              <c:pt idx="2361">
                <c:v>42279</c:v>
              </c:pt>
              <c:pt idx="2362">
                <c:v>42283</c:v>
              </c:pt>
              <c:pt idx="2363">
                <c:v>42284</c:v>
              </c:pt>
              <c:pt idx="2364">
                <c:v>42285</c:v>
              </c:pt>
              <c:pt idx="2365">
                <c:v>42286</c:v>
              </c:pt>
              <c:pt idx="2366">
                <c:v>42289</c:v>
              </c:pt>
              <c:pt idx="2367">
                <c:v>42290</c:v>
              </c:pt>
              <c:pt idx="2368">
                <c:v>42291</c:v>
              </c:pt>
              <c:pt idx="2369">
                <c:v>42292</c:v>
              </c:pt>
              <c:pt idx="2370">
                <c:v>42293</c:v>
              </c:pt>
              <c:pt idx="2371">
                <c:v>42296</c:v>
              </c:pt>
              <c:pt idx="2372">
                <c:v>42297</c:v>
              </c:pt>
              <c:pt idx="2373">
                <c:v>42298</c:v>
              </c:pt>
              <c:pt idx="2374">
                <c:v>42299</c:v>
              </c:pt>
              <c:pt idx="2375">
                <c:v>42300</c:v>
              </c:pt>
              <c:pt idx="2376">
                <c:v>42303</c:v>
              </c:pt>
              <c:pt idx="2377">
                <c:v>42304</c:v>
              </c:pt>
              <c:pt idx="2378">
                <c:v>42305</c:v>
              </c:pt>
              <c:pt idx="2379">
                <c:v>42306</c:v>
              </c:pt>
              <c:pt idx="2380">
                <c:v>42307</c:v>
              </c:pt>
              <c:pt idx="2381">
                <c:v>42310</c:v>
              </c:pt>
              <c:pt idx="2382">
                <c:v>42311</c:v>
              </c:pt>
              <c:pt idx="2383">
                <c:v>42312</c:v>
              </c:pt>
              <c:pt idx="2384">
                <c:v>42313</c:v>
              </c:pt>
              <c:pt idx="2385">
                <c:v>42314</c:v>
              </c:pt>
              <c:pt idx="2386">
                <c:v>42317</c:v>
              </c:pt>
              <c:pt idx="2387">
                <c:v>42318</c:v>
              </c:pt>
              <c:pt idx="2388">
                <c:v>42319</c:v>
              </c:pt>
              <c:pt idx="2389">
                <c:v>42320</c:v>
              </c:pt>
              <c:pt idx="2390">
                <c:v>42321</c:v>
              </c:pt>
              <c:pt idx="2391">
                <c:v>42324</c:v>
              </c:pt>
              <c:pt idx="2392">
                <c:v>42325</c:v>
              </c:pt>
              <c:pt idx="2393">
                <c:v>42326</c:v>
              </c:pt>
              <c:pt idx="2394">
                <c:v>42327</c:v>
              </c:pt>
              <c:pt idx="2395">
                <c:v>42328</c:v>
              </c:pt>
              <c:pt idx="2396">
                <c:v>42331</c:v>
              </c:pt>
              <c:pt idx="2397">
                <c:v>42332</c:v>
              </c:pt>
              <c:pt idx="2398">
                <c:v>42333</c:v>
              </c:pt>
              <c:pt idx="2399">
                <c:v>42334</c:v>
              </c:pt>
              <c:pt idx="2400">
                <c:v>42335</c:v>
              </c:pt>
              <c:pt idx="2401">
                <c:v>42338</c:v>
              </c:pt>
              <c:pt idx="2402">
                <c:v>42339</c:v>
              </c:pt>
              <c:pt idx="2403">
                <c:v>42340</c:v>
              </c:pt>
              <c:pt idx="2404">
                <c:v>42341</c:v>
              </c:pt>
              <c:pt idx="2405">
                <c:v>42342</c:v>
              </c:pt>
              <c:pt idx="2406">
                <c:v>42345</c:v>
              </c:pt>
              <c:pt idx="2407">
                <c:v>42346</c:v>
              </c:pt>
              <c:pt idx="2408">
                <c:v>42347</c:v>
              </c:pt>
              <c:pt idx="2409">
                <c:v>42348</c:v>
              </c:pt>
              <c:pt idx="2410">
                <c:v>42349</c:v>
              </c:pt>
              <c:pt idx="2411">
                <c:v>42352</c:v>
              </c:pt>
              <c:pt idx="2412">
                <c:v>42353</c:v>
              </c:pt>
              <c:pt idx="2413">
                <c:v>42354</c:v>
              </c:pt>
              <c:pt idx="2414">
                <c:v>42355</c:v>
              </c:pt>
              <c:pt idx="2415">
                <c:v>42356</c:v>
              </c:pt>
              <c:pt idx="2416">
                <c:v>42359</c:v>
              </c:pt>
              <c:pt idx="2417">
                <c:v>42360</c:v>
              </c:pt>
              <c:pt idx="2418">
                <c:v>42361</c:v>
              </c:pt>
              <c:pt idx="2419">
                <c:v>42362</c:v>
              </c:pt>
              <c:pt idx="2420">
                <c:v>42367</c:v>
              </c:pt>
              <c:pt idx="2421">
                <c:v>42368</c:v>
              </c:pt>
              <c:pt idx="2422">
                <c:v>42369</c:v>
              </c:pt>
              <c:pt idx="2423">
                <c:v>42373</c:v>
              </c:pt>
              <c:pt idx="2424">
                <c:v>42374</c:v>
              </c:pt>
              <c:pt idx="2425">
                <c:v>42375</c:v>
              </c:pt>
              <c:pt idx="2426">
                <c:v>42376</c:v>
              </c:pt>
              <c:pt idx="2427">
                <c:v>42377</c:v>
              </c:pt>
              <c:pt idx="2428">
                <c:v>42380</c:v>
              </c:pt>
              <c:pt idx="2429">
                <c:v>42381</c:v>
              </c:pt>
              <c:pt idx="2430">
                <c:v>42382</c:v>
              </c:pt>
              <c:pt idx="2431">
                <c:v>42383</c:v>
              </c:pt>
              <c:pt idx="2432">
                <c:v>42384</c:v>
              </c:pt>
              <c:pt idx="2433">
                <c:v>42387</c:v>
              </c:pt>
              <c:pt idx="2434">
                <c:v>42388</c:v>
              </c:pt>
              <c:pt idx="2435">
                <c:v>42389</c:v>
              </c:pt>
              <c:pt idx="2436">
                <c:v>42390</c:v>
              </c:pt>
              <c:pt idx="2437">
                <c:v>42391</c:v>
              </c:pt>
              <c:pt idx="2438">
                <c:v>42394</c:v>
              </c:pt>
              <c:pt idx="2439">
                <c:v>42396</c:v>
              </c:pt>
              <c:pt idx="2440">
                <c:v>42397</c:v>
              </c:pt>
              <c:pt idx="2441">
                <c:v>42398</c:v>
              </c:pt>
              <c:pt idx="2442">
                <c:v>42401</c:v>
              </c:pt>
              <c:pt idx="2443">
                <c:v>42402</c:v>
              </c:pt>
              <c:pt idx="2444">
                <c:v>42403</c:v>
              </c:pt>
              <c:pt idx="2445">
                <c:v>42404</c:v>
              </c:pt>
              <c:pt idx="2446">
                <c:v>42405</c:v>
              </c:pt>
              <c:pt idx="2447">
                <c:v>42408</c:v>
              </c:pt>
              <c:pt idx="2448">
                <c:v>42409</c:v>
              </c:pt>
              <c:pt idx="2449">
                <c:v>42410</c:v>
              </c:pt>
              <c:pt idx="2450">
                <c:v>42411</c:v>
              </c:pt>
              <c:pt idx="2451">
                <c:v>42412</c:v>
              </c:pt>
              <c:pt idx="2452">
                <c:v>42415</c:v>
              </c:pt>
              <c:pt idx="2453">
                <c:v>42416</c:v>
              </c:pt>
              <c:pt idx="2454">
                <c:v>42417</c:v>
              </c:pt>
              <c:pt idx="2455">
                <c:v>42418</c:v>
              </c:pt>
              <c:pt idx="2456">
                <c:v>42419</c:v>
              </c:pt>
              <c:pt idx="2457">
                <c:v>42422</c:v>
              </c:pt>
              <c:pt idx="2458">
                <c:v>42423</c:v>
              </c:pt>
              <c:pt idx="2459">
                <c:v>42424</c:v>
              </c:pt>
              <c:pt idx="2460">
                <c:v>42425</c:v>
              </c:pt>
              <c:pt idx="2461">
                <c:v>42426</c:v>
              </c:pt>
              <c:pt idx="2462">
                <c:v>42429</c:v>
              </c:pt>
              <c:pt idx="2463">
                <c:v>42430</c:v>
              </c:pt>
              <c:pt idx="2464">
                <c:v>42431</c:v>
              </c:pt>
              <c:pt idx="2465">
                <c:v>42432</c:v>
              </c:pt>
              <c:pt idx="2466">
                <c:v>42433</c:v>
              </c:pt>
              <c:pt idx="2467">
                <c:v>42436</c:v>
              </c:pt>
              <c:pt idx="2468">
                <c:v>42437</c:v>
              </c:pt>
              <c:pt idx="2469">
                <c:v>42438</c:v>
              </c:pt>
              <c:pt idx="2470">
                <c:v>42439</c:v>
              </c:pt>
              <c:pt idx="2471">
                <c:v>42440</c:v>
              </c:pt>
              <c:pt idx="2472">
                <c:v>42443</c:v>
              </c:pt>
              <c:pt idx="2473">
                <c:v>42444</c:v>
              </c:pt>
              <c:pt idx="2474">
                <c:v>42445</c:v>
              </c:pt>
              <c:pt idx="2475">
                <c:v>42446</c:v>
              </c:pt>
              <c:pt idx="2476">
                <c:v>42447</c:v>
              </c:pt>
              <c:pt idx="2477">
                <c:v>42450</c:v>
              </c:pt>
              <c:pt idx="2478">
                <c:v>42451</c:v>
              </c:pt>
              <c:pt idx="2479">
                <c:v>42452</c:v>
              </c:pt>
              <c:pt idx="2480">
                <c:v>42453</c:v>
              </c:pt>
              <c:pt idx="2481">
                <c:v>42458</c:v>
              </c:pt>
              <c:pt idx="2482">
                <c:v>42459</c:v>
              </c:pt>
              <c:pt idx="2483">
                <c:v>42460</c:v>
              </c:pt>
              <c:pt idx="2484">
                <c:v>42461</c:v>
              </c:pt>
              <c:pt idx="2485">
                <c:v>42464</c:v>
              </c:pt>
              <c:pt idx="2486">
                <c:v>42465</c:v>
              </c:pt>
              <c:pt idx="2487">
                <c:v>42466</c:v>
              </c:pt>
              <c:pt idx="2488">
                <c:v>42467</c:v>
              </c:pt>
              <c:pt idx="2489">
                <c:v>42468</c:v>
              </c:pt>
              <c:pt idx="2490">
                <c:v>42471</c:v>
              </c:pt>
              <c:pt idx="2491">
                <c:v>42472</c:v>
              </c:pt>
              <c:pt idx="2492">
                <c:v>42473</c:v>
              </c:pt>
              <c:pt idx="2493">
                <c:v>42474</c:v>
              </c:pt>
              <c:pt idx="2494">
                <c:v>42475</c:v>
              </c:pt>
              <c:pt idx="2495">
                <c:v>42478</c:v>
              </c:pt>
              <c:pt idx="2496">
                <c:v>42479</c:v>
              </c:pt>
              <c:pt idx="2497">
                <c:v>42480</c:v>
              </c:pt>
              <c:pt idx="2498">
                <c:v>42481</c:v>
              </c:pt>
              <c:pt idx="2499">
                <c:v>42482</c:v>
              </c:pt>
              <c:pt idx="2500">
                <c:v>42486</c:v>
              </c:pt>
              <c:pt idx="2501">
                <c:v>42487</c:v>
              </c:pt>
              <c:pt idx="2502">
                <c:v>42488</c:v>
              </c:pt>
              <c:pt idx="2503">
                <c:v>42489</c:v>
              </c:pt>
              <c:pt idx="2504">
                <c:v>42492</c:v>
              </c:pt>
              <c:pt idx="2505">
                <c:v>42493</c:v>
              </c:pt>
              <c:pt idx="2506">
                <c:v>42494</c:v>
              </c:pt>
              <c:pt idx="2507">
                <c:v>42495</c:v>
              </c:pt>
              <c:pt idx="2508">
                <c:v>42496</c:v>
              </c:pt>
              <c:pt idx="2509">
                <c:v>42499</c:v>
              </c:pt>
              <c:pt idx="2510">
                <c:v>42500</c:v>
              </c:pt>
              <c:pt idx="2511">
                <c:v>42501</c:v>
              </c:pt>
              <c:pt idx="2512">
                <c:v>42502</c:v>
              </c:pt>
              <c:pt idx="2513">
                <c:v>42503</c:v>
              </c:pt>
              <c:pt idx="2514">
                <c:v>42506</c:v>
              </c:pt>
              <c:pt idx="2515">
                <c:v>42507</c:v>
              </c:pt>
              <c:pt idx="2516">
                <c:v>42508</c:v>
              </c:pt>
              <c:pt idx="2517">
                <c:v>42509</c:v>
              </c:pt>
              <c:pt idx="2518">
                <c:v>42510</c:v>
              </c:pt>
              <c:pt idx="2519">
                <c:v>42513</c:v>
              </c:pt>
              <c:pt idx="2520">
                <c:v>42514</c:v>
              </c:pt>
              <c:pt idx="2521">
                <c:v>42515</c:v>
              </c:pt>
              <c:pt idx="2522">
                <c:v>42516</c:v>
              </c:pt>
              <c:pt idx="2523">
                <c:v>42517</c:v>
              </c:pt>
              <c:pt idx="2524">
                <c:v>42520</c:v>
              </c:pt>
              <c:pt idx="2525">
                <c:v>42521</c:v>
              </c:pt>
              <c:pt idx="2526">
                <c:v>42522</c:v>
              </c:pt>
              <c:pt idx="2527">
                <c:v>42523</c:v>
              </c:pt>
              <c:pt idx="2528">
                <c:v>42524</c:v>
              </c:pt>
              <c:pt idx="2529">
                <c:v>42527</c:v>
              </c:pt>
              <c:pt idx="2530">
                <c:v>42528</c:v>
              </c:pt>
              <c:pt idx="2531">
                <c:v>42529</c:v>
              </c:pt>
              <c:pt idx="2532">
                <c:v>42530</c:v>
              </c:pt>
              <c:pt idx="2533">
                <c:v>42531</c:v>
              </c:pt>
              <c:pt idx="2534">
                <c:v>42535</c:v>
              </c:pt>
              <c:pt idx="2535">
                <c:v>42536</c:v>
              </c:pt>
              <c:pt idx="2536">
                <c:v>42537</c:v>
              </c:pt>
              <c:pt idx="2537">
                <c:v>42538</c:v>
              </c:pt>
              <c:pt idx="2538">
                <c:v>42541</c:v>
              </c:pt>
              <c:pt idx="2539">
                <c:v>42542</c:v>
              </c:pt>
              <c:pt idx="2540">
                <c:v>42543</c:v>
              </c:pt>
              <c:pt idx="2541">
                <c:v>42544</c:v>
              </c:pt>
              <c:pt idx="2542">
                <c:v>42545</c:v>
              </c:pt>
              <c:pt idx="2543">
                <c:v>42548</c:v>
              </c:pt>
              <c:pt idx="2544">
                <c:v>42549</c:v>
              </c:pt>
              <c:pt idx="2545">
                <c:v>42550</c:v>
              </c:pt>
              <c:pt idx="2546">
                <c:v>42551</c:v>
              </c:pt>
              <c:pt idx="2547">
                <c:v>42552</c:v>
              </c:pt>
              <c:pt idx="2548">
                <c:v>42555</c:v>
              </c:pt>
              <c:pt idx="2549">
                <c:v>42556</c:v>
              </c:pt>
              <c:pt idx="2550">
                <c:v>42557</c:v>
              </c:pt>
              <c:pt idx="2551">
                <c:v>42558</c:v>
              </c:pt>
              <c:pt idx="2552">
                <c:v>42559</c:v>
              </c:pt>
              <c:pt idx="2553">
                <c:v>42562</c:v>
              </c:pt>
              <c:pt idx="2554">
                <c:v>42563</c:v>
              </c:pt>
              <c:pt idx="2555">
                <c:v>42564</c:v>
              </c:pt>
              <c:pt idx="2556">
                <c:v>42565</c:v>
              </c:pt>
              <c:pt idx="2557">
                <c:v>42566</c:v>
              </c:pt>
              <c:pt idx="2558">
                <c:v>42569</c:v>
              </c:pt>
              <c:pt idx="2559">
                <c:v>42570</c:v>
              </c:pt>
              <c:pt idx="2560">
                <c:v>42571</c:v>
              </c:pt>
              <c:pt idx="2561">
                <c:v>42572</c:v>
              </c:pt>
              <c:pt idx="2562">
                <c:v>42573</c:v>
              </c:pt>
              <c:pt idx="2563">
                <c:v>42576</c:v>
              </c:pt>
              <c:pt idx="2564">
                <c:v>42577</c:v>
              </c:pt>
              <c:pt idx="2565">
                <c:v>42578</c:v>
              </c:pt>
              <c:pt idx="2566">
                <c:v>42579</c:v>
              </c:pt>
              <c:pt idx="2567">
                <c:v>42580</c:v>
              </c:pt>
              <c:pt idx="2568">
                <c:v>42583</c:v>
              </c:pt>
              <c:pt idx="2569">
                <c:v>42584</c:v>
              </c:pt>
              <c:pt idx="2570">
                <c:v>42585</c:v>
              </c:pt>
              <c:pt idx="2571">
                <c:v>42586</c:v>
              </c:pt>
              <c:pt idx="2572">
                <c:v>42587</c:v>
              </c:pt>
              <c:pt idx="2573">
                <c:v>42590</c:v>
              </c:pt>
              <c:pt idx="2574">
                <c:v>42591</c:v>
              </c:pt>
              <c:pt idx="2575">
                <c:v>42592</c:v>
              </c:pt>
              <c:pt idx="2576">
                <c:v>42593</c:v>
              </c:pt>
              <c:pt idx="2577">
                <c:v>42594</c:v>
              </c:pt>
              <c:pt idx="2578">
                <c:v>42597</c:v>
              </c:pt>
              <c:pt idx="2579">
                <c:v>42598</c:v>
              </c:pt>
              <c:pt idx="2580">
                <c:v>42599</c:v>
              </c:pt>
              <c:pt idx="2581">
                <c:v>42600</c:v>
              </c:pt>
              <c:pt idx="2582">
                <c:v>42601</c:v>
              </c:pt>
              <c:pt idx="2583">
                <c:v>42604</c:v>
              </c:pt>
              <c:pt idx="2584">
                <c:v>42605</c:v>
              </c:pt>
              <c:pt idx="2585">
                <c:v>42606</c:v>
              </c:pt>
              <c:pt idx="2586">
                <c:v>42607</c:v>
              </c:pt>
              <c:pt idx="2587">
                <c:v>42608</c:v>
              </c:pt>
              <c:pt idx="2588">
                <c:v>42611</c:v>
              </c:pt>
              <c:pt idx="2589">
                <c:v>42612</c:v>
              </c:pt>
              <c:pt idx="2590">
                <c:v>42613</c:v>
              </c:pt>
              <c:pt idx="2591">
                <c:v>42614</c:v>
              </c:pt>
              <c:pt idx="2592">
                <c:v>42615</c:v>
              </c:pt>
              <c:pt idx="2593">
                <c:v>42618</c:v>
              </c:pt>
              <c:pt idx="2594">
                <c:v>42619</c:v>
              </c:pt>
              <c:pt idx="2595">
                <c:v>42620</c:v>
              </c:pt>
              <c:pt idx="2596">
                <c:v>42621</c:v>
              </c:pt>
              <c:pt idx="2597">
                <c:v>42622</c:v>
              </c:pt>
              <c:pt idx="2598">
                <c:v>42625</c:v>
              </c:pt>
              <c:pt idx="2599">
                <c:v>42626</c:v>
              </c:pt>
              <c:pt idx="2600">
                <c:v>42627</c:v>
              </c:pt>
              <c:pt idx="2601">
                <c:v>42628</c:v>
              </c:pt>
              <c:pt idx="2602">
                <c:v>42629</c:v>
              </c:pt>
              <c:pt idx="2603">
                <c:v>42632</c:v>
              </c:pt>
              <c:pt idx="2604">
                <c:v>42633</c:v>
              </c:pt>
              <c:pt idx="2605">
                <c:v>42634</c:v>
              </c:pt>
              <c:pt idx="2606">
                <c:v>42635</c:v>
              </c:pt>
              <c:pt idx="2607">
                <c:v>42636</c:v>
              </c:pt>
              <c:pt idx="2608">
                <c:v>42639</c:v>
              </c:pt>
              <c:pt idx="2609">
                <c:v>42640</c:v>
              </c:pt>
              <c:pt idx="2610">
                <c:v>42641</c:v>
              </c:pt>
              <c:pt idx="2611">
                <c:v>42642</c:v>
              </c:pt>
              <c:pt idx="2612">
                <c:v>42643</c:v>
              </c:pt>
              <c:pt idx="2613">
                <c:v>42646</c:v>
              </c:pt>
              <c:pt idx="2614">
                <c:v>42647</c:v>
              </c:pt>
              <c:pt idx="2615">
                <c:v>42648</c:v>
              </c:pt>
              <c:pt idx="2616">
                <c:v>42649</c:v>
              </c:pt>
              <c:pt idx="2617">
                <c:v>42650</c:v>
              </c:pt>
              <c:pt idx="2618">
                <c:v>42653</c:v>
              </c:pt>
              <c:pt idx="2619">
                <c:v>42654</c:v>
              </c:pt>
              <c:pt idx="2620">
                <c:v>42655</c:v>
              </c:pt>
              <c:pt idx="2621">
                <c:v>42656</c:v>
              </c:pt>
              <c:pt idx="2622">
                <c:v>42657</c:v>
              </c:pt>
              <c:pt idx="2623">
                <c:v>42660</c:v>
              </c:pt>
              <c:pt idx="2624">
                <c:v>42661</c:v>
              </c:pt>
              <c:pt idx="2625">
                <c:v>42662</c:v>
              </c:pt>
              <c:pt idx="2626">
                <c:v>42663</c:v>
              </c:pt>
              <c:pt idx="2627">
                <c:v>42664</c:v>
              </c:pt>
              <c:pt idx="2628">
                <c:v>42667</c:v>
              </c:pt>
              <c:pt idx="2629">
                <c:v>42668</c:v>
              </c:pt>
              <c:pt idx="2630">
                <c:v>42669</c:v>
              </c:pt>
              <c:pt idx="2631">
                <c:v>42670</c:v>
              </c:pt>
              <c:pt idx="2632">
                <c:v>42671</c:v>
              </c:pt>
              <c:pt idx="2633">
                <c:v>42674</c:v>
              </c:pt>
              <c:pt idx="2634">
                <c:v>42675</c:v>
              </c:pt>
              <c:pt idx="2635">
                <c:v>42676</c:v>
              </c:pt>
              <c:pt idx="2636">
                <c:v>42677</c:v>
              </c:pt>
              <c:pt idx="2637">
                <c:v>42678</c:v>
              </c:pt>
              <c:pt idx="2638">
                <c:v>42681</c:v>
              </c:pt>
              <c:pt idx="2639">
                <c:v>42682</c:v>
              </c:pt>
              <c:pt idx="2640">
                <c:v>42683</c:v>
              </c:pt>
              <c:pt idx="2641">
                <c:v>42684</c:v>
              </c:pt>
              <c:pt idx="2642">
                <c:v>42685</c:v>
              </c:pt>
              <c:pt idx="2643">
                <c:v>42688</c:v>
              </c:pt>
              <c:pt idx="2644">
                <c:v>42689</c:v>
              </c:pt>
              <c:pt idx="2645">
                <c:v>42690</c:v>
              </c:pt>
              <c:pt idx="2646">
                <c:v>42691</c:v>
              </c:pt>
              <c:pt idx="2647">
                <c:v>42692</c:v>
              </c:pt>
              <c:pt idx="2648">
                <c:v>42695</c:v>
              </c:pt>
              <c:pt idx="2649">
                <c:v>42696</c:v>
              </c:pt>
              <c:pt idx="2650">
                <c:v>42697</c:v>
              </c:pt>
              <c:pt idx="2651">
                <c:v>42698</c:v>
              </c:pt>
              <c:pt idx="2652">
                <c:v>42699</c:v>
              </c:pt>
              <c:pt idx="2653">
                <c:v>42702</c:v>
              </c:pt>
              <c:pt idx="2654">
                <c:v>42703</c:v>
              </c:pt>
              <c:pt idx="2655">
                <c:v>42704</c:v>
              </c:pt>
              <c:pt idx="2656">
                <c:v>42705</c:v>
              </c:pt>
              <c:pt idx="2657">
                <c:v>42706</c:v>
              </c:pt>
              <c:pt idx="2658">
                <c:v>42709</c:v>
              </c:pt>
              <c:pt idx="2659">
                <c:v>42710</c:v>
              </c:pt>
              <c:pt idx="2660">
                <c:v>42711</c:v>
              </c:pt>
              <c:pt idx="2661">
                <c:v>42712</c:v>
              </c:pt>
              <c:pt idx="2662">
                <c:v>42713</c:v>
              </c:pt>
              <c:pt idx="2663">
                <c:v>42716</c:v>
              </c:pt>
              <c:pt idx="2664">
                <c:v>42717</c:v>
              </c:pt>
              <c:pt idx="2665">
                <c:v>42718</c:v>
              </c:pt>
              <c:pt idx="2666">
                <c:v>42719</c:v>
              </c:pt>
              <c:pt idx="2667">
                <c:v>42720</c:v>
              </c:pt>
              <c:pt idx="2668">
                <c:v>42723</c:v>
              </c:pt>
              <c:pt idx="2669">
                <c:v>42724</c:v>
              </c:pt>
              <c:pt idx="2670">
                <c:v>42725</c:v>
              </c:pt>
              <c:pt idx="2671">
                <c:v>42726</c:v>
              </c:pt>
              <c:pt idx="2672">
                <c:v>42727</c:v>
              </c:pt>
              <c:pt idx="2673">
                <c:v>42732</c:v>
              </c:pt>
              <c:pt idx="2674">
                <c:v>42733</c:v>
              </c:pt>
              <c:pt idx="2675">
                <c:v>42734</c:v>
              </c:pt>
              <c:pt idx="2676">
                <c:v>42738</c:v>
              </c:pt>
              <c:pt idx="2677">
                <c:v>42739</c:v>
              </c:pt>
              <c:pt idx="2678">
                <c:v>42740</c:v>
              </c:pt>
              <c:pt idx="2679">
                <c:v>42741</c:v>
              </c:pt>
              <c:pt idx="2680">
                <c:v>42744</c:v>
              </c:pt>
              <c:pt idx="2681">
                <c:v>42745</c:v>
              </c:pt>
              <c:pt idx="2682">
                <c:v>42746</c:v>
              </c:pt>
              <c:pt idx="2683">
                <c:v>42747</c:v>
              </c:pt>
              <c:pt idx="2684">
                <c:v>42748</c:v>
              </c:pt>
              <c:pt idx="2685">
                <c:v>42751</c:v>
              </c:pt>
              <c:pt idx="2686">
                <c:v>42752</c:v>
              </c:pt>
              <c:pt idx="2687">
                <c:v>42753</c:v>
              </c:pt>
              <c:pt idx="2688">
                <c:v>42754</c:v>
              </c:pt>
              <c:pt idx="2689">
                <c:v>42755</c:v>
              </c:pt>
              <c:pt idx="2690">
                <c:v>42758</c:v>
              </c:pt>
              <c:pt idx="2691">
                <c:v>42759</c:v>
              </c:pt>
              <c:pt idx="2692">
                <c:v>42760</c:v>
              </c:pt>
              <c:pt idx="2693">
                <c:v>42762</c:v>
              </c:pt>
              <c:pt idx="2694">
                <c:v>42765</c:v>
              </c:pt>
              <c:pt idx="2695">
                <c:v>42766</c:v>
              </c:pt>
              <c:pt idx="2696">
                <c:v>42767</c:v>
              </c:pt>
              <c:pt idx="2697">
                <c:v>42768</c:v>
              </c:pt>
              <c:pt idx="2698">
                <c:v>42769</c:v>
              </c:pt>
              <c:pt idx="2699">
                <c:v>42772</c:v>
              </c:pt>
              <c:pt idx="2700">
                <c:v>42773</c:v>
              </c:pt>
              <c:pt idx="2701">
                <c:v>42774</c:v>
              </c:pt>
              <c:pt idx="2702">
                <c:v>42775</c:v>
              </c:pt>
              <c:pt idx="2703">
                <c:v>42776</c:v>
              </c:pt>
              <c:pt idx="2704">
                <c:v>42779</c:v>
              </c:pt>
              <c:pt idx="2705">
                <c:v>42780</c:v>
              </c:pt>
              <c:pt idx="2706">
                <c:v>42781</c:v>
              </c:pt>
              <c:pt idx="2707">
                <c:v>42782</c:v>
              </c:pt>
              <c:pt idx="2708">
                <c:v>42783</c:v>
              </c:pt>
              <c:pt idx="2709">
                <c:v>42786</c:v>
              </c:pt>
              <c:pt idx="2710">
                <c:v>42787</c:v>
              </c:pt>
              <c:pt idx="2711">
                <c:v>42788</c:v>
              </c:pt>
              <c:pt idx="2712">
                <c:v>42789</c:v>
              </c:pt>
              <c:pt idx="2713">
                <c:v>42790</c:v>
              </c:pt>
              <c:pt idx="2714">
                <c:v>42793</c:v>
              </c:pt>
              <c:pt idx="2715">
                <c:v>42794</c:v>
              </c:pt>
              <c:pt idx="2716">
                <c:v>42795</c:v>
              </c:pt>
              <c:pt idx="2717">
                <c:v>42796</c:v>
              </c:pt>
              <c:pt idx="2718">
                <c:v>42797</c:v>
              </c:pt>
              <c:pt idx="2719">
                <c:v>42800</c:v>
              </c:pt>
              <c:pt idx="2720">
                <c:v>42801</c:v>
              </c:pt>
              <c:pt idx="2721">
                <c:v>42802</c:v>
              </c:pt>
              <c:pt idx="2722">
                <c:v>42803</c:v>
              </c:pt>
              <c:pt idx="2723">
                <c:v>42804</c:v>
              </c:pt>
              <c:pt idx="2724">
                <c:v>42807</c:v>
              </c:pt>
              <c:pt idx="2725">
                <c:v>42808</c:v>
              </c:pt>
              <c:pt idx="2726">
                <c:v>42809</c:v>
              </c:pt>
              <c:pt idx="2727">
                <c:v>42810</c:v>
              </c:pt>
              <c:pt idx="2728">
                <c:v>42811</c:v>
              </c:pt>
              <c:pt idx="2729">
                <c:v>42814</c:v>
              </c:pt>
              <c:pt idx="2730">
                <c:v>42815</c:v>
              </c:pt>
              <c:pt idx="2731">
                <c:v>42816</c:v>
              </c:pt>
              <c:pt idx="2732">
                <c:v>42817</c:v>
              </c:pt>
              <c:pt idx="2733">
                <c:v>42818</c:v>
              </c:pt>
              <c:pt idx="2734">
                <c:v>42821</c:v>
              </c:pt>
              <c:pt idx="2735">
                <c:v>42822</c:v>
              </c:pt>
              <c:pt idx="2736">
                <c:v>42823</c:v>
              </c:pt>
              <c:pt idx="2737">
                <c:v>42824</c:v>
              </c:pt>
              <c:pt idx="2738">
                <c:v>42825</c:v>
              </c:pt>
              <c:pt idx="2739">
                <c:v>42828</c:v>
              </c:pt>
              <c:pt idx="2740">
                <c:v>42829</c:v>
              </c:pt>
              <c:pt idx="2741">
                <c:v>42830</c:v>
              </c:pt>
              <c:pt idx="2742">
                <c:v>42831</c:v>
              </c:pt>
              <c:pt idx="2743">
                <c:v>42832</c:v>
              </c:pt>
              <c:pt idx="2744">
                <c:v>42835</c:v>
              </c:pt>
              <c:pt idx="2745">
                <c:v>42836</c:v>
              </c:pt>
              <c:pt idx="2746">
                <c:v>42837</c:v>
              </c:pt>
              <c:pt idx="2747">
                <c:v>42838</c:v>
              </c:pt>
              <c:pt idx="2748">
                <c:v>42843</c:v>
              </c:pt>
              <c:pt idx="2749">
                <c:v>42844</c:v>
              </c:pt>
              <c:pt idx="2750">
                <c:v>42845</c:v>
              </c:pt>
              <c:pt idx="2751">
                <c:v>42846</c:v>
              </c:pt>
              <c:pt idx="2752">
                <c:v>42849</c:v>
              </c:pt>
              <c:pt idx="2753">
                <c:v>42851</c:v>
              </c:pt>
              <c:pt idx="2754">
                <c:v>42852</c:v>
              </c:pt>
              <c:pt idx="2755">
                <c:v>42853</c:v>
              </c:pt>
              <c:pt idx="2756">
                <c:v>42856</c:v>
              </c:pt>
              <c:pt idx="2757">
                <c:v>42857</c:v>
              </c:pt>
              <c:pt idx="2758">
                <c:v>42858</c:v>
              </c:pt>
              <c:pt idx="2759">
                <c:v>42859</c:v>
              </c:pt>
              <c:pt idx="2760">
                <c:v>42860</c:v>
              </c:pt>
              <c:pt idx="2761">
                <c:v>42863</c:v>
              </c:pt>
              <c:pt idx="2762">
                <c:v>42864</c:v>
              </c:pt>
              <c:pt idx="2763">
                <c:v>42865</c:v>
              </c:pt>
              <c:pt idx="2764">
                <c:v>42866</c:v>
              </c:pt>
              <c:pt idx="2765">
                <c:v>42867</c:v>
              </c:pt>
              <c:pt idx="2766">
                <c:v>42870</c:v>
              </c:pt>
              <c:pt idx="2767">
                <c:v>42871</c:v>
              </c:pt>
              <c:pt idx="2768">
                <c:v>42872</c:v>
              </c:pt>
              <c:pt idx="2769">
                <c:v>42873</c:v>
              </c:pt>
              <c:pt idx="2770">
                <c:v>42874</c:v>
              </c:pt>
              <c:pt idx="2771">
                <c:v>42877</c:v>
              </c:pt>
              <c:pt idx="2772">
                <c:v>42878</c:v>
              </c:pt>
              <c:pt idx="2773">
                <c:v>42879</c:v>
              </c:pt>
              <c:pt idx="2774">
                <c:v>42880</c:v>
              </c:pt>
              <c:pt idx="2775">
                <c:v>42881</c:v>
              </c:pt>
              <c:pt idx="2776">
                <c:v>42884</c:v>
              </c:pt>
              <c:pt idx="2777">
                <c:v>42885</c:v>
              </c:pt>
              <c:pt idx="2778">
                <c:v>42886</c:v>
              </c:pt>
              <c:pt idx="2779">
                <c:v>42887</c:v>
              </c:pt>
              <c:pt idx="2780">
                <c:v>42888</c:v>
              </c:pt>
              <c:pt idx="2781">
                <c:v>42891</c:v>
              </c:pt>
              <c:pt idx="2782">
                <c:v>42892</c:v>
              </c:pt>
              <c:pt idx="2783">
                <c:v>42893</c:v>
              </c:pt>
              <c:pt idx="2784">
                <c:v>42894</c:v>
              </c:pt>
              <c:pt idx="2785">
                <c:v>42895</c:v>
              </c:pt>
              <c:pt idx="2786">
                <c:v>42899</c:v>
              </c:pt>
              <c:pt idx="2787">
                <c:v>42900</c:v>
              </c:pt>
              <c:pt idx="2788">
                <c:v>42901</c:v>
              </c:pt>
              <c:pt idx="2789">
                <c:v>42902</c:v>
              </c:pt>
              <c:pt idx="2790">
                <c:v>42905</c:v>
              </c:pt>
              <c:pt idx="2791">
                <c:v>42906</c:v>
              </c:pt>
              <c:pt idx="2792">
                <c:v>42907</c:v>
              </c:pt>
              <c:pt idx="2793">
                <c:v>42908</c:v>
              </c:pt>
              <c:pt idx="2794">
                <c:v>42909</c:v>
              </c:pt>
              <c:pt idx="2795">
                <c:v>42912</c:v>
              </c:pt>
              <c:pt idx="2796">
                <c:v>42913</c:v>
              </c:pt>
              <c:pt idx="2797">
                <c:v>42914</c:v>
              </c:pt>
              <c:pt idx="2798">
                <c:v>42915</c:v>
              </c:pt>
              <c:pt idx="2799">
                <c:v>42916</c:v>
              </c:pt>
              <c:pt idx="2800">
                <c:v>42919</c:v>
              </c:pt>
              <c:pt idx="2801">
                <c:v>42920</c:v>
              </c:pt>
              <c:pt idx="2802">
                <c:v>42921</c:v>
              </c:pt>
              <c:pt idx="2803">
                <c:v>42922</c:v>
              </c:pt>
              <c:pt idx="2804">
                <c:v>42923</c:v>
              </c:pt>
              <c:pt idx="2805">
                <c:v>42926</c:v>
              </c:pt>
              <c:pt idx="2806">
                <c:v>42927</c:v>
              </c:pt>
              <c:pt idx="2807">
                <c:v>42928</c:v>
              </c:pt>
              <c:pt idx="2808">
                <c:v>42929</c:v>
              </c:pt>
              <c:pt idx="2809">
                <c:v>42930</c:v>
              </c:pt>
              <c:pt idx="2810">
                <c:v>42933</c:v>
              </c:pt>
              <c:pt idx="2811">
                <c:v>42934</c:v>
              </c:pt>
              <c:pt idx="2812">
                <c:v>42935</c:v>
              </c:pt>
              <c:pt idx="2813">
                <c:v>42936</c:v>
              </c:pt>
              <c:pt idx="2814">
                <c:v>42937</c:v>
              </c:pt>
              <c:pt idx="2815">
                <c:v>42940</c:v>
              </c:pt>
              <c:pt idx="2816">
                <c:v>42941</c:v>
              </c:pt>
              <c:pt idx="2817">
                <c:v>42942</c:v>
              </c:pt>
              <c:pt idx="2818">
                <c:v>42943</c:v>
              </c:pt>
              <c:pt idx="2819">
                <c:v>42944</c:v>
              </c:pt>
              <c:pt idx="2820">
                <c:v>42947</c:v>
              </c:pt>
              <c:pt idx="2821">
                <c:v>42948</c:v>
              </c:pt>
              <c:pt idx="2822">
                <c:v>42949</c:v>
              </c:pt>
              <c:pt idx="2823">
                <c:v>42950</c:v>
              </c:pt>
              <c:pt idx="2824">
                <c:v>42951</c:v>
              </c:pt>
              <c:pt idx="2825">
                <c:v>42954</c:v>
              </c:pt>
              <c:pt idx="2826">
                <c:v>42955</c:v>
              </c:pt>
              <c:pt idx="2827">
                <c:v>42956</c:v>
              </c:pt>
              <c:pt idx="2828">
                <c:v>42957</c:v>
              </c:pt>
              <c:pt idx="2829">
                <c:v>42958</c:v>
              </c:pt>
              <c:pt idx="2830">
                <c:v>42961</c:v>
              </c:pt>
              <c:pt idx="2831">
                <c:v>42962</c:v>
              </c:pt>
              <c:pt idx="2832">
                <c:v>42963</c:v>
              </c:pt>
              <c:pt idx="2833">
                <c:v>42964</c:v>
              </c:pt>
              <c:pt idx="2834">
                <c:v>42965</c:v>
              </c:pt>
              <c:pt idx="2835">
                <c:v>42968</c:v>
              </c:pt>
              <c:pt idx="2836">
                <c:v>42969</c:v>
              </c:pt>
              <c:pt idx="2837">
                <c:v>42970</c:v>
              </c:pt>
              <c:pt idx="2838">
                <c:v>42971</c:v>
              </c:pt>
              <c:pt idx="2839">
                <c:v>42972</c:v>
              </c:pt>
              <c:pt idx="2840">
                <c:v>42975</c:v>
              </c:pt>
              <c:pt idx="2841">
                <c:v>42976</c:v>
              </c:pt>
              <c:pt idx="2842">
                <c:v>42977</c:v>
              </c:pt>
              <c:pt idx="2843">
                <c:v>42978</c:v>
              </c:pt>
              <c:pt idx="2844">
                <c:v>42979</c:v>
              </c:pt>
              <c:pt idx="2845">
                <c:v>42982</c:v>
              </c:pt>
              <c:pt idx="2846">
                <c:v>42983</c:v>
              </c:pt>
              <c:pt idx="2847">
                <c:v>42984</c:v>
              </c:pt>
              <c:pt idx="2848">
                <c:v>42985</c:v>
              </c:pt>
              <c:pt idx="2849">
                <c:v>42986</c:v>
              </c:pt>
              <c:pt idx="2850">
                <c:v>42989</c:v>
              </c:pt>
              <c:pt idx="2851">
                <c:v>42990</c:v>
              </c:pt>
              <c:pt idx="2852">
                <c:v>42991</c:v>
              </c:pt>
              <c:pt idx="2853">
                <c:v>42992</c:v>
              </c:pt>
              <c:pt idx="2854">
                <c:v>42993</c:v>
              </c:pt>
              <c:pt idx="2855">
                <c:v>42996</c:v>
              </c:pt>
              <c:pt idx="2856">
                <c:v>42997</c:v>
              </c:pt>
              <c:pt idx="2857">
                <c:v>42998</c:v>
              </c:pt>
              <c:pt idx="2858">
                <c:v>42999</c:v>
              </c:pt>
              <c:pt idx="2859">
                <c:v>43000</c:v>
              </c:pt>
              <c:pt idx="2860">
                <c:v>43003</c:v>
              </c:pt>
              <c:pt idx="2861">
                <c:v>43004</c:v>
              </c:pt>
              <c:pt idx="2862">
                <c:v>43005</c:v>
              </c:pt>
              <c:pt idx="2863">
                <c:v>43006</c:v>
              </c:pt>
              <c:pt idx="2864">
                <c:v>43007</c:v>
              </c:pt>
              <c:pt idx="2865">
                <c:v>43010</c:v>
              </c:pt>
              <c:pt idx="2866">
                <c:v>43011</c:v>
              </c:pt>
              <c:pt idx="2867">
                <c:v>43012</c:v>
              </c:pt>
              <c:pt idx="2868">
                <c:v>43013</c:v>
              </c:pt>
              <c:pt idx="2869">
                <c:v>43014</c:v>
              </c:pt>
              <c:pt idx="2870">
                <c:v>43017</c:v>
              </c:pt>
              <c:pt idx="2871">
                <c:v>43018</c:v>
              </c:pt>
              <c:pt idx="2872">
                <c:v>43019</c:v>
              </c:pt>
              <c:pt idx="2873">
                <c:v>43020</c:v>
              </c:pt>
              <c:pt idx="2874">
                <c:v>43021</c:v>
              </c:pt>
              <c:pt idx="2875">
                <c:v>43024</c:v>
              </c:pt>
              <c:pt idx="2876">
                <c:v>43025</c:v>
              </c:pt>
              <c:pt idx="2877">
                <c:v>43026</c:v>
              </c:pt>
              <c:pt idx="2878">
                <c:v>43027</c:v>
              </c:pt>
              <c:pt idx="2879">
                <c:v>43028</c:v>
              </c:pt>
              <c:pt idx="2880">
                <c:v>43031</c:v>
              </c:pt>
              <c:pt idx="2881">
                <c:v>43032</c:v>
              </c:pt>
              <c:pt idx="2882">
                <c:v>43033</c:v>
              </c:pt>
              <c:pt idx="2883">
                <c:v>43034</c:v>
              </c:pt>
              <c:pt idx="2884">
                <c:v>43035</c:v>
              </c:pt>
              <c:pt idx="2885">
                <c:v>43038</c:v>
              </c:pt>
              <c:pt idx="2886">
                <c:v>43039</c:v>
              </c:pt>
            </c:numLit>
          </c:cat>
          <c:val>
            <c:numLit>
              <c:formatCode>General</c:formatCode>
              <c:ptCount val="2887"/>
              <c:pt idx="783">
                <c:v>8.5100000000000016</c:v>
              </c:pt>
              <c:pt idx="784">
                <c:v>8.5100000000000016</c:v>
              </c:pt>
              <c:pt idx="785">
                <c:v>8.5100000000000016</c:v>
              </c:pt>
              <c:pt idx="786">
                <c:v>8.5100000000000016</c:v>
              </c:pt>
              <c:pt idx="787">
                <c:v>8.5100000000000016</c:v>
              </c:pt>
              <c:pt idx="788">
                <c:v>8.5100000000000016</c:v>
              </c:pt>
              <c:pt idx="789">
                <c:v>8.5100000000000016</c:v>
              </c:pt>
              <c:pt idx="790">
                <c:v>8.5100000000000016</c:v>
              </c:pt>
              <c:pt idx="791">
                <c:v>8.5100000000000016</c:v>
              </c:pt>
              <c:pt idx="792">
                <c:v>8.5100000000000016</c:v>
              </c:pt>
              <c:pt idx="793">
                <c:v>8.5100000000000016</c:v>
              </c:pt>
              <c:pt idx="794">
                <c:v>8.5100000000000016</c:v>
              </c:pt>
              <c:pt idx="795">
                <c:v>8.5100000000000016</c:v>
              </c:pt>
              <c:pt idx="796">
                <c:v>8.5100000000000016</c:v>
              </c:pt>
              <c:pt idx="797">
                <c:v>8.5100000000000016</c:v>
              </c:pt>
              <c:pt idx="798">
                <c:v>8.5100000000000016</c:v>
              </c:pt>
              <c:pt idx="799">
                <c:v>8.5100000000000016</c:v>
              </c:pt>
              <c:pt idx="800">
                <c:v>8.5100000000000016</c:v>
              </c:pt>
              <c:pt idx="801">
                <c:v>8.5100000000000016</c:v>
              </c:pt>
              <c:pt idx="802">
                <c:v>8.5100000000000016</c:v>
              </c:pt>
              <c:pt idx="803">
                <c:v>8.5100000000000016</c:v>
              </c:pt>
              <c:pt idx="804">
                <c:v>8.5100000000000016</c:v>
              </c:pt>
              <c:pt idx="805">
                <c:v>8.5100000000000016</c:v>
              </c:pt>
              <c:pt idx="806">
                <c:v>8.5100000000000016</c:v>
              </c:pt>
              <c:pt idx="807">
                <c:v>8.5100000000000016</c:v>
              </c:pt>
              <c:pt idx="808">
                <c:v>8.5100000000000016</c:v>
              </c:pt>
              <c:pt idx="809">
                <c:v>8.5100000000000016</c:v>
              </c:pt>
              <c:pt idx="810">
                <c:v>8.5100000000000016</c:v>
              </c:pt>
              <c:pt idx="811">
                <c:v>8.5100000000000016</c:v>
              </c:pt>
              <c:pt idx="812">
                <c:v>8.5100000000000016</c:v>
              </c:pt>
              <c:pt idx="813">
                <c:v>8.5100000000000016</c:v>
              </c:pt>
              <c:pt idx="814">
                <c:v>8.5100000000000016</c:v>
              </c:pt>
              <c:pt idx="815">
                <c:v>8.5100000000000016</c:v>
              </c:pt>
              <c:pt idx="816">
                <c:v>8.5100000000000016</c:v>
              </c:pt>
              <c:pt idx="817">
                <c:v>8.5100000000000016</c:v>
              </c:pt>
              <c:pt idx="818">
                <c:v>8.5100000000000016</c:v>
              </c:pt>
              <c:pt idx="819">
                <c:v>8.5100000000000016</c:v>
              </c:pt>
              <c:pt idx="820">
                <c:v>8.5100000000000016</c:v>
              </c:pt>
              <c:pt idx="821">
                <c:v>8.5100000000000016</c:v>
              </c:pt>
              <c:pt idx="822">
                <c:v>8.5100000000000016</c:v>
              </c:pt>
              <c:pt idx="823">
                <c:v>8.5100000000000016</c:v>
              </c:pt>
              <c:pt idx="824">
                <c:v>8.5100000000000016</c:v>
              </c:pt>
              <c:pt idx="825">
                <c:v>8.5100000000000016</c:v>
              </c:pt>
              <c:pt idx="826">
                <c:v>8.5100000000000016</c:v>
              </c:pt>
              <c:pt idx="827">
                <c:v>8.5100000000000016</c:v>
              </c:pt>
              <c:pt idx="828">
                <c:v>8.5100000000000016</c:v>
              </c:pt>
              <c:pt idx="829">
                <c:v>8.5100000000000016</c:v>
              </c:pt>
              <c:pt idx="830">
                <c:v>8.5100000000000016</c:v>
              </c:pt>
              <c:pt idx="831">
                <c:v>8.5100000000000016</c:v>
              </c:pt>
              <c:pt idx="832">
                <c:v>8.5100000000000016</c:v>
              </c:pt>
              <c:pt idx="833">
                <c:v>8.5100000000000016</c:v>
              </c:pt>
              <c:pt idx="834">
                <c:v>8.5100000000000016</c:v>
              </c:pt>
              <c:pt idx="835">
                <c:v>8.5100000000000016</c:v>
              </c:pt>
              <c:pt idx="836">
                <c:v>8.5100000000000016</c:v>
              </c:pt>
              <c:pt idx="837">
                <c:v>8.5100000000000016</c:v>
              </c:pt>
              <c:pt idx="838">
                <c:v>8.5100000000000016</c:v>
              </c:pt>
              <c:pt idx="839">
                <c:v>8.5100000000000016</c:v>
              </c:pt>
              <c:pt idx="840">
                <c:v>8.5100000000000016</c:v>
              </c:pt>
              <c:pt idx="841">
                <c:v>8.5100000000000016</c:v>
              </c:pt>
              <c:pt idx="842">
                <c:v>8.5100000000000016</c:v>
              </c:pt>
              <c:pt idx="843">
                <c:v>8.5100000000000016</c:v>
              </c:pt>
              <c:pt idx="844">
                <c:v>8.5100000000000016</c:v>
              </c:pt>
              <c:pt idx="845">
                <c:v>8.5100000000000016</c:v>
              </c:pt>
              <c:pt idx="846">
                <c:v>8.5100000000000016</c:v>
              </c:pt>
              <c:pt idx="847">
                <c:v>8.5100000000000016</c:v>
              </c:pt>
              <c:pt idx="848">
                <c:v>8.5100000000000016</c:v>
              </c:pt>
              <c:pt idx="849">
                <c:v>8.5100000000000016</c:v>
              </c:pt>
              <c:pt idx="850">
                <c:v>8.5100000000000016</c:v>
              </c:pt>
              <c:pt idx="851">
                <c:v>8.5100000000000016</c:v>
              </c:pt>
              <c:pt idx="852">
                <c:v>8.5100000000000016</c:v>
              </c:pt>
              <c:pt idx="853">
                <c:v>8.5100000000000016</c:v>
              </c:pt>
              <c:pt idx="854">
                <c:v>8.5100000000000016</c:v>
              </c:pt>
              <c:pt idx="855">
                <c:v>8.5100000000000016</c:v>
              </c:pt>
              <c:pt idx="856">
                <c:v>8.5100000000000016</c:v>
              </c:pt>
              <c:pt idx="857">
                <c:v>8.5100000000000016</c:v>
              </c:pt>
              <c:pt idx="858">
                <c:v>8.5100000000000016</c:v>
              </c:pt>
              <c:pt idx="859">
                <c:v>8.5100000000000016</c:v>
              </c:pt>
              <c:pt idx="860">
                <c:v>8.5100000000000016</c:v>
              </c:pt>
              <c:pt idx="861">
                <c:v>8.5100000000000016</c:v>
              </c:pt>
              <c:pt idx="862">
                <c:v>8.5100000000000016</c:v>
              </c:pt>
              <c:pt idx="863">
                <c:v>8.5100000000000016</c:v>
              </c:pt>
              <c:pt idx="864">
                <c:v>8.5100000000000016</c:v>
              </c:pt>
              <c:pt idx="865">
                <c:v>8.5100000000000016</c:v>
              </c:pt>
              <c:pt idx="866">
                <c:v>8.5100000000000016</c:v>
              </c:pt>
              <c:pt idx="867">
                <c:v>8.5100000000000016</c:v>
              </c:pt>
              <c:pt idx="868">
                <c:v>8.5100000000000016</c:v>
              </c:pt>
              <c:pt idx="869">
                <c:v>8.5100000000000016</c:v>
              </c:pt>
              <c:pt idx="870">
                <c:v>8.5100000000000016</c:v>
              </c:pt>
              <c:pt idx="871">
                <c:v>8.5100000000000016</c:v>
              </c:pt>
              <c:pt idx="872">
                <c:v>8.5100000000000016</c:v>
              </c:pt>
              <c:pt idx="873">
                <c:v>8.5100000000000016</c:v>
              </c:pt>
              <c:pt idx="874">
                <c:v>8.5100000000000016</c:v>
              </c:pt>
              <c:pt idx="875">
                <c:v>8.5100000000000016</c:v>
              </c:pt>
              <c:pt idx="876">
                <c:v>8.5100000000000016</c:v>
              </c:pt>
              <c:pt idx="877">
                <c:v>8.5100000000000016</c:v>
              </c:pt>
              <c:pt idx="878">
                <c:v>8.5100000000000016</c:v>
              </c:pt>
              <c:pt idx="879">
                <c:v>8.5100000000000016</c:v>
              </c:pt>
              <c:pt idx="880">
                <c:v>8.5100000000000016</c:v>
              </c:pt>
              <c:pt idx="881">
                <c:v>8.5100000000000016</c:v>
              </c:pt>
              <c:pt idx="882">
                <c:v>8.5100000000000016</c:v>
              </c:pt>
              <c:pt idx="883">
                <c:v>8.5100000000000016</c:v>
              </c:pt>
              <c:pt idx="884">
                <c:v>8.5100000000000016</c:v>
              </c:pt>
              <c:pt idx="885">
                <c:v>8.5100000000000016</c:v>
              </c:pt>
              <c:pt idx="886">
                <c:v>8.5100000000000016</c:v>
              </c:pt>
              <c:pt idx="887">
                <c:v>8.5100000000000016</c:v>
              </c:pt>
              <c:pt idx="888">
                <c:v>8.5100000000000016</c:v>
              </c:pt>
              <c:pt idx="889">
                <c:v>8.5100000000000016</c:v>
              </c:pt>
              <c:pt idx="890">
                <c:v>8.5100000000000016</c:v>
              </c:pt>
              <c:pt idx="891">
                <c:v>8.5100000000000016</c:v>
              </c:pt>
              <c:pt idx="892">
                <c:v>8.5100000000000016</c:v>
              </c:pt>
              <c:pt idx="893">
                <c:v>8.5100000000000016</c:v>
              </c:pt>
              <c:pt idx="894">
                <c:v>8.5100000000000016</c:v>
              </c:pt>
              <c:pt idx="895">
                <c:v>8.5100000000000016</c:v>
              </c:pt>
              <c:pt idx="896">
                <c:v>8.5100000000000016</c:v>
              </c:pt>
              <c:pt idx="897">
                <c:v>8.5100000000000016</c:v>
              </c:pt>
              <c:pt idx="898">
                <c:v>8.5100000000000016</c:v>
              </c:pt>
              <c:pt idx="899">
                <c:v>8.5100000000000016</c:v>
              </c:pt>
              <c:pt idx="900">
                <c:v>8.5100000000000016</c:v>
              </c:pt>
              <c:pt idx="901">
                <c:v>8.5100000000000016</c:v>
              </c:pt>
              <c:pt idx="902">
                <c:v>8.5100000000000016</c:v>
              </c:pt>
              <c:pt idx="903">
                <c:v>8.5100000000000016</c:v>
              </c:pt>
              <c:pt idx="904">
                <c:v>8.5100000000000016</c:v>
              </c:pt>
              <c:pt idx="905">
                <c:v>8.5100000000000016</c:v>
              </c:pt>
              <c:pt idx="906">
                <c:v>8.5100000000000016</c:v>
              </c:pt>
              <c:pt idx="907">
                <c:v>8.5100000000000016</c:v>
              </c:pt>
              <c:pt idx="908">
                <c:v>8.5100000000000016</c:v>
              </c:pt>
              <c:pt idx="909">
                <c:v>8.5100000000000016</c:v>
              </c:pt>
              <c:pt idx="910">
                <c:v>8.5100000000000016</c:v>
              </c:pt>
              <c:pt idx="911">
                <c:v>8.5100000000000016</c:v>
              </c:pt>
              <c:pt idx="912">
                <c:v>8.5100000000000016</c:v>
              </c:pt>
              <c:pt idx="913">
                <c:v>8.5100000000000016</c:v>
              </c:pt>
              <c:pt idx="914">
                <c:v>8.5100000000000016</c:v>
              </c:pt>
              <c:pt idx="915">
                <c:v>8.5100000000000016</c:v>
              </c:pt>
              <c:pt idx="916">
                <c:v>8.5100000000000016</c:v>
              </c:pt>
              <c:pt idx="917">
                <c:v>8.5100000000000016</c:v>
              </c:pt>
              <c:pt idx="918">
                <c:v>8.5100000000000016</c:v>
              </c:pt>
              <c:pt idx="919">
                <c:v>8.5100000000000016</c:v>
              </c:pt>
              <c:pt idx="920">
                <c:v>8.5100000000000016</c:v>
              </c:pt>
              <c:pt idx="921">
                <c:v>8.5100000000000016</c:v>
              </c:pt>
              <c:pt idx="922">
                <c:v>8.5100000000000016</c:v>
              </c:pt>
              <c:pt idx="923">
                <c:v>8.5100000000000016</c:v>
              </c:pt>
              <c:pt idx="924">
                <c:v>8.5100000000000016</c:v>
              </c:pt>
              <c:pt idx="925">
                <c:v>8.5100000000000016</c:v>
              </c:pt>
              <c:pt idx="926">
                <c:v>8.5100000000000016</c:v>
              </c:pt>
              <c:pt idx="927">
                <c:v>8.5100000000000016</c:v>
              </c:pt>
              <c:pt idx="928">
                <c:v>8.5100000000000016</c:v>
              </c:pt>
              <c:pt idx="929">
                <c:v>8.5100000000000016</c:v>
              </c:pt>
              <c:pt idx="930">
                <c:v>8.5100000000000016</c:v>
              </c:pt>
              <c:pt idx="931">
                <c:v>8.5100000000000016</c:v>
              </c:pt>
              <c:pt idx="932">
                <c:v>8.5100000000000016</c:v>
              </c:pt>
              <c:pt idx="933">
                <c:v>8.5100000000000016</c:v>
              </c:pt>
              <c:pt idx="934">
                <c:v>8.5100000000000016</c:v>
              </c:pt>
              <c:pt idx="935">
                <c:v>8.5100000000000016</c:v>
              </c:pt>
              <c:pt idx="936">
                <c:v>8.5100000000000016</c:v>
              </c:pt>
              <c:pt idx="937">
                <c:v>8.5100000000000016</c:v>
              </c:pt>
              <c:pt idx="938">
                <c:v>8.5100000000000016</c:v>
              </c:pt>
              <c:pt idx="939">
                <c:v>8.5100000000000016</c:v>
              </c:pt>
              <c:pt idx="940">
                <c:v>8.5100000000000016</c:v>
              </c:pt>
              <c:pt idx="941">
                <c:v>8.5100000000000016</c:v>
              </c:pt>
              <c:pt idx="942">
                <c:v>8.5100000000000016</c:v>
              </c:pt>
              <c:pt idx="943">
                <c:v>8.5100000000000016</c:v>
              </c:pt>
              <c:pt idx="944">
                <c:v>8.5100000000000016</c:v>
              </c:pt>
              <c:pt idx="945">
                <c:v>8.5100000000000016</c:v>
              </c:pt>
              <c:pt idx="946">
                <c:v>8.5100000000000016</c:v>
              </c:pt>
              <c:pt idx="947">
                <c:v>8.5100000000000016</c:v>
              </c:pt>
              <c:pt idx="948">
                <c:v>8.5100000000000016</c:v>
              </c:pt>
              <c:pt idx="949">
                <c:v>8.5100000000000016</c:v>
              </c:pt>
              <c:pt idx="950">
                <c:v>8.5100000000000016</c:v>
              </c:pt>
              <c:pt idx="951">
                <c:v>8.5100000000000016</c:v>
              </c:pt>
              <c:pt idx="952">
                <c:v>8.5100000000000016</c:v>
              </c:pt>
              <c:pt idx="953">
                <c:v>8.5100000000000016</c:v>
              </c:pt>
              <c:pt idx="954">
                <c:v>8.5100000000000016</c:v>
              </c:pt>
              <c:pt idx="955">
                <c:v>8.5100000000000016</c:v>
              </c:pt>
              <c:pt idx="956">
                <c:v>8.5100000000000016</c:v>
              </c:pt>
              <c:pt idx="957">
                <c:v>8.5100000000000016</c:v>
              </c:pt>
              <c:pt idx="958">
                <c:v>8.5100000000000016</c:v>
              </c:pt>
              <c:pt idx="959">
                <c:v>8.5100000000000016</c:v>
              </c:pt>
              <c:pt idx="960">
                <c:v>8.5100000000000016</c:v>
              </c:pt>
              <c:pt idx="961">
                <c:v>8.5100000000000016</c:v>
              </c:pt>
              <c:pt idx="962">
                <c:v>8.5100000000000016</c:v>
              </c:pt>
              <c:pt idx="963">
                <c:v>8.5100000000000016</c:v>
              </c:pt>
              <c:pt idx="964">
                <c:v>8.5100000000000016</c:v>
              </c:pt>
              <c:pt idx="965">
                <c:v>8.5100000000000016</c:v>
              </c:pt>
              <c:pt idx="966">
                <c:v>8.5100000000000016</c:v>
              </c:pt>
              <c:pt idx="967">
                <c:v>8.5100000000000016</c:v>
              </c:pt>
              <c:pt idx="968">
                <c:v>8.5100000000000016</c:v>
              </c:pt>
              <c:pt idx="969">
                <c:v>8.5100000000000016</c:v>
              </c:pt>
              <c:pt idx="970">
                <c:v>8.5100000000000016</c:v>
              </c:pt>
              <c:pt idx="971">
                <c:v>8.5100000000000016</c:v>
              </c:pt>
              <c:pt idx="972">
                <c:v>8.5100000000000016</c:v>
              </c:pt>
              <c:pt idx="973">
                <c:v>8.5100000000000016</c:v>
              </c:pt>
              <c:pt idx="974">
                <c:v>8.5100000000000016</c:v>
              </c:pt>
              <c:pt idx="975">
                <c:v>8.5100000000000016</c:v>
              </c:pt>
              <c:pt idx="976">
                <c:v>8.5100000000000016</c:v>
              </c:pt>
              <c:pt idx="977">
                <c:v>8.5100000000000016</c:v>
              </c:pt>
              <c:pt idx="978">
                <c:v>8.5100000000000016</c:v>
              </c:pt>
              <c:pt idx="979">
                <c:v>8.5100000000000016</c:v>
              </c:pt>
              <c:pt idx="980">
                <c:v>8.5100000000000016</c:v>
              </c:pt>
              <c:pt idx="981">
                <c:v>8.5100000000000016</c:v>
              </c:pt>
              <c:pt idx="982">
                <c:v>8.5100000000000016</c:v>
              </c:pt>
              <c:pt idx="983">
                <c:v>8.5100000000000016</c:v>
              </c:pt>
              <c:pt idx="984">
                <c:v>8.5100000000000016</c:v>
              </c:pt>
              <c:pt idx="985">
                <c:v>8.5100000000000016</c:v>
              </c:pt>
              <c:pt idx="986">
                <c:v>8.5100000000000016</c:v>
              </c:pt>
              <c:pt idx="987">
                <c:v>8.5100000000000016</c:v>
              </c:pt>
              <c:pt idx="988">
                <c:v>8.5100000000000016</c:v>
              </c:pt>
              <c:pt idx="989">
                <c:v>8.5100000000000016</c:v>
              </c:pt>
              <c:pt idx="990">
                <c:v>8.5100000000000016</c:v>
              </c:pt>
              <c:pt idx="991">
                <c:v>8.5100000000000016</c:v>
              </c:pt>
              <c:pt idx="992">
                <c:v>8.5100000000000016</c:v>
              </c:pt>
              <c:pt idx="993">
                <c:v>8.5100000000000016</c:v>
              </c:pt>
              <c:pt idx="994">
                <c:v>8.5100000000000016</c:v>
              </c:pt>
              <c:pt idx="995">
                <c:v>8.5100000000000016</c:v>
              </c:pt>
              <c:pt idx="996">
                <c:v>8.5100000000000016</c:v>
              </c:pt>
              <c:pt idx="997">
                <c:v>8.5100000000000016</c:v>
              </c:pt>
              <c:pt idx="998">
                <c:v>8.5100000000000016</c:v>
              </c:pt>
              <c:pt idx="999">
                <c:v>8.5100000000000016</c:v>
              </c:pt>
              <c:pt idx="1000">
                <c:v>8.5100000000000016</c:v>
              </c:pt>
              <c:pt idx="1001">
                <c:v>8.5100000000000016</c:v>
              </c:pt>
              <c:pt idx="1002">
                <c:v>8.5100000000000016</c:v>
              </c:pt>
              <c:pt idx="1003">
                <c:v>8.5100000000000016</c:v>
              </c:pt>
              <c:pt idx="1004">
                <c:v>8.5100000000000016</c:v>
              </c:pt>
              <c:pt idx="1005">
                <c:v>8.5100000000000016</c:v>
              </c:pt>
              <c:pt idx="1006">
                <c:v>8.5100000000000016</c:v>
              </c:pt>
              <c:pt idx="1007">
                <c:v>8.5100000000000016</c:v>
              </c:pt>
              <c:pt idx="1008">
                <c:v>8.5100000000000016</c:v>
              </c:pt>
              <c:pt idx="1009">
                <c:v>8.5100000000000016</c:v>
              </c:pt>
              <c:pt idx="1010">
                <c:v>8.5100000000000016</c:v>
              </c:pt>
              <c:pt idx="1011">
                <c:v>8.5100000000000016</c:v>
              </c:pt>
              <c:pt idx="1012">
                <c:v>8.5100000000000016</c:v>
              </c:pt>
              <c:pt idx="1013">
                <c:v>8.5100000000000016</c:v>
              </c:pt>
              <c:pt idx="1014">
                <c:v>8.5100000000000016</c:v>
              </c:pt>
              <c:pt idx="1015">
                <c:v>8.5100000000000016</c:v>
              </c:pt>
              <c:pt idx="1016">
                <c:v>8.5100000000000016</c:v>
              </c:pt>
              <c:pt idx="1017">
                <c:v>8.5100000000000016</c:v>
              </c:pt>
              <c:pt idx="1018">
                <c:v>8.5100000000000016</c:v>
              </c:pt>
              <c:pt idx="1019">
                <c:v>8.5100000000000016</c:v>
              </c:pt>
              <c:pt idx="1020">
                <c:v>8.5100000000000016</c:v>
              </c:pt>
              <c:pt idx="1021">
                <c:v>8.5100000000000016</c:v>
              </c:pt>
              <c:pt idx="1022">
                <c:v>8.5100000000000016</c:v>
              </c:pt>
              <c:pt idx="1023">
                <c:v>8.5100000000000016</c:v>
              </c:pt>
              <c:pt idx="1024">
                <c:v>8.5100000000000016</c:v>
              </c:pt>
              <c:pt idx="1025">
                <c:v>8.5100000000000016</c:v>
              </c:pt>
              <c:pt idx="1026">
                <c:v>8.5100000000000016</c:v>
              </c:pt>
              <c:pt idx="1027">
                <c:v>8.5100000000000016</c:v>
              </c:pt>
              <c:pt idx="1028">
                <c:v>8.5100000000000016</c:v>
              </c:pt>
              <c:pt idx="1029">
                <c:v>8.5100000000000016</c:v>
              </c:pt>
              <c:pt idx="1030">
                <c:v>8.5100000000000016</c:v>
              </c:pt>
              <c:pt idx="1031">
                <c:v>8.5100000000000016</c:v>
              </c:pt>
              <c:pt idx="1032">
                <c:v>8.5100000000000016</c:v>
              </c:pt>
              <c:pt idx="1033">
                <c:v>8.5100000000000016</c:v>
              </c:pt>
              <c:pt idx="1034">
                <c:v>8.5100000000000016</c:v>
              </c:pt>
              <c:pt idx="1035">
                <c:v>8.5100000000000016</c:v>
              </c:pt>
              <c:pt idx="1036">
                <c:v>8.5100000000000016</c:v>
              </c:pt>
              <c:pt idx="1037">
                <c:v>8.5100000000000016</c:v>
              </c:pt>
              <c:pt idx="1038">
                <c:v>8.5100000000000016</c:v>
              </c:pt>
              <c:pt idx="1039">
                <c:v>8.5100000000000016</c:v>
              </c:pt>
              <c:pt idx="1040">
                <c:v>8.5100000000000016</c:v>
              </c:pt>
              <c:pt idx="1041">
                <c:v>8.5100000000000016</c:v>
              </c:pt>
              <c:pt idx="1042">
                <c:v>8.5100000000000016</c:v>
              </c:pt>
              <c:pt idx="1043">
                <c:v>8.5100000000000016</c:v>
              </c:pt>
              <c:pt idx="1044">
                <c:v>8.5100000000000016</c:v>
              </c:pt>
              <c:pt idx="1045">
                <c:v>8.5100000000000016</c:v>
              </c:pt>
              <c:pt idx="1046">
                <c:v>8.5100000000000016</c:v>
              </c:pt>
              <c:pt idx="1047">
                <c:v>8.5100000000000016</c:v>
              </c:pt>
              <c:pt idx="1048">
                <c:v>8.5100000000000016</c:v>
              </c:pt>
              <c:pt idx="1049">
                <c:v>8.5100000000000016</c:v>
              </c:pt>
              <c:pt idx="1050">
                <c:v>8.5100000000000016</c:v>
              </c:pt>
              <c:pt idx="1051">
                <c:v>8.5100000000000016</c:v>
              </c:pt>
              <c:pt idx="1052">
                <c:v>8.5100000000000016</c:v>
              </c:pt>
              <c:pt idx="1053">
                <c:v>8.5100000000000016</c:v>
              </c:pt>
              <c:pt idx="1054">
                <c:v>8.5100000000000016</c:v>
              </c:pt>
              <c:pt idx="1055">
                <c:v>8.5100000000000016</c:v>
              </c:pt>
              <c:pt idx="1056">
                <c:v>8.5100000000000016</c:v>
              </c:pt>
              <c:pt idx="1057">
                <c:v>8.5100000000000016</c:v>
              </c:pt>
              <c:pt idx="1058">
                <c:v>8.5100000000000016</c:v>
              </c:pt>
              <c:pt idx="1059">
                <c:v>8.5100000000000016</c:v>
              </c:pt>
              <c:pt idx="1060">
                <c:v>8.5100000000000016</c:v>
              </c:pt>
              <c:pt idx="1061">
                <c:v>8.5100000000000016</c:v>
              </c:pt>
              <c:pt idx="1062">
                <c:v>8.5100000000000016</c:v>
              </c:pt>
              <c:pt idx="1063">
                <c:v>8.5100000000000016</c:v>
              </c:pt>
              <c:pt idx="1064">
                <c:v>8.5100000000000016</c:v>
              </c:pt>
              <c:pt idx="1065">
                <c:v>8.5100000000000016</c:v>
              </c:pt>
              <c:pt idx="1066">
                <c:v>8.5100000000000016</c:v>
              </c:pt>
              <c:pt idx="1067">
                <c:v>8.5100000000000016</c:v>
              </c:pt>
              <c:pt idx="1068">
                <c:v>8.5100000000000016</c:v>
              </c:pt>
              <c:pt idx="1069">
                <c:v>8.5100000000000016</c:v>
              </c:pt>
              <c:pt idx="1070">
                <c:v>8.5100000000000016</c:v>
              </c:pt>
              <c:pt idx="1071">
                <c:v>8.5100000000000016</c:v>
              </c:pt>
              <c:pt idx="1072">
                <c:v>8.5100000000000016</c:v>
              </c:pt>
              <c:pt idx="1073">
                <c:v>8.5100000000000016</c:v>
              </c:pt>
              <c:pt idx="1074">
                <c:v>8.5100000000000016</c:v>
              </c:pt>
              <c:pt idx="1075">
                <c:v>8.5100000000000016</c:v>
              </c:pt>
              <c:pt idx="1076">
                <c:v>8.5100000000000016</c:v>
              </c:pt>
              <c:pt idx="1077">
                <c:v>8.5100000000000016</c:v>
              </c:pt>
              <c:pt idx="1078">
                <c:v>8.5100000000000016</c:v>
              </c:pt>
              <c:pt idx="1079">
                <c:v>8.5100000000000016</c:v>
              </c:pt>
              <c:pt idx="1080">
                <c:v>8.5100000000000016</c:v>
              </c:pt>
              <c:pt idx="1081">
                <c:v>8.5100000000000016</c:v>
              </c:pt>
              <c:pt idx="1082">
                <c:v>8.5100000000000016</c:v>
              </c:pt>
              <c:pt idx="1083">
                <c:v>8.5100000000000016</c:v>
              </c:pt>
              <c:pt idx="1084">
                <c:v>8.5100000000000016</c:v>
              </c:pt>
              <c:pt idx="1085">
                <c:v>8.5100000000000016</c:v>
              </c:pt>
              <c:pt idx="1086">
                <c:v>8.5100000000000016</c:v>
              </c:pt>
              <c:pt idx="1087">
                <c:v>8.5100000000000016</c:v>
              </c:pt>
              <c:pt idx="1088">
                <c:v>8.5100000000000016</c:v>
              </c:pt>
              <c:pt idx="1089">
                <c:v>8.5100000000000016</c:v>
              </c:pt>
              <c:pt idx="1090">
                <c:v>8.5100000000000016</c:v>
              </c:pt>
              <c:pt idx="1091">
                <c:v>8.5100000000000016</c:v>
              </c:pt>
              <c:pt idx="1092">
                <c:v>8.5100000000000016</c:v>
              </c:pt>
              <c:pt idx="1093">
                <c:v>8.5100000000000016</c:v>
              </c:pt>
              <c:pt idx="1094">
                <c:v>8.5100000000000016</c:v>
              </c:pt>
              <c:pt idx="1095">
                <c:v>8.5100000000000016</c:v>
              </c:pt>
              <c:pt idx="1096">
                <c:v>8.5100000000000016</c:v>
              </c:pt>
              <c:pt idx="1097">
                <c:v>8.5100000000000016</c:v>
              </c:pt>
              <c:pt idx="1098">
                <c:v>8.5100000000000016</c:v>
              </c:pt>
              <c:pt idx="1099">
                <c:v>8.5100000000000016</c:v>
              </c:pt>
              <c:pt idx="1100">
                <c:v>8.5100000000000016</c:v>
              </c:pt>
              <c:pt idx="1101">
                <c:v>8.5100000000000016</c:v>
              </c:pt>
              <c:pt idx="1102">
                <c:v>8.5100000000000016</c:v>
              </c:pt>
              <c:pt idx="1103">
                <c:v>8.5100000000000016</c:v>
              </c:pt>
              <c:pt idx="1104">
                <c:v>8.5100000000000016</c:v>
              </c:pt>
              <c:pt idx="1105">
                <c:v>8.5100000000000016</c:v>
              </c:pt>
              <c:pt idx="1106">
                <c:v>8.5100000000000016</c:v>
              </c:pt>
              <c:pt idx="1107">
                <c:v>8.5100000000000016</c:v>
              </c:pt>
              <c:pt idx="1108">
                <c:v>8.5100000000000016</c:v>
              </c:pt>
              <c:pt idx="1109">
                <c:v>8.5100000000000016</c:v>
              </c:pt>
              <c:pt idx="1110">
                <c:v>8.5100000000000016</c:v>
              </c:pt>
              <c:pt idx="1111">
                <c:v>8.5100000000000016</c:v>
              </c:pt>
              <c:pt idx="1112">
                <c:v>8.5100000000000016</c:v>
              </c:pt>
              <c:pt idx="1113">
                <c:v>8.5100000000000016</c:v>
              </c:pt>
              <c:pt idx="1114">
                <c:v>8.5100000000000016</c:v>
              </c:pt>
              <c:pt idx="1115">
                <c:v>8.5100000000000016</c:v>
              </c:pt>
              <c:pt idx="1116">
                <c:v>8.5100000000000016</c:v>
              </c:pt>
              <c:pt idx="1117">
                <c:v>8.5100000000000016</c:v>
              </c:pt>
              <c:pt idx="1118">
                <c:v>8.5100000000000016</c:v>
              </c:pt>
              <c:pt idx="1119">
                <c:v>8.5100000000000016</c:v>
              </c:pt>
              <c:pt idx="1120">
                <c:v>8.5100000000000016</c:v>
              </c:pt>
              <c:pt idx="1121">
                <c:v>8.5100000000000016</c:v>
              </c:pt>
              <c:pt idx="1122">
                <c:v>8.5100000000000016</c:v>
              </c:pt>
              <c:pt idx="1123">
                <c:v>8.5100000000000016</c:v>
              </c:pt>
              <c:pt idx="1124">
                <c:v>8.5100000000000016</c:v>
              </c:pt>
              <c:pt idx="1125">
                <c:v>8.5100000000000016</c:v>
              </c:pt>
              <c:pt idx="1126">
                <c:v>8.5100000000000016</c:v>
              </c:pt>
              <c:pt idx="1127">
                <c:v>8.5100000000000016</c:v>
              </c:pt>
              <c:pt idx="1128">
                <c:v>8.5100000000000016</c:v>
              </c:pt>
              <c:pt idx="1129">
                <c:v>8.5100000000000016</c:v>
              </c:pt>
              <c:pt idx="1130">
                <c:v>8.5100000000000016</c:v>
              </c:pt>
              <c:pt idx="1131">
                <c:v>8.5100000000000016</c:v>
              </c:pt>
              <c:pt idx="1132">
                <c:v>8.5100000000000016</c:v>
              </c:pt>
              <c:pt idx="1133">
                <c:v>8.5100000000000016</c:v>
              </c:pt>
              <c:pt idx="1134">
                <c:v>8.5100000000000016</c:v>
              </c:pt>
              <c:pt idx="1135">
                <c:v>8.5100000000000016</c:v>
              </c:pt>
              <c:pt idx="1136">
                <c:v>8.5100000000000016</c:v>
              </c:pt>
              <c:pt idx="1137">
                <c:v>8.5100000000000016</c:v>
              </c:pt>
              <c:pt idx="1138">
                <c:v>8.5100000000000016</c:v>
              </c:pt>
              <c:pt idx="1139">
                <c:v>8.5100000000000016</c:v>
              </c:pt>
              <c:pt idx="1140">
                <c:v>8.5100000000000016</c:v>
              </c:pt>
              <c:pt idx="1141">
                <c:v>8.5100000000000016</c:v>
              </c:pt>
              <c:pt idx="1142">
                <c:v>8.5100000000000016</c:v>
              </c:pt>
              <c:pt idx="1143">
                <c:v>8.5100000000000016</c:v>
              </c:pt>
              <c:pt idx="1144">
                <c:v>8.5100000000000016</c:v>
              </c:pt>
              <c:pt idx="1145">
                <c:v>8.5100000000000016</c:v>
              </c:pt>
              <c:pt idx="1146">
                <c:v>8.5100000000000016</c:v>
              </c:pt>
              <c:pt idx="1147">
                <c:v>8.5100000000000016</c:v>
              </c:pt>
              <c:pt idx="1148">
                <c:v>8.5100000000000016</c:v>
              </c:pt>
              <c:pt idx="1149">
                <c:v>8.5100000000000016</c:v>
              </c:pt>
              <c:pt idx="1150">
                <c:v>8.5100000000000016</c:v>
              </c:pt>
              <c:pt idx="1151">
                <c:v>8.5100000000000016</c:v>
              </c:pt>
              <c:pt idx="1152">
                <c:v>8.5100000000000016</c:v>
              </c:pt>
              <c:pt idx="1153">
                <c:v>8.5100000000000016</c:v>
              </c:pt>
              <c:pt idx="1154">
                <c:v>8.5100000000000016</c:v>
              </c:pt>
              <c:pt idx="1155">
                <c:v>8.5100000000000016</c:v>
              </c:pt>
              <c:pt idx="1156">
                <c:v>8.5100000000000016</c:v>
              </c:pt>
              <c:pt idx="1157">
                <c:v>8.5100000000000016</c:v>
              </c:pt>
              <c:pt idx="1158">
                <c:v>8.5100000000000016</c:v>
              </c:pt>
              <c:pt idx="1159">
                <c:v>8.5100000000000016</c:v>
              </c:pt>
              <c:pt idx="1160">
                <c:v>8.5100000000000016</c:v>
              </c:pt>
              <c:pt idx="1161">
                <c:v>8.5100000000000016</c:v>
              </c:pt>
              <c:pt idx="1162">
                <c:v>8.5100000000000016</c:v>
              </c:pt>
              <c:pt idx="1163">
                <c:v>8.5100000000000016</c:v>
              </c:pt>
              <c:pt idx="1164">
                <c:v>8.5100000000000016</c:v>
              </c:pt>
              <c:pt idx="1165">
                <c:v>8.5100000000000016</c:v>
              </c:pt>
              <c:pt idx="1166">
                <c:v>8.5100000000000016</c:v>
              </c:pt>
              <c:pt idx="1167">
                <c:v>8.5100000000000016</c:v>
              </c:pt>
              <c:pt idx="1168">
                <c:v>8.5100000000000016</c:v>
              </c:pt>
              <c:pt idx="1169">
                <c:v>8.5100000000000016</c:v>
              </c:pt>
              <c:pt idx="1170">
                <c:v>8.5100000000000016</c:v>
              </c:pt>
              <c:pt idx="1171">
                <c:v>8.5100000000000016</c:v>
              </c:pt>
              <c:pt idx="1172">
                <c:v>8.5100000000000016</c:v>
              </c:pt>
              <c:pt idx="1173">
                <c:v>8.5100000000000016</c:v>
              </c:pt>
              <c:pt idx="1174">
                <c:v>8.5100000000000016</c:v>
              </c:pt>
              <c:pt idx="1175">
                <c:v>8.5100000000000016</c:v>
              </c:pt>
              <c:pt idx="1176">
                <c:v>8.5100000000000016</c:v>
              </c:pt>
              <c:pt idx="1177">
                <c:v>8.5100000000000016</c:v>
              </c:pt>
              <c:pt idx="1178">
                <c:v>8.5100000000000016</c:v>
              </c:pt>
              <c:pt idx="1179">
                <c:v>8.5100000000000016</c:v>
              </c:pt>
              <c:pt idx="1180">
                <c:v>8.5100000000000016</c:v>
              </c:pt>
              <c:pt idx="1181">
                <c:v>8.5100000000000016</c:v>
              </c:pt>
              <c:pt idx="1182">
                <c:v>8.5100000000000016</c:v>
              </c:pt>
              <c:pt idx="1183">
                <c:v>8.5100000000000016</c:v>
              </c:pt>
              <c:pt idx="1184">
                <c:v>8.5100000000000016</c:v>
              </c:pt>
              <c:pt idx="1185">
                <c:v>8.5100000000000016</c:v>
              </c:pt>
              <c:pt idx="1186">
                <c:v>8.5100000000000016</c:v>
              </c:pt>
              <c:pt idx="1187">
                <c:v>8.5100000000000016</c:v>
              </c:pt>
              <c:pt idx="1188">
                <c:v>8.5100000000000016</c:v>
              </c:pt>
              <c:pt idx="1189">
                <c:v>8.5100000000000016</c:v>
              </c:pt>
              <c:pt idx="1190">
                <c:v>8.5100000000000016</c:v>
              </c:pt>
              <c:pt idx="1191">
                <c:v>8.5100000000000016</c:v>
              </c:pt>
              <c:pt idx="1192">
                <c:v>8.5100000000000016</c:v>
              </c:pt>
              <c:pt idx="1193">
                <c:v>8.5100000000000016</c:v>
              </c:pt>
              <c:pt idx="1194">
                <c:v>8.5100000000000016</c:v>
              </c:pt>
              <c:pt idx="1195">
                <c:v>8.5100000000000016</c:v>
              </c:pt>
              <c:pt idx="1196">
                <c:v>8.5100000000000016</c:v>
              </c:pt>
              <c:pt idx="1197">
                <c:v>8.5100000000000016</c:v>
              </c:pt>
              <c:pt idx="1198">
                <c:v>8.5100000000000016</c:v>
              </c:pt>
              <c:pt idx="1199">
                <c:v>8.5100000000000016</c:v>
              </c:pt>
              <c:pt idx="1200">
                <c:v>8.5100000000000016</c:v>
              </c:pt>
              <c:pt idx="1201">
                <c:v>8.5100000000000016</c:v>
              </c:pt>
              <c:pt idx="1202">
                <c:v>8.5100000000000016</c:v>
              </c:pt>
              <c:pt idx="1203">
                <c:v>8.5100000000000016</c:v>
              </c:pt>
              <c:pt idx="1204">
                <c:v>8.5100000000000016</c:v>
              </c:pt>
              <c:pt idx="1205">
                <c:v>8.5100000000000016</c:v>
              </c:pt>
              <c:pt idx="1206">
                <c:v>8.5100000000000016</c:v>
              </c:pt>
              <c:pt idx="1207">
                <c:v>8.5100000000000016</c:v>
              </c:pt>
              <c:pt idx="1208">
                <c:v>8.5100000000000016</c:v>
              </c:pt>
              <c:pt idx="1209">
                <c:v>8.5100000000000016</c:v>
              </c:pt>
              <c:pt idx="1210">
                <c:v>8.5100000000000016</c:v>
              </c:pt>
              <c:pt idx="1211">
                <c:v>8.5100000000000016</c:v>
              </c:pt>
              <c:pt idx="1212">
                <c:v>8.5100000000000016</c:v>
              </c:pt>
              <c:pt idx="1213">
                <c:v>8.5100000000000016</c:v>
              </c:pt>
              <c:pt idx="1214">
                <c:v>8.5100000000000016</c:v>
              </c:pt>
              <c:pt idx="1215">
                <c:v>8.5100000000000016</c:v>
              </c:pt>
              <c:pt idx="1216">
                <c:v>8.5100000000000016</c:v>
              </c:pt>
              <c:pt idx="1217">
                <c:v>8.5100000000000016</c:v>
              </c:pt>
              <c:pt idx="1218">
                <c:v>8.5100000000000016</c:v>
              </c:pt>
              <c:pt idx="1219">
                <c:v>8.5100000000000016</c:v>
              </c:pt>
              <c:pt idx="1220">
                <c:v>8.5100000000000016</c:v>
              </c:pt>
              <c:pt idx="1221">
                <c:v>8.5100000000000016</c:v>
              </c:pt>
              <c:pt idx="1222">
                <c:v>8.5100000000000016</c:v>
              </c:pt>
              <c:pt idx="1223">
                <c:v>8.5100000000000016</c:v>
              </c:pt>
              <c:pt idx="1224">
                <c:v>8.5100000000000016</c:v>
              </c:pt>
              <c:pt idx="1225">
                <c:v>8.5100000000000016</c:v>
              </c:pt>
              <c:pt idx="1226">
                <c:v>8.5100000000000016</c:v>
              </c:pt>
              <c:pt idx="1227">
                <c:v>8.5100000000000016</c:v>
              </c:pt>
              <c:pt idx="1228">
                <c:v>8.5100000000000016</c:v>
              </c:pt>
              <c:pt idx="1229">
                <c:v>8.5100000000000016</c:v>
              </c:pt>
              <c:pt idx="1230">
                <c:v>8.5100000000000016</c:v>
              </c:pt>
              <c:pt idx="1231">
                <c:v>8.5100000000000016</c:v>
              </c:pt>
              <c:pt idx="1232">
                <c:v>8.5100000000000016</c:v>
              </c:pt>
              <c:pt idx="1233">
                <c:v>8.5100000000000016</c:v>
              </c:pt>
              <c:pt idx="1234">
                <c:v>8.5100000000000016</c:v>
              </c:pt>
              <c:pt idx="1235">
                <c:v>8.5100000000000016</c:v>
              </c:pt>
              <c:pt idx="1236">
                <c:v>8.5100000000000016</c:v>
              </c:pt>
              <c:pt idx="1237">
                <c:v>8.5100000000000016</c:v>
              </c:pt>
              <c:pt idx="1238">
                <c:v>8.5100000000000016</c:v>
              </c:pt>
              <c:pt idx="1239">
                <c:v>8.5100000000000016</c:v>
              </c:pt>
              <c:pt idx="1240">
                <c:v>8.5100000000000016</c:v>
              </c:pt>
              <c:pt idx="1241">
                <c:v>8.5100000000000016</c:v>
              </c:pt>
              <c:pt idx="1242">
                <c:v>8.5100000000000016</c:v>
              </c:pt>
              <c:pt idx="1243">
                <c:v>8.5100000000000016</c:v>
              </c:pt>
              <c:pt idx="1244">
                <c:v>8.5100000000000016</c:v>
              </c:pt>
              <c:pt idx="1245">
                <c:v>8.5100000000000016</c:v>
              </c:pt>
              <c:pt idx="1246">
                <c:v>8.5100000000000016</c:v>
              </c:pt>
              <c:pt idx="1247">
                <c:v>8.5100000000000016</c:v>
              </c:pt>
              <c:pt idx="1248">
                <c:v>8.5100000000000016</c:v>
              </c:pt>
              <c:pt idx="1249">
                <c:v>8.5100000000000016</c:v>
              </c:pt>
              <c:pt idx="1250">
                <c:v>8.5100000000000016</c:v>
              </c:pt>
              <c:pt idx="1251">
                <c:v>8.5100000000000016</c:v>
              </c:pt>
              <c:pt idx="1252">
                <c:v>8.5100000000000016</c:v>
              </c:pt>
              <c:pt idx="1253">
                <c:v>8.5100000000000016</c:v>
              </c:pt>
              <c:pt idx="1254">
                <c:v>8.5100000000000016</c:v>
              </c:pt>
              <c:pt idx="1255">
                <c:v>8.5100000000000016</c:v>
              </c:pt>
              <c:pt idx="1256">
                <c:v>8.5100000000000016</c:v>
              </c:pt>
              <c:pt idx="1257">
                <c:v>8.5100000000000016</c:v>
              </c:pt>
              <c:pt idx="1258">
                <c:v>8.5100000000000016</c:v>
              </c:pt>
              <c:pt idx="1259">
                <c:v>8.5100000000000016</c:v>
              </c:pt>
              <c:pt idx="1260">
                <c:v>8.5100000000000016</c:v>
              </c:pt>
              <c:pt idx="1261">
                <c:v>8.5100000000000016</c:v>
              </c:pt>
              <c:pt idx="1262">
                <c:v>8.5100000000000016</c:v>
              </c:pt>
              <c:pt idx="1263">
                <c:v>8.5100000000000016</c:v>
              </c:pt>
              <c:pt idx="1264">
                <c:v>8.5100000000000016</c:v>
              </c:pt>
              <c:pt idx="1265">
                <c:v>8.5100000000000016</c:v>
              </c:pt>
              <c:pt idx="1266">
                <c:v>8.5100000000000016</c:v>
              </c:pt>
              <c:pt idx="1267">
                <c:v>8.5100000000000016</c:v>
              </c:pt>
              <c:pt idx="1268">
                <c:v>8.5100000000000016</c:v>
              </c:pt>
              <c:pt idx="1269">
                <c:v>8.5100000000000016</c:v>
              </c:pt>
              <c:pt idx="1270">
                <c:v>8.5100000000000016</c:v>
              </c:pt>
              <c:pt idx="1271">
                <c:v>8.5100000000000016</c:v>
              </c:pt>
              <c:pt idx="1272">
                <c:v>8.5100000000000016</c:v>
              </c:pt>
              <c:pt idx="1273">
                <c:v>8.5100000000000016</c:v>
              </c:pt>
              <c:pt idx="1274">
                <c:v>8.5100000000000016</c:v>
              </c:pt>
              <c:pt idx="1275">
                <c:v>8.5100000000000016</c:v>
              </c:pt>
              <c:pt idx="1276">
                <c:v>8.5100000000000016</c:v>
              </c:pt>
              <c:pt idx="1277">
                <c:v>8.5100000000000016</c:v>
              </c:pt>
              <c:pt idx="1278">
                <c:v>8.5100000000000016</c:v>
              </c:pt>
              <c:pt idx="1279">
                <c:v>8.5100000000000016</c:v>
              </c:pt>
              <c:pt idx="1280">
                <c:v>8.5100000000000016</c:v>
              </c:pt>
              <c:pt idx="1281">
                <c:v>8.5100000000000016</c:v>
              </c:pt>
              <c:pt idx="1282">
                <c:v>8.5100000000000016</c:v>
              </c:pt>
              <c:pt idx="1283">
                <c:v>8.5100000000000016</c:v>
              </c:pt>
              <c:pt idx="1284">
                <c:v>8.5100000000000016</c:v>
              </c:pt>
              <c:pt idx="1285">
                <c:v>8.5100000000000016</c:v>
              </c:pt>
              <c:pt idx="1286">
                <c:v>8.5100000000000016</c:v>
              </c:pt>
              <c:pt idx="1287">
                <c:v>8.5100000000000016</c:v>
              </c:pt>
              <c:pt idx="1288">
                <c:v>8.5100000000000016</c:v>
              </c:pt>
              <c:pt idx="1289">
                <c:v>8.5100000000000016</c:v>
              </c:pt>
              <c:pt idx="1290">
                <c:v>8.5100000000000016</c:v>
              </c:pt>
              <c:pt idx="1291">
                <c:v>8.5100000000000016</c:v>
              </c:pt>
              <c:pt idx="1292">
                <c:v>8.5100000000000016</c:v>
              </c:pt>
              <c:pt idx="1293">
                <c:v>8.5100000000000016</c:v>
              </c:pt>
              <c:pt idx="1294">
                <c:v>8.5100000000000016</c:v>
              </c:pt>
              <c:pt idx="1295">
                <c:v>8.5100000000000016</c:v>
              </c:pt>
              <c:pt idx="1296">
                <c:v>8.5100000000000016</c:v>
              </c:pt>
              <c:pt idx="1297">
                <c:v>8.5100000000000016</c:v>
              </c:pt>
              <c:pt idx="1298">
                <c:v>8.5100000000000016</c:v>
              </c:pt>
              <c:pt idx="1299">
                <c:v>8.5100000000000016</c:v>
              </c:pt>
              <c:pt idx="1300">
                <c:v>8.5100000000000016</c:v>
              </c:pt>
              <c:pt idx="1301">
                <c:v>8.5100000000000016</c:v>
              </c:pt>
              <c:pt idx="1302">
                <c:v>8.5100000000000016</c:v>
              </c:pt>
              <c:pt idx="1303">
                <c:v>8.5100000000000016</c:v>
              </c:pt>
              <c:pt idx="1304">
                <c:v>8.5100000000000016</c:v>
              </c:pt>
              <c:pt idx="1305">
                <c:v>8.5100000000000016</c:v>
              </c:pt>
              <c:pt idx="1306">
                <c:v>8.5100000000000016</c:v>
              </c:pt>
              <c:pt idx="1307">
                <c:v>8.5100000000000016</c:v>
              </c:pt>
              <c:pt idx="1308">
                <c:v>8.5100000000000016</c:v>
              </c:pt>
              <c:pt idx="1309">
                <c:v>8.5100000000000016</c:v>
              </c:pt>
              <c:pt idx="1310">
                <c:v>8.5100000000000016</c:v>
              </c:pt>
              <c:pt idx="1311">
                <c:v>8.5100000000000016</c:v>
              </c:pt>
              <c:pt idx="1312">
                <c:v>8.5100000000000016</c:v>
              </c:pt>
              <c:pt idx="1313">
                <c:v>8.5100000000000016</c:v>
              </c:pt>
              <c:pt idx="1314">
                <c:v>8.5100000000000016</c:v>
              </c:pt>
              <c:pt idx="1315">
                <c:v>8.5100000000000016</c:v>
              </c:pt>
              <c:pt idx="1316">
                <c:v>8.5100000000000016</c:v>
              </c:pt>
              <c:pt idx="1317">
                <c:v>8.5100000000000016</c:v>
              </c:pt>
              <c:pt idx="1318">
                <c:v>8.5100000000000016</c:v>
              </c:pt>
              <c:pt idx="1319">
                <c:v>8.5100000000000016</c:v>
              </c:pt>
              <c:pt idx="1320">
                <c:v>8.5100000000000016</c:v>
              </c:pt>
              <c:pt idx="1321">
                <c:v>8.5100000000000016</c:v>
              </c:pt>
              <c:pt idx="1322">
                <c:v>8.5100000000000016</c:v>
              </c:pt>
              <c:pt idx="1323">
                <c:v>8.5100000000000016</c:v>
              </c:pt>
              <c:pt idx="1324">
                <c:v>8.5100000000000016</c:v>
              </c:pt>
              <c:pt idx="1325">
                <c:v>8.5100000000000016</c:v>
              </c:pt>
              <c:pt idx="1326">
                <c:v>8.5100000000000016</c:v>
              </c:pt>
              <c:pt idx="1327">
                <c:v>8.5100000000000016</c:v>
              </c:pt>
              <c:pt idx="1328">
                <c:v>8.5100000000000016</c:v>
              </c:pt>
              <c:pt idx="1329">
                <c:v>8.5100000000000016</c:v>
              </c:pt>
              <c:pt idx="1330">
                <c:v>8.5100000000000016</c:v>
              </c:pt>
              <c:pt idx="1331">
                <c:v>8.5100000000000016</c:v>
              </c:pt>
              <c:pt idx="1332">
                <c:v>8.5100000000000016</c:v>
              </c:pt>
              <c:pt idx="1333">
                <c:v>8.5100000000000016</c:v>
              </c:pt>
              <c:pt idx="1334">
                <c:v>8.5100000000000016</c:v>
              </c:pt>
              <c:pt idx="1335">
                <c:v>8.5100000000000016</c:v>
              </c:pt>
              <c:pt idx="1336">
                <c:v>8.5100000000000016</c:v>
              </c:pt>
              <c:pt idx="1337">
                <c:v>8.5100000000000016</c:v>
              </c:pt>
              <c:pt idx="1338">
                <c:v>8.5100000000000016</c:v>
              </c:pt>
              <c:pt idx="1339">
                <c:v>8.5100000000000016</c:v>
              </c:pt>
              <c:pt idx="1340">
                <c:v>8.5100000000000016</c:v>
              </c:pt>
              <c:pt idx="1341">
                <c:v>8.5100000000000016</c:v>
              </c:pt>
              <c:pt idx="1342">
                <c:v>8.5100000000000016</c:v>
              </c:pt>
              <c:pt idx="1343">
                <c:v>8.5100000000000016</c:v>
              </c:pt>
              <c:pt idx="1344">
                <c:v>8.5100000000000016</c:v>
              </c:pt>
              <c:pt idx="1345">
                <c:v>8.5100000000000016</c:v>
              </c:pt>
              <c:pt idx="1346">
                <c:v>8.5100000000000016</c:v>
              </c:pt>
              <c:pt idx="1347">
                <c:v>8.5100000000000016</c:v>
              </c:pt>
              <c:pt idx="1348">
                <c:v>8.5100000000000016</c:v>
              </c:pt>
              <c:pt idx="1349">
                <c:v>8.5100000000000016</c:v>
              </c:pt>
              <c:pt idx="1350">
                <c:v>8.5100000000000016</c:v>
              </c:pt>
              <c:pt idx="1351">
                <c:v>8.5100000000000016</c:v>
              </c:pt>
              <c:pt idx="1352">
                <c:v>8.5100000000000016</c:v>
              </c:pt>
              <c:pt idx="1353">
                <c:v>8.5100000000000016</c:v>
              </c:pt>
              <c:pt idx="1354">
                <c:v>8.5100000000000016</c:v>
              </c:pt>
              <c:pt idx="1355">
                <c:v>8.5100000000000016</c:v>
              </c:pt>
              <c:pt idx="1356">
                <c:v>8.5100000000000016</c:v>
              </c:pt>
              <c:pt idx="1357">
                <c:v>8.5100000000000016</c:v>
              </c:pt>
              <c:pt idx="1358">
                <c:v>8.5100000000000016</c:v>
              </c:pt>
              <c:pt idx="1359">
                <c:v>8.5100000000000016</c:v>
              </c:pt>
              <c:pt idx="1360">
                <c:v>8.5100000000000016</c:v>
              </c:pt>
              <c:pt idx="1361">
                <c:v>8.5100000000000016</c:v>
              </c:pt>
              <c:pt idx="1362">
                <c:v>8.5100000000000016</c:v>
              </c:pt>
              <c:pt idx="1363">
                <c:v>8.5100000000000016</c:v>
              </c:pt>
              <c:pt idx="1364">
                <c:v>8.5100000000000016</c:v>
              </c:pt>
              <c:pt idx="1365">
                <c:v>8.5100000000000016</c:v>
              </c:pt>
              <c:pt idx="1366">
                <c:v>8.5100000000000016</c:v>
              </c:pt>
              <c:pt idx="1367">
                <c:v>8.5100000000000016</c:v>
              </c:pt>
              <c:pt idx="1368">
                <c:v>8.5100000000000016</c:v>
              </c:pt>
              <c:pt idx="1369">
                <c:v>8.5100000000000016</c:v>
              </c:pt>
              <c:pt idx="1370">
                <c:v>8.5100000000000016</c:v>
              </c:pt>
              <c:pt idx="1371">
                <c:v>8.5100000000000016</c:v>
              </c:pt>
              <c:pt idx="1372">
                <c:v>8.5100000000000016</c:v>
              </c:pt>
              <c:pt idx="1373">
                <c:v>8.5100000000000016</c:v>
              </c:pt>
              <c:pt idx="1374">
                <c:v>8.5100000000000016</c:v>
              </c:pt>
              <c:pt idx="1375">
                <c:v>8.5100000000000016</c:v>
              </c:pt>
              <c:pt idx="1376">
                <c:v>8.5100000000000016</c:v>
              </c:pt>
              <c:pt idx="1377">
                <c:v>8.5100000000000016</c:v>
              </c:pt>
              <c:pt idx="1378">
                <c:v>8.5100000000000016</c:v>
              </c:pt>
              <c:pt idx="1379">
                <c:v>8.5100000000000016</c:v>
              </c:pt>
              <c:pt idx="1380">
                <c:v>8.5100000000000016</c:v>
              </c:pt>
              <c:pt idx="1381">
                <c:v>8.5100000000000016</c:v>
              </c:pt>
              <c:pt idx="1382">
                <c:v>8.5100000000000016</c:v>
              </c:pt>
              <c:pt idx="1383">
                <c:v>8.5100000000000016</c:v>
              </c:pt>
              <c:pt idx="1384">
                <c:v>8.5100000000000016</c:v>
              </c:pt>
              <c:pt idx="1385">
                <c:v>8.5100000000000016</c:v>
              </c:pt>
              <c:pt idx="1386">
                <c:v>8.5100000000000016</c:v>
              </c:pt>
              <c:pt idx="1387">
                <c:v>8.5100000000000016</c:v>
              </c:pt>
              <c:pt idx="1388">
                <c:v>8.5100000000000016</c:v>
              </c:pt>
              <c:pt idx="1389">
                <c:v>8.5100000000000016</c:v>
              </c:pt>
              <c:pt idx="1390">
                <c:v>8.5100000000000016</c:v>
              </c:pt>
              <c:pt idx="1391">
                <c:v>8.5100000000000016</c:v>
              </c:pt>
              <c:pt idx="1392">
                <c:v>8.5100000000000016</c:v>
              </c:pt>
              <c:pt idx="1393">
                <c:v>8.5100000000000016</c:v>
              </c:pt>
              <c:pt idx="1394">
                <c:v>8.5100000000000016</c:v>
              </c:pt>
              <c:pt idx="1395">
                <c:v>8.5100000000000016</c:v>
              </c:pt>
              <c:pt idx="1396">
                <c:v>8.5100000000000016</c:v>
              </c:pt>
              <c:pt idx="1397">
                <c:v>8.5100000000000016</c:v>
              </c:pt>
              <c:pt idx="1398">
                <c:v>8.5100000000000016</c:v>
              </c:pt>
              <c:pt idx="1399">
                <c:v>8.5100000000000016</c:v>
              </c:pt>
              <c:pt idx="1400">
                <c:v>8.5100000000000016</c:v>
              </c:pt>
              <c:pt idx="1401">
                <c:v>8.5100000000000016</c:v>
              </c:pt>
              <c:pt idx="1402">
                <c:v>8.5100000000000016</c:v>
              </c:pt>
              <c:pt idx="1403">
                <c:v>8.5100000000000016</c:v>
              </c:pt>
              <c:pt idx="1404">
                <c:v>8.5100000000000016</c:v>
              </c:pt>
              <c:pt idx="1405">
                <c:v>8.5100000000000016</c:v>
              </c:pt>
              <c:pt idx="1406">
                <c:v>8.5100000000000016</c:v>
              </c:pt>
              <c:pt idx="1407">
                <c:v>8.5100000000000016</c:v>
              </c:pt>
              <c:pt idx="1408">
                <c:v>8.5100000000000016</c:v>
              </c:pt>
              <c:pt idx="1409">
                <c:v>8.5100000000000016</c:v>
              </c:pt>
              <c:pt idx="1410">
                <c:v>8.5100000000000016</c:v>
              </c:pt>
              <c:pt idx="1411">
                <c:v>8.5100000000000016</c:v>
              </c:pt>
              <c:pt idx="1412">
                <c:v>8.5100000000000016</c:v>
              </c:pt>
              <c:pt idx="1413">
                <c:v>8.5100000000000016</c:v>
              </c:pt>
              <c:pt idx="1414">
                <c:v>8.5100000000000016</c:v>
              </c:pt>
              <c:pt idx="1415">
                <c:v>8.5100000000000016</c:v>
              </c:pt>
              <c:pt idx="1416">
                <c:v>8.5100000000000016</c:v>
              </c:pt>
              <c:pt idx="1417">
                <c:v>8.5100000000000016</c:v>
              </c:pt>
              <c:pt idx="1418">
                <c:v>8.5100000000000016</c:v>
              </c:pt>
              <c:pt idx="1419">
                <c:v>8.5100000000000016</c:v>
              </c:pt>
              <c:pt idx="1420">
                <c:v>8.5100000000000016</c:v>
              </c:pt>
              <c:pt idx="1421">
                <c:v>8.5100000000000016</c:v>
              </c:pt>
              <c:pt idx="1422">
                <c:v>8.5100000000000016</c:v>
              </c:pt>
              <c:pt idx="1423">
                <c:v>8.5100000000000016</c:v>
              </c:pt>
              <c:pt idx="1424">
                <c:v>8.5100000000000016</c:v>
              </c:pt>
              <c:pt idx="1425">
                <c:v>8.5100000000000016</c:v>
              </c:pt>
              <c:pt idx="1426">
                <c:v>8.5100000000000016</c:v>
              </c:pt>
              <c:pt idx="1427">
                <c:v>8.5100000000000016</c:v>
              </c:pt>
              <c:pt idx="1428">
                <c:v>8.5100000000000016</c:v>
              </c:pt>
              <c:pt idx="1429">
                <c:v>8.5100000000000016</c:v>
              </c:pt>
              <c:pt idx="1430">
                <c:v>8.5100000000000016</c:v>
              </c:pt>
              <c:pt idx="1431">
                <c:v>8.5100000000000016</c:v>
              </c:pt>
              <c:pt idx="1432">
                <c:v>8.5100000000000016</c:v>
              </c:pt>
              <c:pt idx="1433">
                <c:v>8.5100000000000016</c:v>
              </c:pt>
              <c:pt idx="1434">
                <c:v>8.5100000000000016</c:v>
              </c:pt>
              <c:pt idx="1435">
                <c:v>8.5100000000000016</c:v>
              </c:pt>
              <c:pt idx="1436">
                <c:v>8.5100000000000016</c:v>
              </c:pt>
              <c:pt idx="1437">
                <c:v>8.5100000000000016</c:v>
              </c:pt>
              <c:pt idx="1438">
                <c:v>8.5100000000000016</c:v>
              </c:pt>
              <c:pt idx="1439">
                <c:v>8.5100000000000016</c:v>
              </c:pt>
              <c:pt idx="1440">
                <c:v>8.5100000000000016</c:v>
              </c:pt>
              <c:pt idx="1441">
                <c:v>8.5100000000000016</c:v>
              </c:pt>
              <c:pt idx="1442">
                <c:v>8.5100000000000016</c:v>
              </c:pt>
              <c:pt idx="1443">
                <c:v>8.5100000000000016</c:v>
              </c:pt>
              <c:pt idx="1444">
                <c:v>8.5100000000000016</c:v>
              </c:pt>
              <c:pt idx="1445">
                <c:v>8.5100000000000016</c:v>
              </c:pt>
              <c:pt idx="1446">
                <c:v>8.5100000000000016</c:v>
              </c:pt>
              <c:pt idx="1447">
                <c:v>8.5100000000000016</c:v>
              </c:pt>
              <c:pt idx="1448">
                <c:v>8.5100000000000016</c:v>
              </c:pt>
              <c:pt idx="1449">
                <c:v>8.5100000000000016</c:v>
              </c:pt>
              <c:pt idx="1450">
                <c:v>8.5100000000000016</c:v>
              </c:pt>
              <c:pt idx="1451">
                <c:v>8.5100000000000016</c:v>
              </c:pt>
              <c:pt idx="1452">
                <c:v>8.5100000000000016</c:v>
              </c:pt>
              <c:pt idx="1453">
                <c:v>8.5100000000000016</c:v>
              </c:pt>
              <c:pt idx="1454">
                <c:v>8.5100000000000016</c:v>
              </c:pt>
              <c:pt idx="1455">
                <c:v>8.5100000000000016</c:v>
              </c:pt>
              <c:pt idx="1456">
                <c:v>8.5100000000000016</c:v>
              </c:pt>
              <c:pt idx="1457">
                <c:v>8.5100000000000016</c:v>
              </c:pt>
              <c:pt idx="1458">
                <c:v>8.5100000000000016</c:v>
              </c:pt>
              <c:pt idx="1459">
                <c:v>8.5100000000000016</c:v>
              </c:pt>
              <c:pt idx="1460">
                <c:v>8.5100000000000016</c:v>
              </c:pt>
              <c:pt idx="1461">
                <c:v>8.5100000000000016</c:v>
              </c:pt>
              <c:pt idx="1462">
                <c:v>8.5100000000000016</c:v>
              </c:pt>
              <c:pt idx="1463">
                <c:v>8.5100000000000016</c:v>
              </c:pt>
              <c:pt idx="1464">
                <c:v>8.5100000000000016</c:v>
              </c:pt>
              <c:pt idx="1465">
                <c:v>8.5100000000000016</c:v>
              </c:pt>
              <c:pt idx="1466">
                <c:v>8.5100000000000016</c:v>
              </c:pt>
              <c:pt idx="1467">
                <c:v>8.5100000000000016</c:v>
              </c:pt>
              <c:pt idx="1468">
                <c:v>8.5100000000000016</c:v>
              </c:pt>
              <c:pt idx="1469">
                <c:v>8.5100000000000016</c:v>
              </c:pt>
              <c:pt idx="1470">
                <c:v>8.5100000000000016</c:v>
              </c:pt>
              <c:pt idx="1471">
                <c:v>8.5100000000000016</c:v>
              </c:pt>
              <c:pt idx="1472">
                <c:v>8.5100000000000016</c:v>
              </c:pt>
              <c:pt idx="1473">
                <c:v>8.5100000000000016</c:v>
              </c:pt>
              <c:pt idx="1474">
                <c:v>8.5100000000000016</c:v>
              </c:pt>
              <c:pt idx="1475">
                <c:v>8.5100000000000016</c:v>
              </c:pt>
              <c:pt idx="1476">
                <c:v>8.5100000000000016</c:v>
              </c:pt>
              <c:pt idx="1477">
                <c:v>8.5100000000000016</c:v>
              </c:pt>
              <c:pt idx="1478">
                <c:v>8.5100000000000016</c:v>
              </c:pt>
              <c:pt idx="1479">
                <c:v>8.5100000000000016</c:v>
              </c:pt>
              <c:pt idx="1480">
                <c:v>8.5100000000000016</c:v>
              </c:pt>
              <c:pt idx="1481">
                <c:v>8.5100000000000016</c:v>
              </c:pt>
              <c:pt idx="1482">
                <c:v>8.5100000000000016</c:v>
              </c:pt>
              <c:pt idx="1483">
                <c:v>8.5100000000000016</c:v>
              </c:pt>
              <c:pt idx="1484">
                <c:v>8.5100000000000016</c:v>
              </c:pt>
              <c:pt idx="1485">
                <c:v>8.5100000000000016</c:v>
              </c:pt>
              <c:pt idx="1486">
                <c:v>8.5100000000000016</c:v>
              </c:pt>
              <c:pt idx="1487">
                <c:v>8.5100000000000016</c:v>
              </c:pt>
              <c:pt idx="1488">
                <c:v>8.5100000000000016</c:v>
              </c:pt>
              <c:pt idx="1489">
                <c:v>8.5100000000000016</c:v>
              </c:pt>
              <c:pt idx="1490">
                <c:v>8.5100000000000016</c:v>
              </c:pt>
              <c:pt idx="1491">
                <c:v>8.5100000000000016</c:v>
              </c:pt>
              <c:pt idx="1492">
                <c:v>8.5100000000000016</c:v>
              </c:pt>
              <c:pt idx="1493">
                <c:v>8.5100000000000016</c:v>
              </c:pt>
              <c:pt idx="1494">
                <c:v>8.5100000000000016</c:v>
              </c:pt>
              <c:pt idx="1495">
                <c:v>8.5100000000000016</c:v>
              </c:pt>
              <c:pt idx="1496">
                <c:v>8.5100000000000016</c:v>
              </c:pt>
              <c:pt idx="1497">
                <c:v>8.5100000000000016</c:v>
              </c:pt>
              <c:pt idx="1498">
                <c:v>8.5100000000000016</c:v>
              </c:pt>
              <c:pt idx="1499">
                <c:v>8.5100000000000016</c:v>
              </c:pt>
              <c:pt idx="1500">
                <c:v>8.5100000000000016</c:v>
              </c:pt>
              <c:pt idx="1501">
                <c:v>8.5100000000000016</c:v>
              </c:pt>
              <c:pt idx="1502">
                <c:v>8.5100000000000016</c:v>
              </c:pt>
              <c:pt idx="1503">
                <c:v>8.5100000000000016</c:v>
              </c:pt>
              <c:pt idx="1504">
                <c:v>8.5100000000000016</c:v>
              </c:pt>
              <c:pt idx="1505">
                <c:v>8.5100000000000016</c:v>
              </c:pt>
              <c:pt idx="1506">
                <c:v>8.5100000000000016</c:v>
              </c:pt>
              <c:pt idx="1507">
                <c:v>8.5100000000000016</c:v>
              </c:pt>
              <c:pt idx="1508">
                <c:v>8.5100000000000016</c:v>
              </c:pt>
              <c:pt idx="1509">
                <c:v>8.5100000000000016</c:v>
              </c:pt>
              <c:pt idx="1510">
                <c:v>8.5100000000000016</c:v>
              </c:pt>
              <c:pt idx="1511">
                <c:v>8.5100000000000016</c:v>
              </c:pt>
              <c:pt idx="1512">
                <c:v>8.5100000000000016</c:v>
              </c:pt>
              <c:pt idx="1513">
                <c:v>8.5100000000000016</c:v>
              </c:pt>
              <c:pt idx="1514">
                <c:v>8.5100000000000016</c:v>
              </c:pt>
              <c:pt idx="1515">
                <c:v>8.5100000000000016</c:v>
              </c:pt>
              <c:pt idx="1516">
                <c:v>8.5100000000000016</c:v>
              </c:pt>
              <c:pt idx="1517">
                <c:v>8.5100000000000016</c:v>
              </c:pt>
              <c:pt idx="1518">
                <c:v>8.5100000000000016</c:v>
              </c:pt>
              <c:pt idx="1519">
                <c:v>8.5100000000000016</c:v>
              </c:pt>
              <c:pt idx="1520">
                <c:v>8.5100000000000016</c:v>
              </c:pt>
              <c:pt idx="1521">
                <c:v>8.5100000000000016</c:v>
              </c:pt>
              <c:pt idx="1522">
                <c:v>8.5100000000000016</c:v>
              </c:pt>
              <c:pt idx="1523">
                <c:v>8.5100000000000016</c:v>
              </c:pt>
              <c:pt idx="1524">
                <c:v>8.5100000000000016</c:v>
              </c:pt>
              <c:pt idx="1525">
                <c:v>8.5100000000000016</c:v>
              </c:pt>
              <c:pt idx="1526">
                <c:v>8.5100000000000016</c:v>
              </c:pt>
              <c:pt idx="1527">
                <c:v>8.5100000000000016</c:v>
              </c:pt>
              <c:pt idx="1528">
                <c:v>8.5100000000000016</c:v>
              </c:pt>
              <c:pt idx="1529">
                <c:v>8.5100000000000016</c:v>
              </c:pt>
              <c:pt idx="1530">
                <c:v>8.5100000000000016</c:v>
              </c:pt>
              <c:pt idx="1531">
                <c:v>8.5100000000000016</c:v>
              </c:pt>
              <c:pt idx="1532">
                <c:v>8.5100000000000016</c:v>
              </c:pt>
              <c:pt idx="1533">
                <c:v>8.5100000000000016</c:v>
              </c:pt>
              <c:pt idx="1534">
                <c:v>8.5100000000000016</c:v>
              </c:pt>
              <c:pt idx="1535">
                <c:v>8.5100000000000016</c:v>
              </c:pt>
              <c:pt idx="1536">
                <c:v>8.5100000000000016</c:v>
              </c:pt>
              <c:pt idx="1537">
                <c:v>8.5100000000000016</c:v>
              </c:pt>
              <c:pt idx="1538">
                <c:v>8.5100000000000016</c:v>
              </c:pt>
              <c:pt idx="1539">
                <c:v>8.5100000000000016</c:v>
              </c:pt>
              <c:pt idx="1540">
                <c:v>8.5100000000000016</c:v>
              </c:pt>
              <c:pt idx="1541">
                <c:v>8.5100000000000016</c:v>
              </c:pt>
              <c:pt idx="1542">
                <c:v>8.5100000000000016</c:v>
              </c:pt>
              <c:pt idx="1543">
                <c:v>8.5100000000000016</c:v>
              </c:pt>
              <c:pt idx="1544">
                <c:v>8.5100000000000016</c:v>
              </c:pt>
              <c:pt idx="1545">
                <c:v>8.5100000000000016</c:v>
              </c:pt>
              <c:pt idx="1546">
                <c:v>8.5100000000000016</c:v>
              </c:pt>
              <c:pt idx="1547">
                <c:v>8.5100000000000016</c:v>
              </c:pt>
              <c:pt idx="1548">
                <c:v>8.5100000000000016</c:v>
              </c:pt>
              <c:pt idx="1549">
                <c:v>8.5100000000000016</c:v>
              </c:pt>
              <c:pt idx="1550">
                <c:v>8.5100000000000016</c:v>
              </c:pt>
              <c:pt idx="1551">
                <c:v>8.5100000000000016</c:v>
              </c:pt>
              <c:pt idx="1552">
                <c:v>8.5100000000000016</c:v>
              </c:pt>
              <c:pt idx="1553">
                <c:v>8.5100000000000016</c:v>
              </c:pt>
              <c:pt idx="1554">
                <c:v>8.5100000000000016</c:v>
              </c:pt>
              <c:pt idx="1555">
                <c:v>8.5100000000000016</c:v>
              </c:pt>
              <c:pt idx="1556">
                <c:v>8.5100000000000016</c:v>
              </c:pt>
              <c:pt idx="1557">
                <c:v>8.5100000000000016</c:v>
              </c:pt>
              <c:pt idx="1558">
                <c:v>8.5100000000000016</c:v>
              </c:pt>
              <c:pt idx="1559">
                <c:v>8.5100000000000016</c:v>
              </c:pt>
              <c:pt idx="1560">
                <c:v>8.5100000000000016</c:v>
              </c:pt>
              <c:pt idx="1561">
                <c:v>8.5100000000000016</c:v>
              </c:pt>
              <c:pt idx="1562">
                <c:v>8.5100000000000016</c:v>
              </c:pt>
              <c:pt idx="1563">
                <c:v>8.5100000000000016</c:v>
              </c:pt>
              <c:pt idx="1564">
                <c:v>8.5100000000000016</c:v>
              </c:pt>
              <c:pt idx="1565">
                <c:v>8.5100000000000016</c:v>
              </c:pt>
              <c:pt idx="1566">
                <c:v>8.5100000000000016</c:v>
              </c:pt>
              <c:pt idx="1567">
                <c:v>8.5100000000000016</c:v>
              </c:pt>
              <c:pt idx="1568">
                <c:v>8.5100000000000016</c:v>
              </c:pt>
              <c:pt idx="1569">
                <c:v>8.5100000000000016</c:v>
              </c:pt>
              <c:pt idx="1570">
                <c:v>8.5100000000000016</c:v>
              </c:pt>
              <c:pt idx="1571">
                <c:v>8.5100000000000016</c:v>
              </c:pt>
              <c:pt idx="1572">
                <c:v>8.5100000000000016</c:v>
              </c:pt>
              <c:pt idx="1573">
                <c:v>8.5100000000000016</c:v>
              </c:pt>
              <c:pt idx="1574">
                <c:v>8.5100000000000016</c:v>
              </c:pt>
              <c:pt idx="1575">
                <c:v>8.5100000000000016</c:v>
              </c:pt>
              <c:pt idx="1576">
                <c:v>8.5100000000000016</c:v>
              </c:pt>
              <c:pt idx="1577">
                <c:v>8.5100000000000016</c:v>
              </c:pt>
              <c:pt idx="1578">
                <c:v>8.5100000000000016</c:v>
              </c:pt>
              <c:pt idx="1579">
                <c:v>8.5100000000000016</c:v>
              </c:pt>
              <c:pt idx="1580">
                <c:v>8.5100000000000016</c:v>
              </c:pt>
              <c:pt idx="1581">
                <c:v>8.5100000000000016</c:v>
              </c:pt>
              <c:pt idx="1582">
                <c:v>8.5100000000000016</c:v>
              </c:pt>
              <c:pt idx="1583">
                <c:v>8.5100000000000016</c:v>
              </c:pt>
              <c:pt idx="1584">
                <c:v>8.5100000000000016</c:v>
              </c:pt>
              <c:pt idx="1585">
                <c:v>8.5100000000000016</c:v>
              </c:pt>
              <c:pt idx="1586">
                <c:v>8.5100000000000016</c:v>
              </c:pt>
              <c:pt idx="1587">
                <c:v>8.5100000000000016</c:v>
              </c:pt>
              <c:pt idx="1588">
                <c:v>8.5100000000000016</c:v>
              </c:pt>
              <c:pt idx="1589">
                <c:v>8.5100000000000016</c:v>
              </c:pt>
              <c:pt idx="1590">
                <c:v>8.5100000000000016</c:v>
              </c:pt>
              <c:pt idx="1591">
                <c:v>8.5100000000000016</c:v>
              </c:pt>
              <c:pt idx="1592">
                <c:v>8.5100000000000016</c:v>
              </c:pt>
              <c:pt idx="1593">
                <c:v>8.5100000000000016</c:v>
              </c:pt>
              <c:pt idx="1594">
                <c:v>8.5100000000000016</c:v>
              </c:pt>
              <c:pt idx="1595">
                <c:v>8.5100000000000016</c:v>
              </c:pt>
              <c:pt idx="1596">
                <c:v>8.5100000000000016</c:v>
              </c:pt>
              <c:pt idx="1597">
                <c:v>8.5100000000000016</c:v>
              </c:pt>
              <c:pt idx="1598">
                <c:v>8.5100000000000016</c:v>
              </c:pt>
              <c:pt idx="1599">
                <c:v>8.5100000000000016</c:v>
              </c:pt>
              <c:pt idx="1600">
                <c:v>8.5100000000000016</c:v>
              </c:pt>
              <c:pt idx="1601">
                <c:v>8.5100000000000016</c:v>
              </c:pt>
              <c:pt idx="1602">
                <c:v>8.5100000000000016</c:v>
              </c:pt>
              <c:pt idx="1603">
                <c:v>8.5100000000000016</c:v>
              </c:pt>
              <c:pt idx="1604">
                <c:v>8.5100000000000016</c:v>
              </c:pt>
              <c:pt idx="1605">
                <c:v>8.5100000000000016</c:v>
              </c:pt>
              <c:pt idx="1606">
                <c:v>8.5100000000000016</c:v>
              </c:pt>
              <c:pt idx="1607">
                <c:v>8.5100000000000016</c:v>
              </c:pt>
              <c:pt idx="1608">
                <c:v>8.5100000000000016</c:v>
              </c:pt>
              <c:pt idx="1609">
                <c:v>8.5100000000000016</c:v>
              </c:pt>
              <c:pt idx="1610">
                <c:v>8.5100000000000016</c:v>
              </c:pt>
              <c:pt idx="1611">
                <c:v>8.5100000000000016</c:v>
              </c:pt>
              <c:pt idx="1612">
                <c:v>8.5100000000000016</c:v>
              </c:pt>
              <c:pt idx="1613">
                <c:v>8.5100000000000016</c:v>
              </c:pt>
              <c:pt idx="1614">
                <c:v>8.5100000000000016</c:v>
              </c:pt>
              <c:pt idx="1615">
                <c:v>8.5100000000000016</c:v>
              </c:pt>
              <c:pt idx="1616">
                <c:v>8.5100000000000016</c:v>
              </c:pt>
              <c:pt idx="1617">
                <c:v>8.5100000000000016</c:v>
              </c:pt>
              <c:pt idx="1618">
                <c:v>8.5100000000000016</c:v>
              </c:pt>
              <c:pt idx="1619">
                <c:v>8.5100000000000016</c:v>
              </c:pt>
              <c:pt idx="1620">
                <c:v>8.5100000000000016</c:v>
              </c:pt>
              <c:pt idx="1621">
                <c:v>8.5100000000000016</c:v>
              </c:pt>
              <c:pt idx="1622">
                <c:v>8.5100000000000016</c:v>
              </c:pt>
              <c:pt idx="1623">
                <c:v>8.5100000000000016</c:v>
              </c:pt>
              <c:pt idx="1624">
                <c:v>8.5100000000000016</c:v>
              </c:pt>
              <c:pt idx="1625">
                <c:v>8.5100000000000016</c:v>
              </c:pt>
              <c:pt idx="1626">
                <c:v>8.5100000000000016</c:v>
              </c:pt>
              <c:pt idx="1627">
                <c:v>8.5100000000000016</c:v>
              </c:pt>
              <c:pt idx="1628">
                <c:v>8.5100000000000016</c:v>
              </c:pt>
              <c:pt idx="1629">
                <c:v>8.5100000000000016</c:v>
              </c:pt>
              <c:pt idx="1630">
                <c:v>8.5100000000000016</c:v>
              </c:pt>
              <c:pt idx="1631">
                <c:v>8.5100000000000016</c:v>
              </c:pt>
              <c:pt idx="1632">
                <c:v>8.5100000000000016</c:v>
              </c:pt>
              <c:pt idx="1633">
                <c:v>8.5100000000000016</c:v>
              </c:pt>
              <c:pt idx="1634">
                <c:v>8.5100000000000016</c:v>
              </c:pt>
              <c:pt idx="1635">
                <c:v>8.5100000000000016</c:v>
              </c:pt>
              <c:pt idx="1636">
                <c:v>8.5100000000000016</c:v>
              </c:pt>
              <c:pt idx="1637">
                <c:v>8.5100000000000016</c:v>
              </c:pt>
              <c:pt idx="1638">
                <c:v>8.5100000000000016</c:v>
              </c:pt>
              <c:pt idx="1639">
                <c:v>8.5100000000000016</c:v>
              </c:pt>
              <c:pt idx="1640">
                <c:v>8.5100000000000016</c:v>
              </c:pt>
              <c:pt idx="1641">
                <c:v>8.5100000000000016</c:v>
              </c:pt>
              <c:pt idx="1642">
                <c:v>8.5100000000000016</c:v>
              </c:pt>
              <c:pt idx="1643">
                <c:v>8.5100000000000016</c:v>
              </c:pt>
              <c:pt idx="1644">
                <c:v>8.5100000000000016</c:v>
              </c:pt>
              <c:pt idx="1645">
                <c:v>8.5100000000000016</c:v>
              </c:pt>
              <c:pt idx="1646">
                <c:v>8.5100000000000016</c:v>
              </c:pt>
              <c:pt idx="1647">
                <c:v>8.5100000000000016</c:v>
              </c:pt>
              <c:pt idx="1648">
                <c:v>8.5100000000000016</c:v>
              </c:pt>
              <c:pt idx="1649">
                <c:v>8.5100000000000016</c:v>
              </c:pt>
              <c:pt idx="1650">
                <c:v>8.5100000000000016</c:v>
              </c:pt>
              <c:pt idx="1651">
                <c:v>8.5100000000000016</c:v>
              </c:pt>
              <c:pt idx="1652">
                <c:v>8.5100000000000016</c:v>
              </c:pt>
              <c:pt idx="1653">
                <c:v>8.5100000000000016</c:v>
              </c:pt>
              <c:pt idx="1654">
                <c:v>8.5100000000000016</c:v>
              </c:pt>
              <c:pt idx="1655">
                <c:v>8.5100000000000016</c:v>
              </c:pt>
              <c:pt idx="1656">
                <c:v>8.5100000000000016</c:v>
              </c:pt>
              <c:pt idx="1657">
                <c:v>8.5100000000000016</c:v>
              </c:pt>
              <c:pt idx="1658">
                <c:v>8.5100000000000016</c:v>
              </c:pt>
              <c:pt idx="1659">
                <c:v>8.5100000000000016</c:v>
              </c:pt>
              <c:pt idx="1660">
                <c:v>8.5100000000000016</c:v>
              </c:pt>
              <c:pt idx="1661">
                <c:v>8.5100000000000016</c:v>
              </c:pt>
              <c:pt idx="1662">
                <c:v>8.5100000000000016</c:v>
              </c:pt>
              <c:pt idx="1663">
                <c:v>8.5100000000000016</c:v>
              </c:pt>
              <c:pt idx="1664">
                <c:v>8.5100000000000016</c:v>
              </c:pt>
              <c:pt idx="1665">
                <c:v>8.5100000000000016</c:v>
              </c:pt>
              <c:pt idx="1666">
                <c:v>8.5100000000000016</c:v>
              </c:pt>
              <c:pt idx="1667">
                <c:v>8.5100000000000016</c:v>
              </c:pt>
              <c:pt idx="1668">
                <c:v>8.5100000000000016</c:v>
              </c:pt>
              <c:pt idx="1669">
                <c:v>8.5100000000000016</c:v>
              </c:pt>
              <c:pt idx="1670">
                <c:v>8.5100000000000016</c:v>
              </c:pt>
              <c:pt idx="1671">
                <c:v>8.5100000000000016</c:v>
              </c:pt>
              <c:pt idx="1672">
                <c:v>8.5100000000000016</c:v>
              </c:pt>
              <c:pt idx="1673">
                <c:v>8.5100000000000016</c:v>
              </c:pt>
              <c:pt idx="1674">
                <c:v>8.5100000000000016</c:v>
              </c:pt>
              <c:pt idx="1675">
                <c:v>8.5100000000000016</c:v>
              </c:pt>
              <c:pt idx="1676">
                <c:v>8.5100000000000016</c:v>
              </c:pt>
              <c:pt idx="1677">
                <c:v>8.5100000000000016</c:v>
              </c:pt>
              <c:pt idx="1678">
                <c:v>8.5100000000000016</c:v>
              </c:pt>
              <c:pt idx="1679">
                <c:v>8.5100000000000016</c:v>
              </c:pt>
              <c:pt idx="1680">
                <c:v>8.5100000000000016</c:v>
              </c:pt>
              <c:pt idx="1681">
                <c:v>8.5100000000000016</c:v>
              </c:pt>
              <c:pt idx="1682">
                <c:v>8.5100000000000016</c:v>
              </c:pt>
              <c:pt idx="1683">
                <c:v>8.5100000000000016</c:v>
              </c:pt>
              <c:pt idx="1684">
                <c:v>8.5100000000000016</c:v>
              </c:pt>
              <c:pt idx="1685">
                <c:v>8.5100000000000016</c:v>
              </c:pt>
              <c:pt idx="1686">
                <c:v>8.5100000000000016</c:v>
              </c:pt>
              <c:pt idx="1687">
                <c:v>8.5100000000000016</c:v>
              </c:pt>
              <c:pt idx="1688">
                <c:v>8.5100000000000016</c:v>
              </c:pt>
              <c:pt idx="1689">
                <c:v>8.5100000000000016</c:v>
              </c:pt>
              <c:pt idx="1690">
                <c:v>8.5100000000000016</c:v>
              </c:pt>
              <c:pt idx="1691">
                <c:v>8.5100000000000016</c:v>
              </c:pt>
              <c:pt idx="1692">
                <c:v>8.5100000000000016</c:v>
              </c:pt>
              <c:pt idx="1693">
                <c:v>8.5100000000000016</c:v>
              </c:pt>
              <c:pt idx="1694">
                <c:v>8.5100000000000016</c:v>
              </c:pt>
              <c:pt idx="1695">
                <c:v>8.5100000000000016</c:v>
              </c:pt>
              <c:pt idx="1696">
                <c:v>8.5100000000000016</c:v>
              </c:pt>
              <c:pt idx="1697">
                <c:v>8.5100000000000016</c:v>
              </c:pt>
              <c:pt idx="1698">
                <c:v>8.5100000000000016</c:v>
              </c:pt>
              <c:pt idx="1699">
                <c:v>8.5100000000000016</c:v>
              </c:pt>
              <c:pt idx="1700">
                <c:v>8.5100000000000016</c:v>
              </c:pt>
              <c:pt idx="1701">
                <c:v>8.5100000000000016</c:v>
              </c:pt>
              <c:pt idx="1702">
                <c:v>8.5100000000000016</c:v>
              </c:pt>
              <c:pt idx="1703">
                <c:v>8.5100000000000016</c:v>
              </c:pt>
              <c:pt idx="1704">
                <c:v>8.5100000000000016</c:v>
              </c:pt>
              <c:pt idx="1705">
                <c:v>8.5100000000000016</c:v>
              </c:pt>
              <c:pt idx="1706">
                <c:v>8.5100000000000016</c:v>
              </c:pt>
              <c:pt idx="1707">
                <c:v>8.5100000000000016</c:v>
              </c:pt>
              <c:pt idx="1708">
                <c:v>8.5100000000000016</c:v>
              </c:pt>
              <c:pt idx="1709">
                <c:v>8.5100000000000016</c:v>
              </c:pt>
              <c:pt idx="1710">
                <c:v>8.5100000000000016</c:v>
              </c:pt>
              <c:pt idx="1711">
                <c:v>8.5100000000000016</c:v>
              </c:pt>
              <c:pt idx="1712">
                <c:v>8.5100000000000016</c:v>
              </c:pt>
              <c:pt idx="1713">
                <c:v>8.5100000000000016</c:v>
              </c:pt>
              <c:pt idx="1714">
                <c:v>8.5100000000000016</c:v>
              </c:pt>
              <c:pt idx="1715">
                <c:v>8.5100000000000016</c:v>
              </c:pt>
              <c:pt idx="1716">
                <c:v>8.5100000000000016</c:v>
              </c:pt>
              <c:pt idx="1717">
                <c:v>8.5100000000000016</c:v>
              </c:pt>
              <c:pt idx="1718">
                <c:v>8.5100000000000016</c:v>
              </c:pt>
              <c:pt idx="1719">
                <c:v>8.5100000000000016</c:v>
              </c:pt>
              <c:pt idx="1720">
                <c:v>8.5100000000000016</c:v>
              </c:pt>
              <c:pt idx="1721">
                <c:v>8.5100000000000016</c:v>
              </c:pt>
              <c:pt idx="1722">
                <c:v>8.5100000000000016</c:v>
              </c:pt>
              <c:pt idx="1723">
                <c:v>8.5100000000000016</c:v>
              </c:pt>
              <c:pt idx="1724">
                <c:v>8.5100000000000016</c:v>
              </c:pt>
              <c:pt idx="1725">
                <c:v>8.5100000000000016</c:v>
              </c:pt>
              <c:pt idx="1726">
                <c:v>8.5100000000000016</c:v>
              </c:pt>
              <c:pt idx="1727">
                <c:v>8.5100000000000016</c:v>
              </c:pt>
              <c:pt idx="1728">
                <c:v>8.5100000000000016</c:v>
              </c:pt>
              <c:pt idx="1729">
                <c:v>8.5100000000000016</c:v>
              </c:pt>
              <c:pt idx="1730">
                <c:v>8.5100000000000016</c:v>
              </c:pt>
              <c:pt idx="1731">
                <c:v>8.5100000000000016</c:v>
              </c:pt>
              <c:pt idx="1732">
                <c:v>8.5100000000000016</c:v>
              </c:pt>
              <c:pt idx="1733">
                <c:v>8.5100000000000016</c:v>
              </c:pt>
              <c:pt idx="1734">
                <c:v>8.5100000000000016</c:v>
              </c:pt>
              <c:pt idx="1735">
                <c:v>8.5100000000000016</c:v>
              </c:pt>
              <c:pt idx="1736">
                <c:v>8.5100000000000016</c:v>
              </c:pt>
              <c:pt idx="1737">
                <c:v>8.5100000000000016</c:v>
              </c:pt>
              <c:pt idx="1738">
                <c:v>8.5100000000000016</c:v>
              </c:pt>
              <c:pt idx="1739">
                <c:v>8.5100000000000016</c:v>
              </c:pt>
              <c:pt idx="1740">
                <c:v>8.5100000000000016</c:v>
              </c:pt>
              <c:pt idx="1741">
                <c:v>8.5100000000000016</c:v>
              </c:pt>
              <c:pt idx="1742">
                <c:v>8.5100000000000016</c:v>
              </c:pt>
              <c:pt idx="1743">
                <c:v>8.5100000000000016</c:v>
              </c:pt>
              <c:pt idx="1744">
                <c:v>8.5100000000000016</c:v>
              </c:pt>
              <c:pt idx="1745">
                <c:v>8.5100000000000016</c:v>
              </c:pt>
              <c:pt idx="1746">
                <c:v>8.5100000000000016</c:v>
              </c:pt>
              <c:pt idx="1747">
                <c:v>8.5100000000000016</c:v>
              </c:pt>
              <c:pt idx="1748">
                <c:v>8.5100000000000016</c:v>
              </c:pt>
              <c:pt idx="1749">
                <c:v>8.5100000000000016</c:v>
              </c:pt>
              <c:pt idx="1750">
                <c:v>8.5100000000000016</c:v>
              </c:pt>
              <c:pt idx="1751">
                <c:v>8.5100000000000016</c:v>
              </c:pt>
              <c:pt idx="1752">
                <c:v>8.5100000000000016</c:v>
              </c:pt>
              <c:pt idx="1753">
                <c:v>8.5100000000000016</c:v>
              </c:pt>
              <c:pt idx="1754">
                <c:v>8.5100000000000016</c:v>
              </c:pt>
              <c:pt idx="1755">
                <c:v>8.5100000000000016</c:v>
              </c:pt>
              <c:pt idx="1756">
                <c:v>8.5100000000000016</c:v>
              </c:pt>
              <c:pt idx="1757">
                <c:v>8.5100000000000016</c:v>
              </c:pt>
              <c:pt idx="1758">
                <c:v>8.5100000000000016</c:v>
              </c:pt>
              <c:pt idx="1759">
                <c:v>8.5100000000000016</c:v>
              </c:pt>
              <c:pt idx="1760">
                <c:v>8.5100000000000016</c:v>
              </c:pt>
              <c:pt idx="1761">
                <c:v>8.5100000000000016</c:v>
              </c:pt>
              <c:pt idx="1762">
                <c:v>8.5100000000000016</c:v>
              </c:pt>
              <c:pt idx="1763">
                <c:v>8.5100000000000016</c:v>
              </c:pt>
              <c:pt idx="1764">
                <c:v>8.5100000000000016</c:v>
              </c:pt>
              <c:pt idx="1765">
                <c:v>8.5100000000000016</c:v>
              </c:pt>
              <c:pt idx="1766">
                <c:v>8.5100000000000016</c:v>
              </c:pt>
              <c:pt idx="1767">
                <c:v>8.5100000000000016</c:v>
              </c:pt>
              <c:pt idx="1768">
                <c:v>8.5100000000000016</c:v>
              </c:pt>
              <c:pt idx="1769">
                <c:v>8.5100000000000016</c:v>
              </c:pt>
              <c:pt idx="1770">
                <c:v>8.5100000000000016</c:v>
              </c:pt>
              <c:pt idx="1771">
                <c:v>8.5100000000000016</c:v>
              </c:pt>
              <c:pt idx="1772">
                <c:v>8.5100000000000016</c:v>
              </c:pt>
              <c:pt idx="1773">
                <c:v>8.5100000000000016</c:v>
              </c:pt>
              <c:pt idx="1774">
                <c:v>8.5100000000000016</c:v>
              </c:pt>
              <c:pt idx="1775">
                <c:v>8.5100000000000016</c:v>
              </c:pt>
              <c:pt idx="1776">
                <c:v>8.5100000000000016</c:v>
              </c:pt>
              <c:pt idx="1777">
                <c:v>8.5100000000000016</c:v>
              </c:pt>
              <c:pt idx="1778">
                <c:v>8.5100000000000016</c:v>
              </c:pt>
              <c:pt idx="1779">
                <c:v>8.5100000000000016</c:v>
              </c:pt>
              <c:pt idx="1780">
                <c:v>8.5100000000000016</c:v>
              </c:pt>
              <c:pt idx="1781">
                <c:v>8.5100000000000016</c:v>
              </c:pt>
              <c:pt idx="1782">
                <c:v>8.5100000000000016</c:v>
              </c:pt>
              <c:pt idx="1783">
                <c:v>8.5100000000000016</c:v>
              </c:pt>
              <c:pt idx="1784">
                <c:v>8.5100000000000016</c:v>
              </c:pt>
              <c:pt idx="1785">
                <c:v>8.5100000000000016</c:v>
              </c:pt>
              <c:pt idx="1786">
                <c:v>8.5100000000000016</c:v>
              </c:pt>
              <c:pt idx="1787">
                <c:v>8.5100000000000016</c:v>
              </c:pt>
              <c:pt idx="1788">
                <c:v>8.5100000000000016</c:v>
              </c:pt>
              <c:pt idx="1789">
                <c:v>8.5100000000000016</c:v>
              </c:pt>
              <c:pt idx="1790">
                <c:v>8.5100000000000016</c:v>
              </c:pt>
              <c:pt idx="1791">
                <c:v>8.5100000000000016</c:v>
              </c:pt>
              <c:pt idx="1792">
                <c:v>8.5100000000000016</c:v>
              </c:pt>
              <c:pt idx="1793">
                <c:v>8.5100000000000016</c:v>
              </c:pt>
              <c:pt idx="1794">
                <c:v>8.5100000000000016</c:v>
              </c:pt>
              <c:pt idx="1795">
                <c:v>8.5100000000000016</c:v>
              </c:pt>
              <c:pt idx="1796">
                <c:v>8.5100000000000016</c:v>
              </c:pt>
              <c:pt idx="1797">
                <c:v>8.5100000000000016</c:v>
              </c:pt>
              <c:pt idx="1798">
                <c:v>8.5100000000000016</c:v>
              </c:pt>
              <c:pt idx="1799">
                <c:v>8.5100000000000016</c:v>
              </c:pt>
              <c:pt idx="1800">
                <c:v>8.5100000000000016</c:v>
              </c:pt>
              <c:pt idx="1801">
                <c:v>8.5100000000000016</c:v>
              </c:pt>
              <c:pt idx="1802">
                <c:v>8.5100000000000016</c:v>
              </c:pt>
              <c:pt idx="1803">
                <c:v>8.5100000000000016</c:v>
              </c:pt>
              <c:pt idx="1804">
                <c:v>8.5100000000000016</c:v>
              </c:pt>
              <c:pt idx="1805">
                <c:v>8.5100000000000016</c:v>
              </c:pt>
              <c:pt idx="1806">
                <c:v>8.5100000000000016</c:v>
              </c:pt>
              <c:pt idx="1807">
                <c:v>8.5100000000000016</c:v>
              </c:pt>
              <c:pt idx="1808">
                <c:v>8.5100000000000016</c:v>
              </c:pt>
              <c:pt idx="1809">
                <c:v>8.5100000000000016</c:v>
              </c:pt>
              <c:pt idx="1810">
                <c:v>8.5100000000000016</c:v>
              </c:pt>
              <c:pt idx="1811">
                <c:v>8.5100000000000016</c:v>
              </c:pt>
              <c:pt idx="1812">
                <c:v>8.5100000000000016</c:v>
              </c:pt>
              <c:pt idx="1813">
                <c:v>8.5100000000000016</c:v>
              </c:pt>
              <c:pt idx="1814">
                <c:v>8.5100000000000016</c:v>
              </c:pt>
              <c:pt idx="1815">
                <c:v>8.5100000000000016</c:v>
              </c:pt>
              <c:pt idx="1816">
                <c:v>8.5100000000000016</c:v>
              </c:pt>
              <c:pt idx="1817">
                <c:v>8.5100000000000016</c:v>
              </c:pt>
              <c:pt idx="1818">
                <c:v>8.5100000000000016</c:v>
              </c:pt>
              <c:pt idx="1819">
                <c:v>8.5100000000000016</c:v>
              </c:pt>
              <c:pt idx="1820">
                <c:v>8.5100000000000016</c:v>
              </c:pt>
              <c:pt idx="1821">
                <c:v>8.5100000000000016</c:v>
              </c:pt>
              <c:pt idx="1822">
                <c:v>8.5100000000000016</c:v>
              </c:pt>
              <c:pt idx="1823">
                <c:v>8.5100000000000016</c:v>
              </c:pt>
              <c:pt idx="1824">
                <c:v>8.5100000000000016</c:v>
              </c:pt>
              <c:pt idx="1825">
                <c:v>8.5100000000000016</c:v>
              </c:pt>
              <c:pt idx="1826">
                <c:v>8.5100000000000016</c:v>
              </c:pt>
              <c:pt idx="1827">
                <c:v>8.5100000000000016</c:v>
              </c:pt>
              <c:pt idx="1828">
                <c:v>8.5100000000000016</c:v>
              </c:pt>
              <c:pt idx="1829">
                <c:v>8.5100000000000016</c:v>
              </c:pt>
              <c:pt idx="1830">
                <c:v>8.5100000000000016</c:v>
              </c:pt>
              <c:pt idx="1831">
                <c:v>8.5100000000000016</c:v>
              </c:pt>
              <c:pt idx="1832">
                <c:v>8.5100000000000016</c:v>
              </c:pt>
              <c:pt idx="1833">
                <c:v>8.5100000000000016</c:v>
              </c:pt>
              <c:pt idx="1834">
                <c:v>8.5100000000000016</c:v>
              </c:pt>
              <c:pt idx="1835">
                <c:v>8.5100000000000016</c:v>
              </c:pt>
              <c:pt idx="1836">
                <c:v>8.5100000000000016</c:v>
              </c:pt>
              <c:pt idx="1837">
                <c:v>8.5100000000000016</c:v>
              </c:pt>
              <c:pt idx="1838">
                <c:v>8.5100000000000016</c:v>
              </c:pt>
              <c:pt idx="1839">
                <c:v>8.5100000000000016</c:v>
              </c:pt>
              <c:pt idx="1840">
                <c:v>8.5100000000000016</c:v>
              </c:pt>
              <c:pt idx="1841">
                <c:v>8.5100000000000016</c:v>
              </c:pt>
              <c:pt idx="1842">
                <c:v>8.5100000000000016</c:v>
              </c:pt>
              <c:pt idx="1843">
                <c:v>8.5100000000000016</c:v>
              </c:pt>
              <c:pt idx="1844">
                <c:v>8.5100000000000016</c:v>
              </c:pt>
              <c:pt idx="1845">
                <c:v>8.5100000000000016</c:v>
              </c:pt>
              <c:pt idx="1846">
                <c:v>8.5100000000000016</c:v>
              </c:pt>
              <c:pt idx="1847">
                <c:v>8.5100000000000016</c:v>
              </c:pt>
              <c:pt idx="1848">
                <c:v>8.5100000000000016</c:v>
              </c:pt>
              <c:pt idx="1849">
                <c:v>8.5100000000000016</c:v>
              </c:pt>
              <c:pt idx="1850">
                <c:v>8.5100000000000016</c:v>
              </c:pt>
              <c:pt idx="1851">
                <c:v>8.5100000000000016</c:v>
              </c:pt>
              <c:pt idx="1852">
                <c:v>8.5100000000000016</c:v>
              </c:pt>
              <c:pt idx="1853">
                <c:v>8.5100000000000016</c:v>
              </c:pt>
              <c:pt idx="1854">
                <c:v>8.5100000000000016</c:v>
              </c:pt>
              <c:pt idx="1855">
                <c:v>8.5100000000000016</c:v>
              </c:pt>
              <c:pt idx="1856">
                <c:v>8.5100000000000016</c:v>
              </c:pt>
              <c:pt idx="1857">
                <c:v>8.5100000000000016</c:v>
              </c:pt>
              <c:pt idx="1858">
                <c:v>8.5100000000000016</c:v>
              </c:pt>
              <c:pt idx="1859">
                <c:v>8.5100000000000016</c:v>
              </c:pt>
              <c:pt idx="1860">
                <c:v>8.5100000000000016</c:v>
              </c:pt>
              <c:pt idx="1861">
                <c:v>8.5100000000000016</c:v>
              </c:pt>
              <c:pt idx="1862">
                <c:v>8.5100000000000016</c:v>
              </c:pt>
              <c:pt idx="1863">
                <c:v>8.5100000000000016</c:v>
              </c:pt>
              <c:pt idx="1864">
                <c:v>8.5100000000000016</c:v>
              </c:pt>
              <c:pt idx="1865">
                <c:v>8.5100000000000016</c:v>
              </c:pt>
              <c:pt idx="1866">
                <c:v>8.5100000000000016</c:v>
              </c:pt>
              <c:pt idx="1867">
                <c:v>8.5100000000000016</c:v>
              </c:pt>
              <c:pt idx="1868">
                <c:v>8.5100000000000016</c:v>
              </c:pt>
              <c:pt idx="1869">
                <c:v>8.5100000000000016</c:v>
              </c:pt>
              <c:pt idx="1870">
                <c:v>8.5100000000000016</c:v>
              </c:pt>
              <c:pt idx="1871">
                <c:v>8.5100000000000016</c:v>
              </c:pt>
              <c:pt idx="1872">
                <c:v>8.5100000000000016</c:v>
              </c:pt>
              <c:pt idx="1873">
                <c:v>8.5100000000000016</c:v>
              </c:pt>
              <c:pt idx="1874">
                <c:v>8.5100000000000016</c:v>
              </c:pt>
              <c:pt idx="1875">
                <c:v>8.5100000000000016</c:v>
              </c:pt>
              <c:pt idx="1876">
                <c:v>8.5100000000000016</c:v>
              </c:pt>
              <c:pt idx="1877">
                <c:v>8.5100000000000016</c:v>
              </c:pt>
              <c:pt idx="1878">
                <c:v>8.5100000000000016</c:v>
              </c:pt>
              <c:pt idx="1879">
                <c:v>8.5100000000000016</c:v>
              </c:pt>
              <c:pt idx="1880">
                <c:v>8.5100000000000016</c:v>
              </c:pt>
              <c:pt idx="1881">
                <c:v>8.5100000000000016</c:v>
              </c:pt>
              <c:pt idx="1882">
                <c:v>8.5100000000000016</c:v>
              </c:pt>
              <c:pt idx="1883">
                <c:v>8.5100000000000016</c:v>
              </c:pt>
              <c:pt idx="1884">
                <c:v>8.5100000000000016</c:v>
              </c:pt>
              <c:pt idx="1885">
                <c:v>8.5100000000000016</c:v>
              </c:pt>
              <c:pt idx="1886">
                <c:v>8.5100000000000016</c:v>
              </c:pt>
              <c:pt idx="1887">
                <c:v>8.5100000000000016</c:v>
              </c:pt>
              <c:pt idx="1888">
                <c:v>8.5100000000000016</c:v>
              </c:pt>
              <c:pt idx="1889">
                <c:v>8.5100000000000016</c:v>
              </c:pt>
              <c:pt idx="1890">
                <c:v>8.5100000000000016</c:v>
              </c:pt>
              <c:pt idx="1891">
                <c:v>8.5100000000000016</c:v>
              </c:pt>
              <c:pt idx="1892">
                <c:v>8.5100000000000016</c:v>
              </c:pt>
              <c:pt idx="1893">
                <c:v>8.5100000000000016</c:v>
              </c:pt>
              <c:pt idx="1894">
                <c:v>8.5100000000000016</c:v>
              </c:pt>
              <c:pt idx="1895">
                <c:v>8.5100000000000016</c:v>
              </c:pt>
              <c:pt idx="1896">
                <c:v>8.5100000000000016</c:v>
              </c:pt>
              <c:pt idx="1897">
                <c:v>8.5100000000000016</c:v>
              </c:pt>
              <c:pt idx="1898">
                <c:v>8.5100000000000016</c:v>
              </c:pt>
              <c:pt idx="1899">
                <c:v>8.5100000000000016</c:v>
              </c:pt>
              <c:pt idx="1900">
                <c:v>8.5100000000000016</c:v>
              </c:pt>
              <c:pt idx="1901">
                <c:v>8.5100000000000016</c:v>
              </c:pt>
              <c:pt idx="1902">
                <c:v>8.5100000000000016</c:v>
              </c:pt>
              <c:pt idx="1903">
                <c:v>8.5100000000000016</c:v>
              </c:pt>
              <c:pt idx="1904">
                <c:v>8.5100000000000016</c:v>
              </c:pt>
              <c:pt idx="1905">
                <c:v>8.5100000000000016</c:v>
              </c:pt>
              <c:pt idx="1906">
                <c:v>8.5100000000000016</c:v>
              </c:pt>
              <c:pt idx="1907">
                <c:v>8.5100000000000016</c:v>
              </c:pt>
              <c:pt idx="1908">
                <c:v>8.5100000000000016</c:v>
              </c:pt>
              <c:pt idx="1909">
                <c:v>8.5100000000000016</c:v>
              </c:pt>
              <c:pt idx="1910">
                <c:v>8.5100000000000016</c:v>
              </c:pt>
              <c:pt idx="1911">
                <c:v>8.5100000000000016</c:v>
              </c:pt>
              <c:pt idx="1912">
                <c:v>8.5100000000000016</c:v>
              </c:pt>
              <c:pt idx="1913">
                <c:v>8.5100000000000016</c:v>
              </c:pt>
              <c:pt idx="1914">
                <c:v>8.5100000000000016</c:v>
              </c:pt>
              <c:pt idx="1915">
                <c:v>8.5100000000000016</c:v>
              </c:pt>
              <c:pt idx="1916">
                <c:v>8.5100000000000016</c:v>
              </c:pt>
              <c:pt idx="1917">
                <c:v>8.5100000000000016</c:v>
              </c:pt>
              <c:pt idx="1918">
                <c:v>8.5100000000000016</c:v>
              </c:pt>
              <c:pt idx="1919">
                <c:v>8.5100000000000016</c:v>
              </c:pt>
              <c:pt idx="1920">
                <c:v>8.5100000000000016</c:v>
              </c:pt>
              <c:pt idx="1921">
                <c:v>8.5100000000000016</c:v>
              </c:pt>
              <c:pt idx="1922">
                <c:v>8.5100000000000016</c:v>
              </c:pt>
              <c:pt idx="1923">
                <c:v>8.5100000000000016</c:v>
              </c:pt>
              <c:pt idx="1924">
                <c:v>8.5100000000000016</c:v>
              </c:pt>
              <c:pt idx="1925">
                <c:v>8.5100000000000016</c:v>
              </c:pt>
              <c:pt idx="1926">
                <c:v>8.5100000000000016</c:v>
              </c:pt>
              <c:pt idx="1927">
                <c:v>8.5100000000000016</c:v>
              </c:pt>
              <c:pt idx="1928">
                <c:v>8.5100000000000016</c:v>
              </c:pt>
              <c:pt idx="1929">
                <c:v>8.5100000000000016</c:v>
              </c:pt>
              <c:pt idx="1930">
                <c:v>8.5100000000000016</c:v>
              </c:pt>
              <c:pt idx="1931">
                <c:v>8.5100000000000016</c:v>
              </c:pt>
              <c:pt idx="1932">
                <c:v>8.5100000000000016</c:v>
              </c:pt>
              <c:pt idx="1933">
                <c:v>8.5100000000000016</c:v>
              </c:pt>
              <c:pt idx="1934">
                <c:v>8.5100000000000016</c:v>
              </c:pt>
              <c:pt idx="1935">
                <c:v>8.5100000000000016</c:v>
              </c:pt>
              <c:pt idx="1936">
                <c:v>8.5100000000000016</c:v>
              </c:pt>
              <c:pt idx="1937">
                <c:v>8.5100000000000016</c:v>
              </c:pt>
              <c:pt idx="1938">
                <c:v>8.5100000000000016</c:v>
              </c:pt>
              <c:pt idx="1939">
                <c:v>8.5100000000000016</c:v>
              </c:pt>
              <c:pt idx="1940">
                <c:v>8.5100000000000016</c:v>
              </c:pt>
              <c:pt idx="1941">
                <c:v>8.5100000000000016</c:v>
              </c:pt>
              <c:pt idx="1942">
                <c:v>8.5100000000000016</c:v>
              </c:pt>
              <c:pt idx="1943">
                <c:v>8.5100000000000016</c:v>
              </c:pt>
              <c:pt idx="1944">
                <c:v>8.5100000000000016</c:v>
              </c:pt>
              <c:pt idx="1945">
                <c:v>8.5100000000000016</c:v>
              </c:pt>
              <c:pt idx="1946">
                <c:v>8.5100000000000016</c:v>
              </c:pt>
              <c:pt idx="1947">
                <c:v>8.5100000000000016</c:v>
              </c:pt>
              <c:pt idx="1948">
                <c:v>8.5100000000000016</c:v>
              </c:pt>
              <c:pt idx="1949">
                <c:v>8.5100000000000016</c:v>
              </c:pt>
              <c:pt idx="1950">
                <c:v>8.5100000000000016</c:v>
              </c:pt>
              <c:pt idx="1951">
                <c:v>8.5100000000000016</c:v>
              </c:pt>
              <c:pt idx="1952">
                <c:v>8.5100000000000016</c:v>
              </c:pt>
              <c:pt idx="1953">
                <c:v>8.5100000000000016</c:v>
              </c:pt>
              <c:pt idx="1954">
                <c:v>8.5100000000000016</c:v>
              </c:pt>
              <c:pt idx="1955">
                <c:v>8.5100000000000016</c:v>
              </c:pt>
              <c:pt idx="1956">
                <c:v>8.5100000000000016</c:v>
              </c:pt>
              <c:pt idx="1957">
                <c:v>8.5100000000000016</c:v>
              </c:pt>
              <c:pt idx="1958">
                <c:v>8.5100000000000016</c:v>
              </c:pt>
              <c:pt idx="1959">
                <c:v>8.5100000000000016</c:v>
              </c:pt>
              <c:pt idx="1960">
                <c:v>8.5100000000000016</c:v>
              </c:pt>
              <c:pt idx="1961">
                <c:v>8.5100000000000016</c:v>
              </c:pt>
              <c:pt idx="1962">
                <c:v>8.5100000000000016</c:v>
              </c:pt>
              <c:pt idx="1963">
                <c:v>8.5100000000000016</c:v>
              </c:pt>
              <c:pt idx="1964">
                <c:v>8.5100000000000016</c:v>
              </c:pt>
              <c:pt idx="1965">
                <c:v>8.5100000000000016</c:v>
              </c:pt>
              <c:pt idx="1966">
                <c:v>8.5100000000000016</c:v>
              </c:pt>
              <c:pt idx="1967">
                <c:v>8.5100000000000016</c:v>
              </c:pt>
              <c:pt idx="1968">
                <c:v>8.5100000000000016</c:v>
              </c:pt>
              <c:pt idx="1969">
                <c:v>8.5100000000000016</c:v>
              </c:pt>
              <c:pt idx="1970">
                <c:v>8.5100000000000016</c:v>
              </c:pt>
              <c:pt idx="1971">
                <c:v>8.5100000000000016</c:v>
              </c:pt>
              <c:pt idx="1972">
                <c:v>8.5100000000000016</c:v>
              </c:pt>
              <c:pt idx="1973">
                <c:v>8.5100000000000016</c:v>
              </c:pt>
              <c:pt idx="1974">
                <c:v>8.5100000000000016</c:v>
              </c:pt>
              <c:pt idx="1975">
                <c:v>8.5100000000000016</c:v>
              </c:pt>
              <c:pt idx="1976">
                <c:v>8.5100000000000016</c:v>
              </c:pt>
              <c:pt idx="1977">
                <c:v>8.5100000000000016</c:v>
              </c:pt>
              <c:pt idx="1978">
                <c:v>8.5100000000000016</c:v>
              </c:pt>
              <c:pt idx="1979">
                <c:v>8.5100000000000016</c:v>
              </c:pt>
              <c:pt idx="1980">
                <c:v>8.5100000000000016</c:v>
              </c:pt>
              <c:pt idx="1981">
                <c:v>8.5100000000000016</c:v>
              </c:pt>
              <c:pt idx="1982">
                <c:v>8.5100000000000016</c:v>
              </c:pt>
              <c:pt idx="1983">
                <c:v>8.5100000000000016</c:v>
              </c:pt>
              <c:pt idx="1984">
                <c:v>8.5100000000000016</c:v>
              </c:pt>
              <c:pt idx="1985">
                <c:v>8.5100000000000016</c:v>
              </c:pt>
              <c:pt idx="1986">
                <c:v>8.5100000000000016</c:v>
              </c:pt>
              <c:pt idx="1987">
                <c:v>8.5100000000000016</c:v>
              </c:pt>
              <c:pt idx="1988">
                <c:v>8.5100000000000016</c:v>
              </c:pt>
              <c:pt idx="1989">
                <c:v>8.5100000000000016</c:v>
              </c:pt>
              <c:pt idx="1990">
                <c:v>8.5100000000000016</c:v>
              </c:pt>
              <c:pt idx="1991">
                <c:v>8.5100000000000016</c:v>
              </c:pt>
              <c:pt idx="1992">
                <c:v>8.5100000000000016</c:v>
              </c:pt>
              <c:pt idx="1993">
                <c:v>8.5100000000000016</c:v>
              </c:pt>
              <c:pt idx="1994">
                <c:v>8.5100000000000016</c:v>
              </c:pt>
              <c:pt idx="1995">
                <c:v>8.5100000000000016</c:v>
              </c:pt>
              <c:pt idx="1996">
                <c:v>8.5100000000000016</c:v>
              </c:pt>
              <c:pt idx="1997">
                <c:v>8.5100000000000016</c:v>
              </c:pt>
              <c:pt idx="1998">
                <c:v>8.5100000000000016</c:v>
              </c:pt>
              <c:pt idx="1999">
                <c:v>8.5100000000000016</c:v>
              </c:pt>
              <c:pt idx="2000">
                <c:v>8.5100000000000016</c:v>
              </c:pt>
              <c:pt idx="2001">
                <c:v>8.5100000000000016</c:v>
              </c:pt>
              <c:pt idx="2002">
                <c:v>8.5100000000000016</c:v>
              </c:pt>
              <c:pt idx="2003">
                <c:v>8.5100000000000016</c:v>
              </c:pt>
              <c:pt idx="2004">
                <c:v>8.5100000000000016</c:v>
              </c:pt>
              <c:pt idx="2005">
                <c:v>8.5100000000000016</c:v>
              </c:pt>
              <c:pt idx="2006">
                <c:v>8.5100000000000016</c:v>
              </c:pt>
              <c:pt idx="2007">
                <c:v>8.5100000000000016</c:v>
              </c:pt>
              <c:pt idx="2008">
                <c:v>8.5100000000000016</c:v>
              </c:pt>
              <c:pt idx="2009">
                <c:v>8.5100000000000016</c:v>
              </c:pt>
              <c:pt idx="2010">
                <c:v>8.5100000000000016</c:v>
              </c:pt>
              <c:pt idx="2011">
                <c:v>8.5100000000000016</c:v>
              </c:pt>
              <c:pt idx="2012">
                <c:v>8.5100000000000016</c:v>
              </c:pt>
              <c:pt idx="2013">
                <c:v>8.5100000000000016</c:v>
              </c:pt>
              <c:pt idx="2014">
                <c:v>8.5100000000000016</c:v>
              </c:pt>
              <c:pt idx="2015">
                <c:v>8.5100000000000016</c:v>
              </c:pt>
              <c:pt idx="2016">
                <c:v>8.5100000000000016</c:v>
              </c:pt>
              <c:pt idx="2017">
                <c:v>8.5100000000000016</c:v>
              </c:pt>
              <c:pt idx="2018">
                <c:v>8.5100000000000016</c:v>
              </c:pt>
              <c:pt idx="2019">
                <c:v>8.5100000000000016</c:v>
              </c:pt>
              <c:pt idx="2020">
                <c:v>8.5100000000000016</c:v>
              </c:pt>
              <c:pt idx="2021">
                <c:v>8.5100000000000016</c:v>
              </c:pt>
              <c:pt idx="2022">
                <c:v>8.5100000000000016</c:v>
              </c:pt>
              <c:pt idx="2023">
                <c:v>8.5100000000000016</c:v>
              </c:pt>
              <c:pt idx="2024">
                <c:v>8.5100000000000016</c:v>
              </c:pt>
              <c:pt idx="2025">
                <c:v>8.5100000000000016</c:v>
              </c:pt>
              <c:pt idx="2026">
                <c:v>8.5100000000000016</c:v>
              </c:pt>
              <c:pt idx="2027">
                <c:v>8.5100000000000016</c:v>
              </c:pt>
              <c:pt idx="2028">
                <c:v>8.5100000000000016</c:v>
              </c:pt>
              <c:pt idx="2029">
                <c:v>8.5100000000000016</c:v>
              </c:pt>
              <c:pt idx="2030">
                <c:v>8.5100000000000016</c:v>
              </c:pt>
              <c:pt idx="2031">
                <c:v>8.5100000000000016</c:v>
              </c:pt>
              <c:pt idx="2032">
                <c:v>8.5100000000000016</c:v>
              </c:pt>
              <c:pt idx="2033">
                <c:v>8.5100000000000016</c:v>
              </c:pt>
              <c:pt idx="2034">
                <c:v>8.5100000000000016</c:v>
              </c:pt>
              <c:pt idx="2035">
                <c:v>8.5100000000000016</c:v>
              </c:pt>
              <c:pt idx="2036">
                <c:v>8.5100000000000016</c:v>
              </c:pt>
              <c:pt idx="2037">
                <c:v>8.5100000000000016</c:v>
              </c:pt>
              <c:pt idx="2038">
                <c:v>8.5100000000000016</c:v>
              </c:pt>
              <c:pt idx="2039">
                <c:v>8.5100000000000016</c:v>
              </c:pt>
              <c:pt idx="2040">
                <c:v>8.5100000000000016</c:v>
              </c:pt>
              <c:pt idx="2041">
                <c:v>8.5100000000000016</c:v>
              </c:pt>
              <c:pt idx="2043">
                <c:v>6.59</c:v>
              </c:pt>
              <c:pt idx="2044">
                <c:v>6.59</c:v>
              </c:pt>
              <c:pt idx="2045">
                <c:v>6.59</c:v>
              </c:pt>
              <c:pt idx="2046">
                <c:v>6.59</c:v>
              </c:pt>
              <c:pt idx="2047">
                <c:v>6.59</c:v>
              </c:pt>
              <c:pt idx="2048">
                <c:v>6.59</c:v>
              </c:pt>
              <c:pt idx="2049">
                <c:v>6.59</c:v>
              </c:pt>
              <c:pt idx="2050">
                <c:v>6.59</c:v>
              </c:pt>
              <c:pt idx="2051">
                <c:v>6.59</c:v>
              </c:pt>
              <c:pt idx="2052">
                <c:v>6.59</c:v>
              </c:pt>
              <c:pt idx="2053">
                <c:v>6.59</c:v>
              </c:pt>
              <c:pt idx="2054">
                <c:v>6.59</c:v>
              </c:pt>
              <c:pt idx="2055">
                <c:v>6.59</c:v>
              </c:pt>
              <c:pt idx="2056">
                <c:v>6.59</c:v>
              </c:pt>
              <c:pt idx="2057">
                <c:v>6.59</c:v>
              </c:pt>
              <c:pt idx="2058">
                <c:v>6.59</c:v>
              </c:pt>
              <c:pt idx="2059">
                <c:v>6.59</c:v>
              </c:pt>
              <c:pt idx="2060">
                <c:v>6.59</c:v>
              </c:pt>
              <c:pt idx="2061">
                <c:v>6.59</c:v>
              </c:pt>
              <c:pt idx="2062">
                <c:v>6.59</c:v>
              </c:pt>
              <c:pt idx="2063">
                <c:v>6.59</c:v>
              </c:pt>
              <c:pt idx="2064">
                <c:v>6.59</c:v>
              </c:pt>
              <c:pt idx="2065">
                <c:v>6.59</c:v>
              </c:pt>
              <c:pt idx="2066">
                <c:v>6.59</c:v>
              </c:pt>
              <c:pt idx="2067">
                <c:v>6.59</c:v>
              </c:pt>
              <c:pt idx="2068">
                <c:v>6.59</c:v>
              </c:pt>
              <c:pt idx="2069">
                <c:v>6.59</c:v>
              </c:pt>
              <c:pt idx="2070">
                <c:v>6.59</c:v>
              </c:pt>
              <c:pt idx="2071">
                <c:v>6.59</c:v>
              </c:pt>
              <c:pt idx="2072">
                <c:v>6.59</c:v>
              </c:pt>
              <c:pt idx="2073">
                <c:v>6.59</c:v>
              </c:pt>
              <c:pt idx="2074">
                <c:v>6.59</c:v>
              </c:pt>
              <c:pt idx="2075">
                <c:v>6.59</c:v>
              </c:pt>
              <c:pt idx="2076">
                <c:v>6.59</c:v>
              </c:pt>
              <c:pt idx="2077">
                <c:v>6.59</c:v>
              </c:pt>
              <c:pt idx="2078">
                <c:v>6.59</c:v>
              </c:pt>
              <c:pt idx="2079">
                <c:v>6.59</c:v>
              </c:pt>
              <c:pt idx="2080">
                <c:v>6.59</c:v>
              </c:pt>
              <c:pt idx="2081">
                <c:v>6.59</c:v>
              </c:pt>
              <c:pt idx="2082">
                <c:v>6.59</c:v>
              </c:pt>
              <c:pt idx="2083">
                <c:v>6.59</c:v>
              </c:pt>
              <c:pt idx="2084">
                <c:v>6.59</c:v>
              </c:pt>
              <c:pt idx="2085">
                <c:v>6.59</c:v>
              </c:pt>
              <c:pt idx="2086">
                <c:v>6.59</c:v>
              </c:pt>
              <c:pt idx="2087">
                <c:v>6.59</c:v>
              </c:pt>
              <c:pt idx="2088">
                <c:v>6.59</c:v>
              </c:pt>
              <c:pt idx="2089">
                <c:v>6.59</c:v>
              </c:pt>
              <c:pt idx="2090">
                <c:v>6.59</c:v>
              </c:pt>
              <c:pt idx="2091">
                <c:v>6.59</c:v>
              </c:pt>
              <c:pt idx="2092">
                <c:v>6.59</c:v>
              </c:pt>
              <c:pt idx="2093">
                <c:v>6.59</c:v>
              </c:pt>
              <c:pt idx="2094">
                <c:v>6.59</c:v>
              </c:pt>
              <c:pt idx="2095">
                <c:v>6.59</c:v>
              </c:pt>
              <c:pt idx="2096">
                <c:v>6.59</c:v>
              </c:pt>
              <c:pt idx="2097">
                <c:v>6.59</c:v>
              </c:pt>
              <c:pt idx="2098">
                <c:v>6.59</c:v>
              </c:pt>
              <c:pt idx="2099">
                <c:v>6.59</c:v>
              </c:pt>
              <c:pt idx="2100">
                <c:v>6.59</c:v>
              </c:pt>
              <c:pt idx="2101">
                <c:v>6.59</c:v>
              </c:pt>
              <c:pt idx="2102">
                <c:v>6.59</c:v>
              </c:pt>
              <c:pt idx="2103">
                <c:v>6.59</c:v>
              </c:pt>
              <c:pt idx="2104">
                <c:v>6.59</c:v>
              </c:pt>
              <c:pt idx="2105">
                <c:v>6.59</c:v>
              </c:pt>
              <c:pt idx="2106">
                <c:v>6.59</c:v>
              </c:pt>
              <c:pt idx="2107">
                <c:v>6.59</c:v>
              </c:pt>
              <c:pt idx="2108">
                <c:v>6.59</c:v>
              </c:pt>
              <c:pt idx="2109">
                <c:v>6.59</c:v>
              </c:pt>
              <c:pt idx="2110">
                <c:v>6.59</c:v>
              </c:pt>
              <c:pt idx="2111">
                <c:v>6.59</c:v>
              </c:pt>
              <c:pt idx="2112">
                <c:v>6.59</c:v>
              </c:pt>
              <c:pt idx="2113">
                <c:v>6.59</c:v>
              </c:pt>
              <c:pt idx="2114">
                <c:v>6.59</c:v>
              </c:pt>
              <c:pt idx="2115">
                <c:v>6.59</c:v>
              </c:pt>
              <c:pt idx="2116">
                <c:v>6.59</c:v>
              </c:pt>
              <c:pt idx="2117">
                <c:v>6.59</c:v>
              </c:pt>
              <c:pt idx="2118">
                <c:v>6.59</c:v>
              </c:pt>
              <c:pt idx="2119">
                <c:v>6.59</c:v>
              </c:pt>
              <c:pt idx="2120">
                <c:v>6.59</c:v>
              </c:pt>
              <c:pt idx="2121">
                <c:v>6.59</c:v>
              </c:pt>
              <c:pt idx="2122">
                <c:v>6.59</c:v>
              </c:pt>
              <c:pt idx="2123">
                <c:v>6.59</c:v>
              </c:pt>
              <c:pt idx="2124">
                <c:v>6.59</c:v>
              </c:pt>
              <c:pt idx="2125">
                <c:v>6.59</c:v>
              </c:pt>
              <c:pt idx="2126">
                <c:v>6.59</c:v>
              </c:pt>
              <c:pt idx="2127">
                <c:v>6.59</c:v>
              </c:pt>
              <c:pt idx="2128">
                <c:v>6.59</c:v>
              </c:pt>
              <c:pt idx="2129">
                <c:v>6.59</c:v>
              </c:pt>
              <c:pt idx="2130">
                <c:v>6.59</c:v>
              </c:pt>
              <c:pt idx="2131">
                <c:v>6.59</c:v>
              </c:pt>
              <c:pt idx="2132">
                <c:v>6.59</c:v>
              </c:pt>
              <c:pt idx="2133">
                <c:v>6.59</c:v>
              </c:pt>
              <c:pt idx="2134">
                <c:v>6.59</c:v>
              </c:pt>
              <c:pt idx="2135">
                <c:v>6.59</c:v>
              </c:pt>
              <c:pt idx="2136">
                <c:v>6.59</c:v>
              </c:pt>
              <c:pt idx="2137">
                <c:v>6.59</c:v>
              </c:pt>
              <c:pt idx="2138">
                <c:v>6.59</c:v>
              </c:pt>
              <c:pt idx="2139">
                <c:v>6.59</c:v>
              </c:pt>
              <c:pt idx="2140">
                <c:v>6.59</c:v>
              </c:pt>
              <c:pt idx="2141">
                <c:v>6.59</c:v>
              </c:pt>
              <c:pt idx="2142">
                <c:v>6.59</c:v>
              </c:pt>
              <c:pt idx="2143">
                <c:v>6.59</c:v>
              </c:pt>
              <c:pt idx="2144">
                <c:v>6.59</c:v>
              </c:pt>
              <c:pt idx="2145">
                <c:v>6.59</c:v>
              </c:pt>
              <c:pt idx="2146">
                <c:v>6.59</c:v>
              </c:pt>
              <c:pt idx="2147">
                <c:v>6.59</c:v>
              </c:pt>
              <c:pt idx="2148">
                <c:v>6.59</c:v>
              </c:pt>
              <c:pt idx="2149">
                <c:v>6.59</c:v>
              </c:pt>
              <c:pt idx="2150">
                <c:v>6.59</c:v>
              </c:pt>
              <c:pt idx="2151">
                <c:v>6.59</c:v>
              </c:pt>
              <c:pt idx="2152">
                <c:v>6.59</c:v>
              </c:pt>
              <c:pt idx="2153">
                <c:v>6.59</c:v>
              </c:pt>
              <c:pt idx="2154">
                <c:v>6.59</c:v>
              </c:pt>
              <c:pt idx="2155">
                <c:v>6.59</c:v>
              </c:pt>
              <c:pt idx="2156">
                <c:v>6.59</c:v>
              </c:pt>
              <c:pt idx="2157">
                <c:v>6.59</c:v>
              </c:pt>
              <c:pt idx="2158">
                <c:v>6.59</c:v>
              </c:pt>
              <c:pt idx="2159">
                <c:v>6.59</c:v>
              </c:pt>
              <c:pt idx="2160">
                <c:v>6.59</c:v>
              </c:pt>
              <c:pt idx="2161">
                <c:v>6.59</c:v>
              </c:pt>
              <c:pt idx="2162">
                <c:v>6.59</c:v>
              </c:pt>
              <c:pt idx="2163">
                <c:v>6.59</c:v>
              </c:pt>
              <c:pt idx="2164">
                <c:v>6.59</c:v>
              </c:pt>
              <c:pt idx="2165">
                <c:v>6.59</c:v>
              </c:pt>
              <c:pt idx="2166">
                <c:v>6.59</c:v>
              </c:pt>
              <c:pt idx="2167">
                <c:v>6.59</c:v>
              </c:pt>
              <c:pt idx="2168">
                <c:v>6.59</c:v>
              </c:pt>
              <c:pt idx="2169">
                <c:v>6.59</c:v>
              </c:pt>
              <c:pt idx="2170">
                <c:v>6.59</c:v>
              </c:pt>
              <c:pt idx="2171">
                <c:v>6.59</c:v>
              </c:pt>
              <c:pt idx="2172">
                <c:v>6.59</c:v>
              </c:pt>
              <c:pt idx="2173">
                <c:v>6.59</c:v>
              </c:pt>
              <c:pt idx="2174">
                <c:v>6.59</c:v>
              </c:pt>
              <c:pt idx="2175">
                <c:v>6.59</c:v>
              </c:pt>
              <c:pt idx="2176">
                <c:v>6.59</c:v>
              </c:pt>
              <c:pt idx="2177">
                <c:v>6.59</c:v>
              </c:pt>
              <c:pt idx="2178">
                <c:v>6.59</c:v>
              </c:pt>
              <c:pt idx="2179">
                <c:v>6.59</c:v>
              </c:pt>
              <c:pt idx="2180">
                <c:v>6.59</c:v>
              </c:pt>
              <c:pt idx="2181">
                <c:v>6.59</c:v>
              </c:pt>
              <c:pt idx="2182">
                <c:v>6.59</c:v>
              </c:pt>
              <c:pt idx="2183">
                <c:v>6.59</c:v>
              </c:pt>
              <c:pt idx="2184">
                <c:v>6.59</c:v>
              </c:pt>
              <c:pt idx="2185">
                <c:v>6.59</c:v>
              </c:pt>
              <c:pt idx="2186">
                <c:v>6.59</c:v>
              </c:pt>
              <c:pt idx="2187">
                <c:v>6.59</c:v>
              </c:pt>
              <c:pt idx="2188">
                <c:v>6.59</c:v>
              </c:pt>
              <c:pt idx="2189">
                <c:v>6.59</c:v>
              </c:pt>
              <c:pt idx="2190">
                <c:v>6.59</c:v>
              </c:pt>
              <c:pt idx="2191">
                <c:v>6.59</c:v>
              </c:pt>
              <c:pt idx="2192">
                <c:v>6.59</c:v>
              </c:pt>
              <c:pt idx="2193">
                <c:v>6.59</c:v>
              </c:pt>
              <c:pt idx="2194">
                <c:v>6.59</c:v>
              </c:pt>
              <c:pt idx="2195">
                <c:v>6.59</c:v>
              </c:pt>
              <c:pt idx="2196">
                <c:v>6.59</c:v>
              </c:pt>
              <c:pt idx="2197">
                <c:v>6.59</c:v>
              </c:pt>
              <c:pt idx="2198">
                <c:v>6.59</c:v>
              </c:pt>
              <c:pt idx="2199">
                <c:v>6.59</c:v>
              </c:pt>
              <c:pt idx="2200">
                <c:v>6.59</c:v>
              </c:pt>
              <c:pt idx="2201">
                <c:v>6.59</c:v>
              </c:pt>
              <c:pt idx="2202">
                <c:v>6.59</c:v>
              </c:pt>
              <c:pt idx="2203">
                <c:v>6.59</c:v>
              </c:pt>
              <c:pt idx="2204">
                <c:v>6.59</c:v>
              </c:pt>
              <c:pt idx="2205">
                <c:v>6.59</c:v>
              </c:pt>
              <c:pt idx="2206">
                <c:v>6.59</c:v>
              </c:pt>
              <c:pt idx="2207">
                <c:v>6.59</c:v>
              </c:pt>
              <c:pt idx="2208">
                <c:v>6.59</c:v>
              </c:pt>
              <c:pt idx="2209">
                <c:v>6.59</c:v>
              </c:pt>
              <c:pt idx="2210">
                <c:v>6.59</c:v>
              </c:pt>
              <c:pt idx="2211">
                <c:v>6.59</c:v>
              </c:pt>
              <c:pt idx="2212">
                <c:v>6.59</c:v>
              </c:pt>
              <c:pt idx="2213">
                <c:v>6.59</c:v>
              </c:pt>
              <c:pt idx="2214">
                <c:v>6.59</c:v>
              </c:pt>
              <c:pt idx="2215">
                <c:v>6.59</c:v>
              </c:pt>
              <c:pt idx="2216">
                <c:v>6.59</c:v>
              </c:pt>
              <c:pt idx="2217">
                <c:v>6.59</c:v>
              </c:pt>
              <c:pt idx="2218">
                <c:v>6.59</c:v>
              </c:pt>
              <c:pt idx="2219">
                <c:v>6.59</c:v>
              </c:pt>
              <c:pt idx="2220">
                <c:v>6.59</c:v>
              </c:pt>
              <c:pt idx="2221">
                <c:v>6.59</c:v>
              </c:pt>
              <c:pt idx="2222">
                <c:v>6.59</c:v>
              </c:pt>
              <c:pt idx="2223">
                <c:v>6.59</c:v>
              </c:pt>
              <c:pt idx="2224">
                <c:v>6.59</c:v>
              </c:pt>
              <c:pt idx="2225">
                <c:v>6.59</c:v>
              </c:pt>
              <c:pt idx="2226">
                <c:v>6.59</c:v>
              </c:pt>
              <c:pt idx="2227">
                <c:v>6.59</c:v>
              </c:pt>
              <c:pt idx="2228">
                <c:v>6.59</c:v>
              </c:pt>
              <c:pt idx="2229">
                <c:v>6.59</c:v>
              </c:pt>
              <c:pt idx="2230">
                <c:v>6.59</c:v>
              </c:pt>
              <c:pt idx="2231">
                <c:v>6.59</c:v>
              </c:pt>
              <c:pt idx="2232">
                <c:v>6.59</c:v>
              </c:pt>
              <c:pt idx="2233">
                <c:v>6.59</c:v>
              </c:pt>
              <c:pt idx="2234">
                <c:v>6.59</c:v>
              </c:pt>
              <c:pt idx="2235">
                <c:v>6.59</c:v>
              </c:pt>
              <c:pt idx="2236">
                <c:v>6.59</c:v>
              </c:pt>
              <c:pt idx="2237">
                <c:v>6.59</c:v>
              </c:pt>
              <c:pt idx="2238">
                <c:v>6.59</c:v>
              </c:pt>
              <c:pt idx="2239">
                <c:v>6.59</c:v>
              </c:pt>
              <c:pt idx="2240">
                <c:v>6.59</c:v>
              </c:pt>
              <c:pt idx="2241">
                <c:v>6.59</c:v>
              </c:pt>
              <c:pt idx="2242">
                <c:v>6.59</c:v>
              </c:pt>
              <c:pt idx="2243">
                <c:v>6.59</c:v>
              </c:pt>
              <c:pt idx="2244">
                <c:v>6.59</c:v>
              </c:pt>
              <c:pt idx="2245">
                <c:v>6.59</c:v>
              </c:pt>
              <c:pt idx="2246">
                <c:v>6.59</c:v>
              </c:pt>
              <c:pt idx="2247">
                <c:v>6.59</c:v>
              </c:pt>
              <c:pt idx="2248">
                <c:v>6.59</c:v>
              </c:pt>
              <c:pt idx="2249">
                <c:v>6.59</c:v>
              </c:pt>
              <c:pt idx="2250">
                <c:v>6.59</c:v>
              </c:pt>
              <c:pt idx="2251">
                <c:v>6.59</c:v>
              </c:pt>
              <c:pt idx="2252">
                <c:v>6.59</c:v>
              </c:pt>
              <c:pt idx="2253">
                <c:v>6.59</c:v>
              </c:pt>
              <c:pt idx="2254">
                <c:v>6.59</c:v>
              </c:pt>
              <c:pt idx="2255">
                <c:v>6.59</c:v>
              </c:pt>
              <c:pt idx="2256">
                <c:v>6.59</c:v>
              </c:pt>
              <c:pt idx="2257">
                <c:v>6.59</c:v>
              </c:pt>
              <c:pt idx="2258">
                <c:v>6.59</c:v>
              </c:pt>
              <c:pt idx="2259">
                <c:v>6.59</c:v>
              </c:pt>
              <c:pt idx="2260">
                <c:v>6.59</c:v>
              </c:pt>
              <c:pt idx="2261">
                <c:v>6.59</c:v>
              </c:pt>
              <c:pt idx="2262">
                <c:v>6.59</c:v>
              </c:pt>
              <c:pt idx="2263">
                <c:v>6.59</c:v>
              </c:pt>
              <c:pt idx="2264">
                <c:v>6.59</c:v>
              </c:pt>
              <c:pt idx="2265">
                <c:v>6.59</c:v>
              </c:pt>
              <c:pt idx="2266">
                <c:v>6.59</c:v>
              </c:pt>
              <c:pt idx="2267">
                <c:v>6.59</c:v>
              </c:pt>
              <c:pt idx="2268">
                <c:v>6.59</c:v>
              </c:pt>
              <c:pt idx="2269">
                <c:v>6.59</c:v>
              </c:pt>
              <c:pt idx="2270">
                <c:v>6.59</c:v>
              </c:pt>
              <c:pt idx="2271">
                <c:v>6.59</c:v>
              </c:pt>
              <c:pt idx="2272">
                <c:v>6.59</c:v>
              </c:pt>
              <c:pt idx="2273">
                <c:v>6.59</c:v>
              </c:pt>
              <c:pt idx="2274">
                <c:v>6.59</c:v>
              </c:pt>
              <c:pt idx="2275">
                <c:v>6.59</c:v>
              </c:pt>
              <c:pt idx="2276">
                <c:v>6.59</c:v>
              </c:pt>
              <c:pt idx="2277">
                <c:v>6.59</c:v>
              </c:pt>
              <c:pt idx="2278">
                <c:v>6.59</c:v>
              </c:pt>
              <c:pt idx="2279">
                <c:v>6.59</c:v>
              </c:pt>
              <c:pt idx="2280">
                <c:v>6.59</c:v>
              </c:pt>
              <c:pt idx="2281">
                <c:v>6.59</c:v>
              </c:pt>
              <c:pt idx="2282">
                <c:v>6.59</c:v>
              </c:pt>
              <c:pt idx="2283">
                <c:v>6.59</c:v>
              </c:pt>
              <c:pt idx="2284">
                <c:v>6.59</c:v>
              </c:pt>
              <c:pt idx="2285">
                <c:v>6.59</c:v>
              </c:pt>
              <c:pt idx="2286">
                <c:v>6.59</c:v>
              </c:pt>
              <c:pt idx="2287">
                <c:v>6.59</c:v>
              </c:pt>
              <c:pt idx="2288">
                <c:v>6.59</c:v>
              </c:pt>
              <c:pt idx="2289">
                <c:v>6.59</c:v>
              </c:pt>
              <c:pt idx="2290">
                <c:v>6.59</c:v>
              </c:pt>
              <c:pt idx="2291">
                <c:v>6.59</c:v>
              </c:pt>
              <c:pt idx="2292">
                <c:v>6.59</c:v>
              </c:pt>
              <c:pt idx="2293">
                <c:v>6.59</c:v>
              </c:pt>
              <c:pt idx="2294">
                <c:v>6.59</c:v>
              </c:pt>
              <c:pt idx="2295">
                <c:v>6.59</c:v>
              </c:pt>
              <c:pt idx="2296">
                <c:v>6.59</c:v>
              </c:pt>
              <c:pt idx="2297">
                <c:v>6.59</c:v>
              </c:pt>
              <c:pt idx="2298">
                <c:v>6.59</c:v>
              </c:pt>
              <c:pt idx="2299">
                <c:v>6.59</c:v>
              </c:pt>
              <c:pt idx="2300">
                <c:v>6.59</c:v>
              </c:pt>
              <c:pt idx="2301">
                <c:v>6.59</c:v>
              </c:pt>
              <c:pt idx="2302">
                <c:v>6.59</c:v>
              </c:pt>
              <c:pt idx="2303">
                <c:v>6.59</c:v>
              </c:pt>
              <c:pt idx="2304">
                <c:v>6.59</c:v>
              </c:pt>
              <c:pt idx="2305">
                <c:v>6.59</c:v>
              </c:pt>
              <c:pt idx="2306">
                <c:v>6.59</c:v>
              </c:pt>
              <c:pt idx="2307">
                <c:v>6.59</c:v>
              </c:pt>
              <c:pt idx="2308">
                <c:v>6.59</c:v>
              </c:pt>
              <c:pt idx="2309">
                <c:v>6.59</c:v>
              </c:pt>
              <c:pt idx="2310">
                <c:v>6.59</c:v>
              </c:pt>
              <c:pt idx="2311">
                <c:v>6.59</c:v>
              </c:pt>
              <c:pt idx="2312">
                <c:v>6.59</c:v>
              </c:pt>
              <c:pt idx="2313">
                <c:v>6.59</c:v>
              </c:pt>
              <c:pt idx="2314">
                <c:v>6.59</c:v>
              </c:pt>
              <c:pt idx="2315">
                <c:v>6.59</c:v>
              </c:pt>
              <c:pt idx="2316">
                <c:v>6.59</c:v>
              </c:pt>
              <c:pt idx="2317">
                <c:v>6.59</c:v>
              </c:pt>
              <c:pt idx="2318">
                <c:v>6.59</c:v>
              </c:pt>
              <c:pt idx="2319">
                <c:v>6.59</c:v>
              </c:pt>
              <c:pt idx="2320">
                <c:v>6.59</c:v>
              </c:pt>
              <c:pt idx="2321">
                <c:v>6.59</c:v>
              </c:pt>
              <c:pt idx="2322">
                <c:v>6.59</c:v>
              </c:pt>
              <c:pt idx="2323">
                <c:v>6.59</c:v>
              </c:pt>
              <c:pt idx="2324">
                <c:v>6.59</c:v>
              </c:pt>
              <c:pt idx="2325">
                <c:v>6.59</c:v>
              </c:pt>
              <c:pt idx="2326">
                <c:v>6.59</c:v>
              </c:pt>
              <c:pt idx="2327">
                <c:v>6.59</c:v>
              </c:pt>
              <c:pt idx="2328">
                <c:v>6.59</c:v>
              </c:pt>
              <c:pt idx="2329">
                <c:v>6.59</c:v>
              </c:pt>
              <c:pt idx="2330">
                <c:v>6.59</c:v>
              </c:pt>
              <c:pt idx="2331">
                <c:v>6.59</c:v>
              </c:pt>
              <c:pt idx="2332">
                <c:v>6.59</c:v>
              </c:pt>
              <c:pt idx="2333">
                <c:v>6.59</c:v>
              </c:pt>
              <c:pt idx="2334">
                <c:v>6.59</c:v>
              </c:pt>
              <c:pt idx="2335">
                <c:v>6.59</c:v>
              </c:pt>
              <c:pt idx="2336">
                <c:v>6.59</c:v>
              </c:pt>
              <c:pt idx="2337">
                <c:v>6.59</c:v>
              </c:pt>
              <c:pt idx="2338">
                <c:v>6.59</c:v>
              </c:pt>
              <c:pt idx="2339">
                <c:v>6.59</c:v>
              </c:pt>
              <c:pt idx="2340">
                <c:v>6.59</c:v>
              </c:pt>
              <c:pt idx="2341">
                <c:v>6.59</c:v>
              </c:pt>
              <c:pt idx="2342">
                <c:v>6.59</c:v>
              </c:pt>
              <c:pt idx="2343">
                <c:v>6.59</c:v>
              </c:pt>
              <c:pt idx="2344">
                <c:v>6.59</c:v>
              </c:pt>
              <c:pt idx="2345">
                <c:v>6.59</c:v>
              </c:pt>
              <c:pt idx="2346">
                <c:v>6.59</c:v>
              </c:pt>
              <c:pt idx="2347">
                <c:v>6.59</c:v>
              </c:pt>
              <c:pt idx="2348">
                <c:v>6.59</c:v>
              </c:pt>
              <c:pt idx="2349">
                <c:v>6.59</c:v>
              </c:pt>
              <c:pt idx="2350">
                <c:v>6.59</c:v>
              </c:pt>
              <c:pt idx="2351">
                <c:v>6.59</c:v>
              </c:pt>
              <c:pt idx="2352">
                <c:v>6.59</c:v>
              </c:pt>
              <c:pt idx="2353">
                <c:v>6.59</c:v>
              </c:pt>
              <c:pt idx="2354">
                <c:v>6.59</c:v>
              </c:pt>
              <c:pt idx="2355">
                <c:v>6.59</c:v>
              </c:pt>
              <c:pt idx="2356">
                <c:v>6.59</c:v>
              </c:pt>
              <c:pt idx="2357">
                <c:v>6.59</c:v>
              </c:pt>
              <c:pt idx="2358">
                <c:v>6.59</c:v>
              </c:pt>
              <c:pt idx="2359">
                <c:v>6.59</c:v>
              </c:pt>
              <c:pt idx="2360">
                <c:v>6.59</c:v>
              </c:pt>
              <c:pt idx="2361">
                <c:v>6.59</c:v>
              </c:pt>
              <c:pt idx="2362">
                <c:v>6.59</c:v>
              </c:pt>
              <c:pt idx="2363">
                <c:v>6.59</c:v>
              </c:pt>
              <c:pt idx="2364">
                <c:v>6.59</c:v>
              </c:pt>
              <c:pt idx="2365">
                <c:v>6.59</c:v>
              </c:pt>
              <c:pt idx="2366">
                <c:v>6.59</c:v>
              </c:pt>
              <c:pt idx="2367">
                <c:v>6.59</c:v>
              </c:pt>
              <c:pt idx="2368">
                <c:v>6.59</c:v>
              </c:pt>
              <c:pt idx="2369">
                <c:v>6.59</c:v>
              </c:pt>
              <c:pt idx="2370">
                <c:v>6.59</c:v>
              </c:pt>
              <c:pt idx="2371">
                <c:v>6.59</c:v>
              </c:pt>
              <c:pt idx="2372">
                <c:v>6.59</c:v>
              </c:pt>
              <c:pt idx="2373">
                <c:v>6.59</c:v>
              </c:pt>
              <c:pt idx="2374">
                <c:v>6.59</c:v>
              </c:pt>
              <c:pt idx="2375">
                <c:v>6.59</c:v>
              </c:pt>
              <c:pt idx="2376">
                <c:v>6.59</c:v>
              </c:pt>
              <c:pt idx="2377">
                <c:v>6.59</c:v>
              </c:pt>
              <c:pt idx="2378">
                <c:v>6.59</c:v>
              </c:pt>
              <c:pt idx="2379">
                <c:v>6.59</c:v>
              </c:pt>
              <c:pt idx="2380">
                <c:v>6.59</c:v>
              </c:pt>
              <c:pt idx="2381">
                <c:v>6.59</c:v>
              </c:pt>
              <c:pt idx="2382">
                <c:v>6.59</c:v>
              </c:pt>
              <c:pt idx="2383">
                <c:v>6.59</c:v>
              </c:pt>
              <c:pt idx="2384">
                <c:v>6.59</c:v>
              </c:pt>
              <c:pt idx="2385">
                <c:v>6.59</c:v>
              </c:pt>
              <c:pt idx="2386">
                <c:v>6.59</c:v>
              </c:pt>
              <c:pt idx="2387">
                <c:v>6.59</c:v>
              </c:pt>
              <c:pt idx="2388">
                <c:v>6.59</c:v>
              </c:pt>
              <c:pt idx="2389">
                <c:v>6.59</c:v>
              </c:pt>
              <c:pt idx="2390">
                <c:v>6.59</c:v>
              </c:pt>
              <c:pt idx="2391">
                <c:v>6.59</c:v>
              </c:pt>
              <c:pt idx="2392">
                <c:v>6.59</c:v>
              </c:pt>
              <c:pt idx="2393">
                <c:v>6.59</c:v>
              </c:pt>
              <c:pt idx="2394">
                <c:v>6.59</c:v>
              </c:pt>
              <c:pt idx="2395">
                <c:v>6.59</c:v>
              </c:pt>
              <c:pt idx="2396">
                <c:v>6.59</c:v>
              </c:pt>
              <c:pt idx="2397">
                <c:v>6.59</c:v>
              </c:pt>
              <c:pt idx="2398">
                <c:v>6.59</c:v>
              </c:pt>
              <c:pt idx="2399">
                <c:v>6.59</c:v>
              </c:pt>
              <c:pt idx="2400">
                <c:v>6.59</c:v>
              </c:pt>
              <c:pt idx="2401">
                <c:v>6.59</c:v>
              </c:pt>
              <c:pt idx="2402">
                <c:v>6.59</c:v>
              </c:pt>
              <c:pt idx="2403">
                <c:v>6.59</c:v>
              </c:pt>
              <c:pt idx="2404">
                <c:v>6.59</c:v>
              </c:pt>
              <c:pt idx="2405">
                <c:v>6.59</c:v>
              </c:pt>
              <c:pt idx="2406">
                <c:v>6.59</c:v>
              </c:pt>
              <c:pt idx="2407">
                <c:v>6.59</c:v>
              </c:pt>
              <c:pt idx="2408">
                <c:v>6.59</c:v>
              </c:pt>
              <c:pt idx="2409">
                <c:v>6.59</c:v>
              </c:pt>
              <c:pt idx="2410">
                <c:v>6.59</c:v>
              </c:pt>
              <c:pt idx="2411">
                <c:v>6.59</c:v>
              </c:pt>
              <c:pt idx="2412">
                <c:v>6.59</c:v>
              </c:pt>
              <c:pt idx="2413">
                <c:v>6.59</c:v>
              </c:pt>
              <c:pt idx="2414">
                <c:v>6.59</c:v>
              </c:pt>
              <c:pt idx="2415">
                <c:v>6.59</c:v>
              </c:pt>
              <c:pt idx="2416">
                <c:v>6.59</c:v>
              </c:pt>
              <c:pt idx="2417">
                <c:v>6.59</c:v>
              </c:pt>
              <c:pt idx="2418">
                <c:v>6.59</c:v>
              </c:pt>
              <c:pt idx="2419">
                <c:v>6.59</c:v>
              </c:pt>
              <c:pt idx="2420">
                <c:v>6.59</c:v>
              </c:pt>
              <c:pt idx="2421">
                <c:v>6.59</c:v>
              </c:pt>
              <c:pt idx="2422">
                <c:v>6.59</c:v>
              </c:pt>
              <c:pt idx="2423">
                <c:v>6.59</c:v>
              </c:pt>
              <c:pt idx="2424">
                <c:v>6.59</c:v>
              </c:pt>
              <c:pt idx="2425">
                <c:v>6.59</c:v>
              </c:pt>
              <c:pt idx="2426">
                <c:v>6.59</c:v>
              </c:pt>
              <c:pt idx="2427">
                <c:v>6.59</c:v>
              </c:pt>
              <c:pt idx="2428">
                <c:v>6.59</c:v>
              </c:pt>
              <c:pt idx="2429">
                <c:v>6.59</c:v>
              </c:pt>
              <c:pt idx="2430">
                <c:v>6.59</c:v>
              </c:pt>
              <c:pt idx="2431">
                <c:v>6.59</c:v>
              </c:pt>
              <c:pt idx="2432">
                <c:v>6.59</c:v>
              </c:pt>
              <c:pt idx="2433">
                <c:v>6.59</c:v>
              </c:pt>
              <c:pt idx="2434">
                <c:v>6.59</c:v>
              </c:pt>
              <c:pt idx="2435">
                <c:v>6.59</c:v>
              </c:pt>
              <c:pt idx="2436">
                <c:v>6.59</c:v>
              </c:pt>
              <c:pt idx="2437">
                <c:v>6.59</c:v>
              </c:pt>
              <c:pt idx="2438">
                <c:v>6.59</c:v>
              </c:pt>
              <c:pt idx="2439">
                <c:v>6.59</c:v>
              </c:pt>
              <c:pt idx="2440">
                <c:v>6.59</c:v>
              </c:pt>
              <c:pt idx="2441">
                <c:v>6.59</c:v>
              </c:pt>
              <c:pt idx="2442">
                <c:v>6.59</c:v>
              </c:pt>
              <c:pt idx="2443">
                <c:v>6.59</c:v>
              </c:pt>
              <c:pt idx="2444">
                <c:v>6.59</c:v>
              </c:pt>
              <c:pt idx="2445">
                <c:v>6.59</c:v>
              </c:pt>
              <c:pt idx="2446">
                <c:v>6.59</c:v>
              </c:pt>
              <c:pt idx="2447">
                <c:v>6.59</c:v>
              </c:pt>
              <c:pt idx="2448">
                <c:v>6.59</c:v>
              </c:pt>
              <c:pt idx="2449">
                <c:v>6.59</c:v>
              </c:pt>
              <c:pt idx="2450">
                <c:v>6.59</c:v>
              </c:pt>
              <c:pt idx="2451">
                <c:v>6.59</c:v>
              </c:pt>
              <c:pt idx="2452">
                <c:v>6.59</c:v>
              </c:pt>
              <c:pt idx="2453">
                <c:v>6.59</c:v>
              </c:pt>
              <c:pt idx="2454">
                <c:v>6.59</c:v>
              </c:pt>
              <c:pt idx="2455">
                <c:v>6.59</c:v>
              </c:pt>
              <c:pt idx="2456">
                <c:v>6.59</c:v>
              </c:pt>
              <c:pt idx="2457">
                <c:v>6.59</c:v>
              </c:pt>
              <c:pt idx="2458">
                <c:v>6.59</c:v>
              </c:pt>
              <c:pt idx="2459">
                <c:v>6.59</c:v>
              </c:pt>
              <c:pt idx="2460">
                <c:v>6.59</c:v>
              </c:pt>
              <c:pt idx="2461">
                <c:v>6.59</c:v>
              </c:pt>
              <c:pt idx="2462">
                <c:v>6.59</c:v>
              </c:pt>
              <c:pt idx="2463">
                <c:v>6.59</c:v>
              </c:pt>
              <c:pt idx="2464">
                <c:v>6.59</c:v>
              </c:pt>
              <c:pt idx="2465">
                <c:v>6.59</c:v>
              </c:pt>
              <c:pt idx="2466">
                <c:v>6.59</c:v>
              </c:pt>
              <c:pt idx="2467">
                <c:v>6.59</c:v>
              </c:pt>
              <c:pt idx="2468">
                <c:v>6.59</c:v>
              </c:pt>
              <c:pt idx="2469">
                <c:v>6.59</c:v>
              </c:pt>
              <c:pt idx="2470">
                <c:v>6.59</c:v>
              </c:pt>
              <c:pt idx="2471">
                <c:v>6.59</c:v>
              </c:pt>
              <c:pt idx="2472">
                <c:v>6.59</c:v>
              </c:pt>
              <c:pt idx="2473">
                <c:v>6.59</c:v>
              </c:pt>
              <c:pt idx="2474">
                <c:v>6.59</c:v>
              </c:pt>
              <c:pt idx="2475">
                <c:v>6.59</c:v>
              </c:pt>
              <c:pt idx="2476">
                <c:v>6.59</c:v>
              </c:pt>
              <c:pt idx="2477">
                <c:v>6.59</c:v>
              </c:pt>
              <c:pt idx="2478">
                <c:v>6.59</c:v>
              </c:pt>
              <c:pt idx="2479">
                <c:v>6.59</c:v>
              </c:pt>
              <c:pt idx="2480">
                <c:v>6.59</c:v>
              </c:pt>
              <c:pt idx="2481">
                <c:v>6.59</c:v>
              </c:pt>
              <c:pt idx="2482">
                <c:v>6.59</c:v>
              </c:pt>
              <c:pt idx="2483">
                <c:v>6.59</c:v>
              </c:pt>
              <c:pt idx="2484">
                <c:v>6.59</c:v>
              </c:pt>
              <c:pt idx="2485">
                <c:v>6.59</c:v>
              </c:pt>
              <c:pt idx="2486">
                <c:v>6.59</c:v>
              </c:pt>
              <c:pt idx="2487">
                <c:v>6.59</c:v>
              </c:pt>
              <c:pt idx="2488">
                <c:v>6.59</c:v>
              </c:pt>
              <c:pt idx="2489">
                <c:v>6.59</c:v>
              </c:pt>
              <c:pt idx="2490">
                <c:v>6.59</c:v>
              </c:pt>
              <c:pt idx="2491">
                <c:v>6.59</c:v>
              </c:pt>
              <c:pt idx="2492">
                <c:v>6.59</c:v>
              </c:pt>
              <c:pt idx="2493">
                <c:v>6.59</c:v>
              </c:pt>
              <c:pt idx="2494">
                <c:v>6.59</c:v>
              </c:pt>
              <c:pt idx="2495">
                <c:v>6.59</c:v>
              </c:pt>
              <c:pt idx="2496">
                <c:v>6.59</c:v>
              </c:pt>
              <c:pt idx="2497">
                <c:v>6.59</c:v>
              </c:pt>
              <c:pt idx="2498">
                <c:v>6.59</c:v>
              </c:pt>
              <c:pt idx="2499">
                <c:v>6.59</c:v>
              </c:pt>
              <c:pt idx="2500">
                <c:v>6.59</c:v>
              </c:pt>
              <c:pt idx="2501">
                <c:v>6.59</c:v>
              </c:pt>
              <c:pt idx="2502">
                <c:v>6.59</c:v>
              </c:pt>
              <c:pt idx="2503">
                <c:v>6.59</c:v>
              </c:pt>
              <c:pt idx="2504">
                <c:v>6.59</c:v>
              </c:pt>
              <c:pt idx="2505">
                <c:v>6.59</c:v>
              </c:pt>
              <c:pt idx="2506">
                <c:v>6.59</c:v>
              </c:pt>
              <c:pt idx="2507">
                <c:v>6.59</c:v>
              </c:pt>
              <c:pt idx="2508">
                <c:v>6.59</c:v>
              </c:pt>
              <c:pt idx="2509">
                <c:v>6.59</c:v>
              </c:pt>
              <c:pt idx="2510">
                <c:v>6.59</c:v>
              </c:pt>
              <c:pt idx="2511">
                <c:v>6.59</c:v>
              </c:pt>
              <c:pt idx="2512">
                <c:v>6.59</c:v>
              </c:pt>
              <c:pt idx="2513">
                <c:v>6.59</c:v>
              </c:pt>
              <c:pt idx="2514">
                <c:v>6.59</c:v>
              </c:pt>
              <c:pt idx="2515">
                <c:v>6.59</c:v>
              </c:pt>
              <c:pt idx="2516">
                <c:v>6.59</c:v>
              </c:pt>
              <c:pt idx="2517">
                <c:v>6.59</c:v>
              </c:pt>
              <c:pt idx="2518">
                <c:v>6.59</c:v>
              </c:pt>
              <c:pt idx="2519">
                <c:v>6.59</c:v>
              </c:pt>
              <c:pt idx="2520">
                <c:v>6.59</c:v>
              </c:pt>
              <c:pt idx="2521">
                <c:v>6.59</c:v>
              </c:pt>
              <c:pt idx="2522">
                <c:v>6.59</c:v>
              </c:pt>
              <c:pt idx="2523">
                <c:v>6.59</c:v>
              </c:pt>
              <c:pt idx="2524">
                <c:v>6.59</c:v>
              </c:pt>
              <c:pt idx="2525">
                <c:v>6.59</c:v>
              </c:pt>
              <c:pt idx="2526">
                <c:v>6.59</c:v>
              </c:pt>
              <c:pt idx="2527">
                <c:v>6.59</c:v>
              </c:pt>
              <c:pt idx="2528">
                <c:v>6.59</c:v>
              </c:pt>
              <c:pt idx="2529">
                <c:v>6.59</c:v>
              </c:pt>
              <c:pt idx="2530">
                <c:v>6.59</c:v>
              </c:pt>
              <c:pt idx="2531">
                <c:v>6.59</c:v>
              </c:pt>
              <c:pt idx="2532">
                <c:v>6.59</c:v>
              </c:pt>
              <c:pt idx="2533">
                <c:v>6.59</c:v>
              </c:pt>
              <c:pt idx="2534">
                <c:v>6.59</c:v>
              </c:pt>
              <c:pt idx="2535">
                <c:v>6.59</c:v>
              </c:pt>
              <c:pt idx="2536">
                <c:v>6.59</c:v>
              </c:pt>
              <c:pt idx="2537">
                <c:v>6.59</c:v>
              </c:pt>
              <c:pt idx="2538">
                <c:v>6.59</c:v>
              </c:pt>
              <c:pt idx="2539">
                <c:v>6.59</c:v>
              </c:pt>
              <c:pt idx="2540">
                <c:v>6.59</c:v>
              </c:pt>
              <c:pt idx="2541">
                <c:v>6.59</c:v>
              </c:pt>
              <c:pt idx="2542">
                <c:v>6.59</c:v>
              </c:pt>
              <c:pt idx="2543">
                <c:v>6.59</c:v>
              </c:pt>
              <c:pt idx="2544">
                <c:v>6.59</c:v>
              </c:pt>
              <c:pt idx="2545">
                <c:v>6.59</c:v>
              </c:pt>
              <c:pt idx="2546">
                <c:v>6.59</c:v>
              </c:pt>
              <c:pt idx="2547">
                <c:v>6.59</c:v>
              </c:pt>
              <c:pt idx="2548">
                <c:v>6.59</c:v>
              </c:pt>
              <c:pt idx="2549">
                <c:v>6.59</c:v>
              </c:pt>
              <c:pt idx="2550">
                <c:v>6.59</c:v>
              </c:pt>
              <c:pt idx="2551">
                <c:v>6.59</c:v>
              </c:pt>
              <c:pt idx="2552">
                <c:v>6.59</c:v>
              </c:pt>
              <c:pt idx="2553">
                <c:v>6.59</c:v>
              </c:pt>
              <c:pt idx="2554">
                <c:v>6.59</c:v>
              </c:pt>
              <c:pt idx="2555">
                <c:v>6.59</c:v>
              </c:pt>
              <c:pt idx="2556">
                <c:v>6.59</c:v>
              </c:pt>
              <c:pt idx="2557">
                <c:v>6.59</c:v>
              </c:pt>
              <c:pt idx="2558">
                <c:v>6.59</c:v>
              </c:pt>
              <c:pt idx="2559">
                <c:v>6.59</c:v>
              </c:pt>
              <c:pt idx="2560">
                <c:v>6.59</c:v>
              </c:pt>
              <c:pt idx="2561">
                <c:v>6.59</c:v>
              </c:pt>
              <c:pt idx="2562">
                <c:v>6.59</c:v>
              </c:pt>
              <c:pt idx="2563">
                <c:v>6.59</c:v>
              </c:pt>
              <c:pt idx="2564">
                <c:v>6.59</c:v>
              </c:pt>
              <c:pt idx="2565">
                <c:v>6.59</c:v>
              </c:pt>
              <c:pt idx="2566">
                <c:v>6.59</c:v>
              </c:pt>
              <c:pt idx="2567">
                <c:v>6.59</c:v>
              </c:pt>
              <c:pt idx="2568">
                <c:v>6.59</c:v>
              </c:pt>
              <c:pt idx="2569">
                <c:v>6.59</c:v>
              </c:pt>
              <c:pt idx="2570">
                <c:v>6.59</c:v>
              </c:pt>
              <c:pt idx="2571">
                <c:v>6.59</c:v>
              </c:pt>
              <c:pt idx="2572">
                <c:v>6.59</c:v>
              </c:pt>
              <c:pt idx="2573">
                <c:v>6.59</c:v>
              </c:pt>
              <c:pt idx="2574">
                <c:v>6.59</c:v>
              </c:pt>
              <c:pt idx="2575">
                <c:v>6.59</c:v>
              </c:pt>
              <c:pt idx="2576">
                <c:v>6.59</c:v>
              </c:pt>
              <c:pt idx="2577">
                <c:v>6.59</c:v>
              </c:pt>
              <c:pt idx="2578">
                <c:v>6.59</c:v>
              </c:pt>
              <c:pt idx="2579">
                <c:v>6.59</c:v>
              </c:pt>
              <c:pt idx="2580">
                <c:v>6.59</c:v>
              </c:pt>
              <c:pt idx="2581">
                <c:v>6.59</c:v>
              </c:pt>
              <c:pt idx="2582">
                <c:v>6.59</c:v>
              </c:pt>
              <c:pt idx="2583">
                <c:v>6.59</c:v>
              </c:pt>
              <c:pt idx="2584">
                <c:v>6.59</c:v>
              </c:pt>
              <c:pt idx="2585">
                <c:v>6.59</c:v>
              </c:pt>
              <c:pt idx="2586">
                <c:v>6.59</c:v>
              </c:pt>
              <c:pt idx="2587">
                <c:v>6.59</c:v>
              </c:pt>
              <c:pt idx="2588">
                <c:v>6.59</c:v>
              </c:pt>
              <c:pt idx="2589">
                <c:v>6.59</c:v>
              </c:pt>
              <c:pt idx="2590">
                <c:v>6.59</c:v>
              </c:pt>
              <c:pt idx="2591">
                <c:v>6.59</c:v>
              </c:pt>
              <c:pt idx="2592">
                <c:v>6.59</c:v>
              </c:pt>
              <c:pt idx="2593">
                <c:v>6.59</c:v>
              </c:pt>
              <c:pt idx="2594">
                <c:v>6.59</c:v>
              </c:pt>
              <c:pt idx="2595">
                <c:v>6.59</c:v>
              </c:pt>
              <c:pt idx="2596">
                <c:v>6.59</c:v>
              </c:pt>
              <c:pt idx="2597">
                <c:v>6.59</c:v>
              </c:pt>
              <c:pt idx="2598">
                <c:v>6.59</c:v>
              </c:pt>
              <c:pt idx="2599">
                <c:v>6.59</c:v>
              </c:pt>
              <c:pt idx="2600">
                <c:v>6.59</c:v>
              </c:pt>
              <c:pt idx="2601">
                <c:v>6.59</c:v>
              </c:pt>
              <c:pt idx="2602">
                <c:v>6.59</c:v>
              </c:pt>
              <c:pt idx="2603">
                <c:v>6.59</c:v>
              </c:pt>
              <c:pt idx="2604">
                <c:v>6.59</c:v>
              </c:pt>
              <c:pt idx="2605">
                <c:v>6.59</c:v>
              </c:pt>
              <c:pt idx="2606">
                <c:v>6.59</c:v>
              </c:pt>
              <c:pt idx="2607">
                <c:v>6.59</c:v>
              </c:pt>
              <c:pt idx="2608">
                <c:v>6.59</c:v>
              </c:pt>
              <c:pt idx="2609">
                <c:v>6.59</c:v>
              </c:pt>
              <c:pt idx="2610">
                <c:v>6.59</c:v>
              </c:pt>
              <c:pt idx="2611">
                <c:v>6.59</c:v>
              </c:pt>
              <c:pt idx="2612">
                <c:v>6.59</c:v>
              </c:pt>
              <c:pt idx="2613">
                <c:v>6.59</c:v>
              </c:pt>
              <c:pt idx="2614">
                <c:v>6.59</c:v>
              </c:pt>
              <c:pt idx="2615">
                <c:v>6.59</c:v>
              </c:pt>
              <c:pt idx="2616">
                <c:v>6.59</c:v>
              </c:pt>
              <c:pt idx="2617">
                <c:v>6.59</c:v>
              </c:pt>
              <c:pt idx="2618">
                <c:v>6.59</c:v>
              </c:pt>
              <c:pt idx="2619">
                <c:v>6.59</c:v>
              </c:pt>
              <c:pt idx="2620">
                <c:v>6.59</c:v>
              </c:pt>
              <c:pt idx="2621">
                <c:v>6.59</c:v>
              </c:pt>
              <c:pt idx="2622">
                <c:v>6.59</c:v>
              </c:pt>
              <c:pt idx="2623">
                <c:v>6.59</c:v>
              </c:pt>
              <c:pt idx="2624">
                <c:v>6.59</c:v>
              </c:pt>
              <c:pt idx="2625">
                <c:v>6.59</c:v>
              </c:pt>
              <c:pt idx="2626">
                <c:v>6.59</c:v>
              </c:pt>
              <c:pt idx="2627">
                <c:v>6.59</c:v>
              </c:pt>
              <c:pt idx="2628">
                <c:v>6.59</c:v>
              </c:pt>
              <c:pt idx="2629">
                <c:v>6.59</c:v>
              </c:pt>
              <c:pt idx="2630">
                <c:v>6.59</c:v>
              </c:pt>
              <c:pt idx="2631">
                <c:v>6.59</c:v>
              </c:pt>
              <c:pt idx="2632">
                <c:v>6.59</c:v>
              </c:pt>
              <c:pt idx="2633">
                <c:v>6.59</c:v>
              </c:pt>
              <c:pt idx="2634">
                <c:v>6.59</c:v>
              </c:pt>
              <c:pt idx="2635">
                <c:v>6.59</c:v>
              </c:pt>
              <c:pt idx="2636">
                <c:v>6.59</c:v>
              </c:pt>
              <c:pt idx="2637">
                <c:v>6.59</c:v>
              </c:pt>
              <c:pt idx="2638">
                <c:v>6.59</c:v>
              </c:pt>
              <c:pt idx="2639">
                <c:v>6.59</c:v>
              </c:pt>
              <c:pt idx="2640">
                <c:v>6.59</c:v>
              </c:pt>
              <c:pt idx="2641">
                <c:v>6.59</c:v>
              </c:pt>
              <c:pt idx="2642">
                <c:v>6.59</c:v>
              </c:pt>
              <c:pt idx="2643">
                <c:v>6.59</c:v>
              </c:pt>
              <c:pt idx="2644">
                <c:v>6.59</c:v>
              </c:pt>
              <c:pt idx="2645">
                <c:v>6.59</c:v>
              </c:pt>
              <c:pt idx="2646">
                <c:v>6.59</c:v>
              </c:pt>
              <c:pt idx="2647">
                <c:v>6.59</c:v>
              </c:pt>
              <c:pt idx="2648">
                <c:v>6.59</c:v>
              </c:pt>
              <c:pt idx="2649">
                <c:v>6.59</c:v>
              </c:pt>
              <c:pt idx="2650">
                <c:v>6.59</c:v>
              </c:pt>
              <c:pt idx="2651">
                <c:v>6.59</c:v>
              </c:pt>
              <c:pt idx="2652">
                <c:v>6.59</c:v>
              </c:pt>
              <c:pt idx="2653">
                <c:v>6.59</c:v>
              </c:pt>
              <c:pt idx="2654">
                <c:v>6.59</c:v>
              </c:pt>
              <c:pt idx="2655">
                <c:v>6.59</c:v>
              </c:pt>
              <c:pt idx="2656">
                <c:v>6.59</c:v>
              </c:pt>
              <c:pt idx="2657">
                <c:v>6.59</c:v>
              </c:pt>
              <c:pt idx="2658">
                <c:v>6.59</c:v>
              </c:pt>
              <c:pt idx="2659">
                <c:v>6.59</c:v>
              </c:pt>
              <c:pt idx="2660">
                <c:v>6.59</c:v>
              </c:pt>
              <c:pt idx="2661">
                <c:v>6.59</c:v>
              </c:pt>
              <c:pt idx="2662">
                <c:v>6.59</c:v>
              </c:pt>
              <c:pt idx="2663">
                <c:v>6.59</c:v>
              </c:pt>
              <c:pt idx="2664">
                <c:v>6.59</c:v>
              </c:pt>
              <c:pt idx="2665">
                <c:v>6.59</c:v>
              </c:pt>
              <c:pt idx="2666">
                <c:v>6.59</c:v>
              </c:pt>
              <c:pt idx="2667">
                <c:v>6.59</c:v>
              </c:pt>
              <c:pt idx="2668">
                <c:v>6.59</c:v>
              </c:pt>
              <c:pt idx="2669">
                <c:v>6.59</c:v>
              </c:pt>
              <c:pt idx="2670">
                <c:v>6.59</c:v>
              </c:pt>
              <c:pt idx="2671">
                <c:v>6.59</c:v>
              </c:pt>
              <c:pt idx="2672">
                <c:v>6.59</c:v>
              </c:pt>
              <c:pt idx="2673">
                <c:v>6.59</c:v>
              </c:pt>
              <c:pt idx="2674">
                <c:v>6.59</c:v>
              </c:pt>
              <c:pt idx="2675">
                <c:v>6.59</c:v>
              </c:pt>
              <c:pt idx="2676">
                <c:v>6.59</c:v>
              </c:pt>
              <c:pt idx="2677">
                <c:v>6.59</c:v>
              </c:pt>
              <c:pt idx="2678">
                <c:v>6.59</c:v>
              </c:pt>
              <c:pt idx="2679">
                <c:v>6.59</c:v>
              </c:pt>
              <c:pt idx="2680">
                <c:v>6.59</c:v>
              </c:pt>
              <c:pt idx="2681">
                <c:v>6.59</c:v>
              </c:pt>
              <c:pt idx="2682">
                <c:v>6.59</c:v>
              </c:pt>
              <c:pt idx="2683">
                <c:v>6.59</c:v>
              </c:pt>
              <c:pt idx="2684">
                <c:v>6.59</c:v>
              </c:pt>
              <c:pt idx="2685">
                <c:v>6.59</c:v>
              </c:pt>
              <c:pt idx="2686">
                <c:v>6.59</c:v>
              </c:pt>
              <c:pt idx="2687">
                <c:v>6.59</c:v>
              </c:pt>
              <c:pt idx="2688">
                <c:v>6.59</c:v>
              </c:pt>
              <c:pt idx="2689">
                <c:v>6.59</c:v>
              </c:pt>
              <c:pt idx="2690">
                <c:v>6.59</c:v>
              </c:pt>
              <c:pt idx="2691">
                <c:v>6.59</c:v>
              </c:pt>
              <c:pt idx="2692">
                <c:v>6.59</c:v>
              </c:pt>
              <c:pt idx="2693">
                <c:v>6.59</c:v>
              </c:pt>
              <c:pt idx="2694">
                <c:v>6.59</c:v>
              </c:pt>
              <c:pt idx="2695">
                <c:v>6.59</c:v>
              </c:pt>
              <c:pt idx="2696">
                <c:v>6.59</c:v>
              </c:pt>
              <c:pt idx="2697">
                <c:v>6.59</c:v>
              </c:pt>
              <c:pt idx="2698">
                <c:v>6.59</c:v>
              </c:pt>
              <c:pt idx="2699">
                <c:v>6.59</c:v>
              </c:pt>
              <c:pt idx="2700">
                <c:v>6.59</c:v>
              </c:pt>
              <c:pt idx="2701">
                <c:v>6.59</c:v>
              </c:pt>
              <c:pt idx="2702">
                <c:v>6.59</c:v>
              </c:pt>
              <c:pt idx="2703">
                <c:v>6.59</c:v>
              </c:pt>
              <c:pt idx="2704">
                <c:v>6.59</c:v>
              </c:pt>
              <c:pt idx="2705">
                <c:v>6.59</c:v>
              </c:pt>
              <c:pt idx="2706">
                <c:v>6.59</c:v>
              </c:pt>
              <c:pt idx="2707">
                <c:v>6.59</c:v>
              </c:pt>
              <c:pt idx="2708">
                <c:v>6.59</c:v>
              </c:pt>
              <c:pt idx="2709">
                <c:v>6.59</c:v>
              </c:pt>
              <c:pt idx="2710">
                <c:v>6.59</c:v>
              </c:pt>
              <c:pt idx="2711">
                <c:v>6.59</c:v>
              </c:pt>
              <c:pt idx="2712">
                <c:v>6.59</c:v>
              </c:pt>
              <c:pt idx="2713">
                <c:v>6.59</c:v>
              </c:pt>
              <c:pt idx="2714">
                <c:v>6.59</c:v>
              </c:pt>
              <c:pt idx="2715">
                <c:v>6.59</c:v>
              </c:pt>
              <c:pt idx="2716">
                <c:v>6.59</c:v>
              </c:pt>
              <c:pt idx="2717">
                <c:v>6.59</c:v>
              </c:pt>
              <c:pt idx="2718">
                <c:v>6.59</c:v>
              </c:pt>
              <c:pt idx="2719">
                <c:v>6.59</c:v>
              </c:pt>
              <c:pt idx="2720">
                <c:v>6.59</c:v>
              </c:pt>
              <c:pt idx="2721">
                <c:v>6.59</c:v>
              </c:pt>
              <c:pt idx="2722">
                <c:v>6.59</c:v>
              </c:pt>
              <c:pt idx="2723">
                <c:v>6.59</c:v>
              </c:pt>
              <c:pt idx="2724">
                <c:v>6.59</c:v>
              </c:pt>
              <c:pt idx="2725">
                <c:v>6.59</c:v>
              </c:pt>
              <c:pt idx="2726">
                <c:v>6.59</c:v>
              </c:pt>
              <c:pt idx="2727">
                <c:v>6.59</c:v>
              </c:pt>
              <c:pt idx="2728">
                <c:v>6.59</c:v>
              </c:pt>
              <c:pt idx="2729">
                <c:v>6.59</c:v>
              </c:pt>
              <c:pt idx="2730">
                <c:v>6.59</c:v>
              </c:pt>
              <c:pt idx="2731">
                <c:v>6.59</c:v>
              </c:pt>
              <c:pt idx="2732">
                <c:v>6.59</c:v>
              </c:pt>
              <c:pt idx="2733">
                <c:v>6.59</c:v>
              </c:pt>
              <c:pt idx="2734">
                <c:v>6.59</c:v>
              </c:pt>
              <c:pt idx="2735">
                <c:v>6.59</c:v>
              </c:pt>
              <c:pt idx="2736">
                <c:v>6.59</c:v>
              </c:pt>
              <c:pt idx="2737">
                <c:v>6.59</c:v>
              </c:pt>
              <c:pt idx="2738">
                <c:v>6.59</c:v>
              </c:pt>
              <c:pt idx="2739">
                <c:v>6.59</c:v>
              </c:pt>
              <c:pt idx="2740">
                <c:v>6.59</c:v>
              </c:pt>
              <c:pt idx="2741">
                <c:v>6.59</c:v>
              </c:pt>
              <c:pt idx="2742">
                <c:v>6.59</c:v>
              </c:pt>
              <c:pt idx="2743">
                <c:v>6.59</c:v>
              </c:pt>
              <c:pt idx="2744">
                <c:v>6.59</c:v>
              </c:pt>
              <c:pt idx="2745">
                <c:v>6.59</c:v>
              </c:pt>
              <c:pt idx="2746">
                <c:v>6.59</c:v>
              </c:pt>
              <c:pt idx="2747">
                <c:v>6.59</c:v>
              </c:pt>
              <c:pt idx="2748">
                <c:v>6.59</c:v>
              </c:pt>
              <c:pt idx="2749">
                <c:v>6.59</c:v>
              </c:pt>
              <c:pt idx="2750">
                <c:v>6.59</c:v>
              </c:pt>
              <c:pt idx="2751">
                <c:v>6.59</c:v>
              </c:pt>
              <c:pt idx="2752">
                <c:v>6.59</c:v>
              </c:pt>
              <c:pt idx="2753">
                <c:v>6.59</c:v>
              </c:pt>
              <c:pt idx="2754">
                <c:v>6.59</c:v>
              </c:pt>
              <c:pt idx="2755">
                <c:v>6.59</c:v>
              </c:pt>
              <c:pt idx="2756">
                <c:v>6.59</c:v>
              </c:pt>
              <c:pt idx="2757">
                <c:v>6.59</c:v>
              </c:pt>
              <c:pt idx="2758">
                <c:v>6.59</c:v>
              </c:pt>
              <c:pt idx="2759">
                <c:v>6.59</c:v>
              </c:pt>
              <c:pt idx="2760">
                <c:v>6.59</c:v>
              </c:pt>
              <c:pt idx="2761">
                <c:v>6.59</c:v>
              </c:pt>
              <c:pt idx="2762">
                <c:v>6.59</c:v>
              </c:pt>
              <c:pt idx="2763">
                <c:v>6.59</c:v>
              </c:pt>
              <c:pt idx="2764">
                <c:v>6.59</c:v>
              </c:pt>
              <c:pt idx="2765">
                <c:v>6.59</c:v>
              </c:pt>
              <c:pt idx="2766">
                <c:v>6.59</c:v>
              </c:pt>
              <c:pt idx="2767">
                <c:v>6.59</c:v>
              </c:pt>
              <c:pt idx="2768">
                <c:v>6.59</c:v>
              </c:pt>
              <c:pt idx="2769">
                <c:v>6.59</c:v>
              </c:pt>
              <c:pt idx="2770">
                <c:v>6.59</c:v>
              </c:pt>
              <c:pt idx="2771">
                <c:v>6.59</c:v>
              </c:pt>
              <c:pt idx="2772">
                <c:v>6.59</c:v>
              </c:pt>
              <c:pt idx="2773">
                <c:v>6.59</c:v>
              </c:pt>
              <c:pt idx="2774">
                <c:v>6.59</c:v>
              </c:pt>
              <c:pt idx="2775">
                <c:v>6.59</c:v>
              </c:pt>
              <c:pt idx="2776">
                <c:v>6.59</c:v>
              </c:pt>
              <c:pt idx="2777">
                <c:v>6.59</c:v>
              </c:pt>
              <c:pt idx="2778">
                <c:v>6.59</c:v>
              </c:pt>
              <c:pt idx="2779">
                <c:v>6.59</c:v>
              </c:pt>
              <c:pt idx="2780">
                <c:v>6.59</c:v>
              </c:pt>
              <c:pt idx="2781">
                <c:v>6.59</c:v>
              </c:pt>
              <c:pt idx="2782">
                <c:v>6.59</c:v>
              </c:pt>
              <c:pt idx="2783">
                <c:v>6.59</c:v>
              </c:pt>
              <c:pt idx="2784">
                <c:v>6.59</c:v>
              </c:pt>
              <c:pt idx="2785">
                <c:v>6.59</c:v>
              </c:pt>
              <c:pt idx="2786">
                <c:v>6.59</c:v>
              </c:pt>
              <c:pt idx="2787">
                <c:v>6.59</c:v>
              </c:pt>
              <c:pt idx="2788">
                <c:v>6.59</c:v>
              </c:pt>
              <c:pt idx="2789">
                <c:v>6.59</c:v>
              </c:pt>
              <c:pt idx="2790">
                <c:v>6.59</c:v>
              </c:pt>
              <c:pt idx="2791">
                <c:v>6.59</c:v>
              </c:pt>
              <c:pt idx="2792">
                <c:v>6.59</c:v>
              </c:pt>
              <c:pt idx="2793">
                <c:v>6.59</c:v>
              </c:pt>
              <c:pt idx="2794">
                <c:v>6.59</c:v>
              </c:pt>
              <c:pt idx="2795">
                <c:v>6.59</c:v>
              </c:pt>
              <c:pt idx="2796">
                <c:v>6.59</c:v>
              </c:pt>
              <c:pt idx="2797">
                <c:v>6.59</c:v>
              </c:pt>
              <c:pt idx="2798">
                <c:v>6.59</c:v>
              </c:pt>
              <c:pt idx="2799">
                <c:v>6.59</c:v>
              </c:pt>
              <c:pt idx="2800">
                <c:v>6.59</c:v>
              </c:pt>
              <c:pt idx="2801">
                <c:v>6.59</c:v>
              </c:pt>
              <c:pt idx="2802">
                <c:v>6.59</c:v>
              </c:pt>
              <c:pt idx="2803">
                <c:v>6.59</c:v>
              </c:pt>
              <c:pt idx="2804">
                <c:v>6.59</c:v>
              </c:pt>
              <c:pt idx="2805">
                <c:v>6.59</c:v>
              </c:pt>
              <c:pt idx="2806">
                <c:v>6.59</c:v>
              </c:pt>
              <c:pt idx="2807">
                <c:v>6.59</c:v>
              </c:pt>
              <c:pt idx="2808">
                <c:v>6.59</c:v>
              </c:pt>
              <c:pt idx="2809">
                <c:v>6.59</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6.59</c:v>
              </c:pt>
              <c:pt idx="2828">
                <c:v>6.59</c:v>
              </c:pt>
              <c:pt idx="2829">
                <c:v>6.59</c:v>
              </c:pt>
              <c:pt idx="2830">
                <c:v>6.59</c:v>
              </c:pt>
              <c:pt idx="2831">
                <c:v>6.59</c:v>
              </c:pt>
              <c:pt idx="2832">
                <c:v>6.59</c:v>
              </c:pt>
              <c:pt idx="2833">
                <c:v>6.59</c:v>
              </c:pt>
              <c:pt idx="2834">
                <c:v>6.59</c:v>
              </c:pt>
              <c:pt idx="2835">
                <c:v>6.59</c:v>
              </c:pt>
              <c:pt idx="2836">
                <c:v>6.59</c:v>
              </c:pt>
              <c:pt idx="2837">
                <c:v>6.59</c:v>
              </c:pt>
              <c:pt idx="2838">
                <c:v>6.59</c:v>
              </c:pt>
              <c:pt idx="2839">
                <c:v>6.59</c:v>
              </c:pt>
              <c:pt idx="2840">
                <c:v>6.59</c:v>
              </c:pt>
              <c:pt idx="2841">
                <c:v>6.59</c:v>
              </c:pt>
              <c:pt idx="2842">
                <c:v>6.59</c:v>
              </c:pt>
              <c:pt idx="2843">
                <c:v>6.59</c:v>
              </c:pt>
              <c:pt idx="2844">
                <c:v>6.59</c:v>
              </c:pt>
              <c:pt idx="2845">
                <c:v>6.59</c:v>
              </c:pt>
              <c:pt idx="2846">
                <c:v>6.59</c:v>
              </c:pt>
              <c:pt idx="2847">
                <c:v>6.59</c:v>
              </c:pt>
              <c:pt idx="2848">
                <c:v>6.59</c:v>
              </c:pt>
              <c:pt idx="2849">
                <c:v>6.59</c:v>
              </c:pt>
              <c:pt idx="2850">
                <c:v>6.59</c:v>
              </c:pt>
              <c:pt idx="2851">
                <c:v>6.59</c:v>
              </c:pt>
              <c:pt idx="2852">
                <c:v>6.59</c:v>
              </c:pt>
              <c:pt idx="2853">
                <c:v>6.59</c:v>
              </c:pt>
              <c:pt idx="2854">
                <c:v>6.59</c:v>
              </c:pt>
              <c:pt idx="2855">
                <c:v>6.59</c:v>
              </c:pt>
              <c:pt idx="2856">
                <c:v>6.59</c:v>
              </c:pt>
              <c:pt idx="2857">
                <c:v>6.59</c:v>
              </c:pt>
              <c:pt idx="2858">
                <c:v>6.59</c:v>
              </c:pt>
              <c:pt idx="2859">
                <c:v>6.59</c:v>
              </c:pt>
              <c:pt idx="2860">
                <c:v>6.59</c:v>
              </c:pt>
              <c:pt idx="2861">
                <c:v>6.59</c:v>
              </c:pt>
              <c:pt idx="2862">
                <c:v>6.59</c:v>
              </c:pt>
              <c:pt idx="2863">
                <c:v>6.59</c:v>
              </c:pt>
              <c:pt idx="2864">
                <c:v>6.59</c:v>
              </c:pt>
              <c:pt idx="2865">
                <c:v>6.59</c:v>
              </c:pt>
              <c:pt idx="2866">
                <c:v>6.59</c:v>
              </c:pt>
              <c:pt idx="2867">
                <c:v>6.59</c:v>
              </c:pt>
              <c:pt idx="2868">
                <c:v>6.59</c:v>
              </c:pt>
              <c:pt idx="2869">
                <c:v>6.59</c:v>
              </c:pt>
              <c:pt idx="2870">
                <c:v>6.59</c:v>
              </c:pt>
              <c:pt idx="2871">
                <c:v>6.59</c:v>
              </c:pt>
              <c:pt idx="2872">
                <c:v>6.59</c:v>
              </c:pt>
              <c:pt idx="2873">
                <c:v>6.59</c:v>
              </c:pt>
              <c:pt idx="2874">
                <c:v>6.59</c:v>
              </c:pt>
              <c:pt idx="2875">
                <c:v>6.59</c:v>
              </c:pt>
              <c:pt idx="2876">
                <c:v>6.59</c:v>
              </c:pt>
              <c:pt idx="2877">
                <c:v>6.59</c:v>
              </c:pt>
              <c:pt idx="2878">
                <c:v>6.59</c:v>
              </c:pt>
              <c:pt idx="2879">
                <c:v>6.59</c:v>
              </c:pt>
              <c:pt idx="2880">
                <c:v>6.59</c:v>
              </c:pt>
              <c:pt idx="2881">
                <c:v>6.59</c:v>
              </c:pt>
              <c:pt idx="2882">
                <c:v>6.59</c:v>
              </c:pt>
              <c:pt idx="2883">
                <c:v>6.59</c:v>
              </c:pt>
              <c:pt idx="2884">
                <c:v>6.59</c:v>
              </c:pt>
              <c:pt idx="2885">
                <c:v>6.59</c:v>
              </c:pt>
              <c:pt idx="2886">
                <c:v>6.59</c:v>
              </c:pt>
            </c:numLit>
          </c:val>
          <c:smooth val="0"/>
          <c:extLst>
            <c:ext xmlns:c16="http://schemas.microsoft.com/office/drawing/2014/chart" uri="{C3380CC4-5D6E-409C-BE32-E72D297353CC}">
              <c16:uniqueId val="{00000009-4557-4156-8111-616AB5FB2C46}"/>
            </c:ext>
          </c:extLst>
        </c:ser>
        <c:ser>
          <c:idx val="4"/>
          <c:order val="4"/>
          <c:spPr>
            <a:ln w="28575" cap="rnd">
              <a:solidFill>
                <a:schemeClr val="accent5"/>
              </a:solidFill>
              <a:round/>
            </a:ln>
            <a:effectLst/>
          </c:spPr>
          <c:marker>
            <c:symbol val="none"/>
          </c:marker>
          <c:cat>
            <c:numLit>
              <c:formatCode>General</c:formatCode>
              <c:ptCount val="2887"/>
              <c:pt idx="0">
                <c:v>38383</c:v>
              </c:pt>
              <c:pt idx="1">
                <c:v>38384</c:v>
              </c:pt>
              <c:pt idx="2">
                <c:v>38385</c:v>
              </c:pt>
              <c:pt idx="3">
                <c:v>38386</c:v>
              </c:pt>
              <c:pt idx="4">
                <c:v>38387</c:v>
              </c:pt>
              <c:pt idx="5">
                <c:v>38390</c:v>
              </c:pt>
              <c:pt idx="6">
                <c:v>38391</c:v>
              </c:pt>
              <c:pt idx="7">
                <c:v>38392</c:v>
              </c:pt>
              <c:pt idx="8">
                <c:v>38393</c:v>
              </c:pt>
              <c:pt idx="9">
                <c:v>38394</c:v>
              </c:pt>
              <c:pt idx="10">
                <c:v>38397</c:v>
              </c:pt>
              <c:pt idx="11">
                <c:v>38398</c:v>
              </c:pt>
              <c:pt idx="12">
                <c:v>38399</c:v>
              </c:pt>
              <c:pt idx="13">
                <c:v>38400</c:v>
              </c:pt>
              <c:pt idx="14">
                <c:v>38401</c:v>
              </c:pt>
              <c:pt idx="15">
                <c:v>38404</c:v>
              </c:pt>
              <c:pt idx="16">
                <c:v>38405</c:v>
              </c:pt>
              <c:pt idx="17">
                <c:v>38406</c:v>
              </c:pt>
              <c:pt idx="18">
                <c:v>38407</c:v>
              </c:pt>
              <c:pt idx="19">
                <c:v>38408</c:v>
              </c:pt>
              <c:pt idx="20">
                <c:v>38411</c:v>
              </c:pt>
              <c:pt idx="21">
                <c:v>38533</c:v>
              </c:pt>
              <c:pt idx="22">
                <c:v>38534</c:v>
              </c:pt>
              <c:pt idx="23">
                <c:v>38537</c:v>
              </c:pt>
              <c:pt idx="24">
                <c:v>38538</c:v>
              </c:pt>
              <c:pt idx="25">
                <c:v>38539</c:v>
              </c:pt>
              <c:pt idx="26">
                <c:v>38540</c:v>
              </c:pt>
              <c:pt idx="27">
                <c:v>38541</c:v>
              </c:pt>
              <c:pt idx="28">
                <c:v>38544</c:v>
              </c:pt>
              <c:pt idx="29">
                <c:v>38545</c:v>
              </c:pt>
              <c:pt idx="30">
                <c:v>38546</c:v>
              </c:pt>
              <c:pt idx="31">
                <c:v>38547</c:v>
              </c:pt>
              <c:pt idx="32">
                <c:v>38548</c:v>
              </c:pt>
              <c:pt idx="33">
                <c:v>38551</c:v>
              </c:pt>
              <c:pt idx="34">
                <c:v>38552</c:v>
              </c:pt>
              <c:pt idx="35">
                <c:v>38553</c:v>
              </c:pt>
              <c:pt idx="36">
                <c:v>38554</c:v>
              </c:pt>
              <c:pt idx="37">
                <c:v>38555</c:v>
              </c:pt>
              <c:pt idx="38">
                <c:v>38558</c:v>
              </c:pt>
              <c:pt idx="39">
                <c:v>38559</c:v>
              </c:pt>
              <c:pt idx="40">
                <c:v>38560</c:v>
              </c:pt>
              <c:pt idx="41">
                <c:v>38561</c:v>
              </c:pt>
              <c:pt idx="42">
                <c:v>38562</c:v>
              </c:pt>
              <c:pt idx="43">
                <c:v>38625</c:v>
              </c:pt>
              <c:pt idx="44">
                <c:v>38628</c:v>
              </c:pt>
              <c:pt idx="45">
                <c:v>38629</c:v>
              </c:pt>
              <c:pt idx="46">
                <c:v>38630</c:v>
              </c:pt>
              <c:pt idx="47">
                <c:v>38631</c:v>
              </c:pt>
              <c:pt idx="48">
                <c:v>38632</c:v>
              </c:pt>
              <c:pt idx="49">
                <c:v>38635</c:v>
              </c:pt>
              <c:pt idx="50">
                <c:v>38636</c:v>
              </c:pt>
              <c:pt idx="51">
                <c:v>38637</c:v>
              </c:pt>
              <c:pt idx="52">
                <c:v>38638</c:v>
              </c:pt>
              <c:pt idx="53">
                <c:v>38639</c:v>
              </c:pt>
              <c:pt idx="54">
                <c:v>38642</c:v>
              </c:pt>
              <c:pt idx="55">
                <c:v>38643</c:v>
              </c:pt>
              <c:pt idx="56">
                <c:v>38644</c:v>
              </c:pt>
              <c:pt idx="57">
                <c:v>38645</c:v>
              </c:pt>
              <c:pt idx="58">
                <c:v>38646</c:v>
              </c:pt>
              <c:pt idx="59">
                <c:v>38649</c:v>
              </c:pt>
              <c:pt idx="60">
                <c:v>38650</c:v>
              </c:pt>
              <c:pt idx="61">
                <c:v>38651</c:v>
              </c:pt>
              <c:pt idx="62">
                <c:v>38652</c:v>
              </c:pt>
              <c:pt idx="63">
                <c:v>38653</c:v>
              </c:pt>
              <c:pt idx="64">
                <c:v>38656</c:v>
              </c:pt>
              <c:pt idx="65">
                <c:v>38657</c:v>
              </c:pt>
              <c:pt idx="66">
                <c:v>38658</c:v>
              </c:pt>
              <c:pt idx="67">
                <c:v>38659</c:v>
              </c:pt>
              <c:pt idx="68">
                <c:v>38660</c:v>
              </c:pt>
              <c:pt idx="69">
                <c:v>38663</c:v>
              </c:pt>
              <c:pt idx="70">
                <c:v>38664</c:v>
              </c:pt>
              <c:pt idx="71">
                <c:v>38665</c:v>
              </c:pt>
              <c:pt idx="72">
                <c:v>38666</c:v>
              </c:pt>
              <c:pt idx="73">
                <c:v>38667</c:v>
              </c:pt>
              <c:pt idx="74">
                <c:v>38670</c:v>
              </c:pt>
              <c:pt idx="75">
                <c:v>38671</c:v>
              </c:pt>
              <c:pt idx="76">
                <c:v>38672</c:v>
              </c:pt>
              <c:pt idx="77">
                <c:v>38673</c:v>
              </c:pt>
              <c:pt idx="78">
                <c:v>38674</c:v>
              </c:pt>
              <c:pt idx="79">
                <c:v>38677</c:v>
              </c:pt>
              <c:pt idx="80">
                <c:v>38678</c:v>
              </c:pt>
              <c:pt idx="81">
                <c:v>38679</c:v>
              </c:pt>
              <c:pt idx="82">
                <c:v>38680</c:v>
              </c:pt>
              <c:pt idx="83">
                <c:v>38681</c:v>
              </c:pt>
              <c:pt idx="84">
                <c:v>38684</c:v>
              </c:pt>
              <c:pt idx="85">
                <c:v>38685</c:v>
              </c:pt>
              <c:pt idx="86">
                <c:v>38686</c:v>
              </c:pt>
              <c:pt idx="87">
                <c:v>38687</c:v>
              </c:pt>
              <c:pt idx="88">
                <c:v>38688</c:v>
              </c:pt>
              <c:pt idx="89">
                <c:v>38691</c:v>
              </c:pt>
              <c:pt idx="90">
                <c:v>38692</c:v>
              </c:pt>
              <c:pt idx="91">
                <c:v>38693</c:v>
              </c:pt>
              <c:pt idx="92">
                <c:v>38694</c:v>
              </c:pt>
              <c:pt idx="93">
                <c:v>38695</c:v>
              </c:pt>
              <c:pt idx="94">
                <c:v>38698</c:v>
              </c:pt>
              <c:pt idx="95">
                <c:v>38699</c:v>
              </c:pt>
              <c:pt idx="96">
                <c:v>38700</c:v>
              </c:pt>
              <c:pt idx="97">
                <c:v>38701</c:v>
              </c:pt>
              <c:pt idx="98">
                <c:v>38702</c:v>
              </c:pt>
              <c:pt idx="99">
                <c:v>38705</c:v>
              </c:pt>
              <c:pt idx="100">
                <c:v>38706</c:v>
              </c:pt>
              <c:pt idx="101">
                <c:v>38707</c:v>
              </c:pt>
              <c:pt idx="102">
                <c:v>38708</c:v>
              </c:pt>
              <c:pt idx="103">
                <c:v>38709</c:v>
              </c:pt>
              <c:pt idx="104">
                <c:v>38714</c:v>
              </c:pt>
              <c:pt idx="105">
                <c:v>38715</c:v>
              </c:pt>
              <c:pt idx="106">
                <c:v>38716</c:v>
              </c:pt>
              <c:pt idx="107">
                <c:v>38720</c:v>
              </c:pt>
              <c:pt idx="108">
                <c:v>38721</c:v>
              </c:pt>
              <c:pt idx="109">
                <c:v>38722</c:v>
              </c:pt>
              <c:pt idx="110">
                <c:v>38723</c:v>
              </c:pt>
              <c:pt idx="111">
                <c:v>38726</c:v>
              </c:pt>
              <c:pt idx="112">
                <c:v>38727</c:v>
              </c:pt>
              <c:pt idx="113">
                <c:v>38728</c:v>
              </c:pt>
              <c:pt idx="114">
                <c:v>38729</c:v>
              </c:pt>
              <c:pt idx="115">
                <c:v>38730</c:v>
              </c:pt>
              <c:pt idx="116">
                <c:v>38733</c:v>
              </c:pt>
              <c:pt idx="117">
                <c:v>38734</c:v>
              </c:pt>
              <c:pt idx="118">
                <c:v>38735</c:v>
              </c:pt>
              <c:pt idx="119">
                <c:v>38736</c:v>
              </c:pt>
              <c:pt idx="120">
                <c:v>38737</c:v>
              </c:pt>
              <c:pt idx="121">
                <c:v>38740</c:v>
              </c:pt>
              <c:pt idx="122">
                <c:v>38741</c:v>
              </c:pt>
              <c:pt idx="123">
                <c:v>38742</c:v>
              </c:pt>
              <c:pt idx="124">
                <c:v>38744</c:v>
              </c:pt>
              <c:pt idx="125">
                <c:v>38747</c:v>
              </c:pt>
              <c:pt idx="126">
                <c:v>38748</c:v>
              </c:pt>
              <c:pt idx="127">
                <c:v>38749</c:v>
              </c:pt>
              <c:pt idx="128">
                <c:v>38750</c:v>
              </c:pt>
              <c:pt idx="129">
                <c:v>38751</c:v>
              </c:pt>
              <c:pt idx="130">
                <c:v>38754</c:v>
              </c:pt>
              <c:pt idx="131">
                <c:v>38755</c:v>
              </c:pt>
              <c:pt idx="132">
                <c:v>38756</c:v>
              </c:pt>
              <c:pt idx="133">
                <c:v>38757</c:v>
              </c:pt>
              <c:pt idx="134">
                <c:v>38758</c:v>
              </c:pt>
              <c:pt idx="135">
                <c:v>38761</c:v>
              </c:pt>
              <c:pt idx="136">
                <c:v>38762</c:v>
              </c:pt>
              <c:pt idx="137">
                <c:v>38763</c:v>
              </c:pt>
              <c:pt idx="138">
                <c:v>38764</c:v>
              </c:pt>
              <c:pt idx="139">
                <c:v>38765</c:v>
              </c:pt>
              <c:pt idx="140">
                <c:v>38768</c:v>
              </c:pt>
              <c:pt idx="141">
                <c:v>38769</c:v>
              </c:pt>
              <c:pt idx="142">
                <c:v>38770</c:v>
              </c:pt>
              <c:pt idx="143">
                <c:v>38771</c:v>
              </c:pt>
              <c:pt idx="144">
                <c:v>38772</c:v>
              </c:pt>
              <c:pt idx="145">
                <c:v>38775</c:v>
              </c:pt>
              <c:pt idx="146">
                <c:v>38776</c:v>
              </c:pt>
              <c:pt idx="147">
                <c:v>38777</c:v>
              </c:pt>
              <c:pt idx="148">
                <c:v>38778</c:v>
              </c:pt>
              <c:pt idx="149">
                <c:v>38779</c:v>
              </c:pt>
              <c:pt idx="150">
                <c:v>38782</c:v>
              </c:pt>
              <c:pt idx="151">
                <c:v>38783</c:v>
              </c:pt>
              <c:pt idx="152">
                <c:v>38784</c:v>
              </c:pt>
              <c:pt idx="153">
                <c:v>38785</c:v>
              </c:pt>
              <c:pt idx="154">
                <c:v>38786</c:v>
              </c:pt>
              <c:pt idx="155">
                <c:v>38789</c:v>
              </c:pt>
              <c:pt idx="156">
                <c:v>38790</c:v>
              </c:pt>
              <c:pt idx="157">
                <c:v>38791</c:v>
              </c:pt>
              <c:pt idx="158">
                <c:v>38792</c:v>
              </c:pt>
              <c:pt idx="159">
                <c:v>38793</c:v>
              </c:pt>
              <c:pt idx="160">
                <c:v>38796</c:v>
              </c:pt>
              <c:pt idx="161">
                <c:v>38797</c:v>
              </c:pt>
              <c:pt idx="162">
                <c:v>38798</c:v>
              </c:pt>
              <c:pt idx="163">
                <c:v>38799</c:v>
              </c:pt>
              <c:pt idx="164">
                <c:v>38800</c:v>
              </c:pt>
              <c:pt idx="165">
                <c:v>38803</c:v>
              </c:pt>
              <c:pt idx="166">
                <c:v>38804</c:v>
              </c:pt>
              <c:pt idx="167">
                <c:v>38805</c:v>
              </c:pt>
              <c:pt idx="168">
                <c:v>38806</c:v>
              </c:pt>
              <c:pt idx="169">
                <c:v>38807</c:v>
              </c:pt>
              <c:pt idx="170">
                <c:v>38810</c:v>
              </c:pt>
              <c:pt idx="171">
                <c:v>38811</c:v>
              </c:pt>
              <c:pt idx="172">
                <c:v>38812</c:v>
              </c:pt>
              <c:pt idx="173">
                <c:v>38813</c:v>
              </c:pt>
              <c:pt idx="174">
                <c:v>38814</c:v>
              </c:pt>
              <c:pt idx="175">
                <c:v>38817</c:v>
              </c:pt>
              <c:pt idx="176">
                <c:v>38818</c:v>
              </c:pt>
              <c:pt idx="177">
                <c:v>38819</c:v>
              </c:pt>
              <c:pt idx="178">
                <c:v>38820</c:v>
              </c:pt>
              <c:pt idx="179">
                <c:v>38825</c:v>
              </c:pt>
              <c:pt idx="180">
                <c:v>38826</c:v>
              </c:pt>
              <c:pt idx="181">
                <c:v>38827</c:v>
              </c:pt>
              <c:pt idx="182">
                <c:v>38828</c:v>
              </c:pt>
              <c:pt idx="183">
                <c:v>38831</c:v>
              </c:pt>
              <c:pt idx="184">
                <c:v>38833</c:v>
              </c:pt>
              <c:pt idx="185">
                <c:v>38834</c:v>
              </c:pt>
              <c:pt idx="186">
                <c:v>38835</c:v>
              </c:pt>
              <c:pt idx="187">
                <c:v>38838</c:v>
              </c:pt>
              <c:pt idx="188">
                <c:v>38839</c:v>
              </c:pt>
              <c:pt idx="189">
                <c:v>38840</c:v>
              </c:pt>
              <c:pt idx="190">
                <c:v>38841</c:v>
              </c:pt>
              <c:pt idx="191">
                <c:v>38842</c:v>
              </c:pt>
              <c:pt idx="192">
                <c:v>38845</c:v>
              </c:pt>
              <c:pt idx="193">
                <c:v>38846</c:v>
              </c:pt>
              <c:pt idx="194">
                <c:v>38847</c:v>
              </c:pt>
              <c:pt idx="195">
                <c:v>38848</c:v>
              </c:pt>
              <c:pt idx="196">
                <c:v>38849</c:v>
              </c:pt>
              <c:pt idx="197">
                <c:v>38852</c:v>
              </c:pt>
              <c:pt idx="198">
                <c:v>38853</c:v>
              </c:pt>
              <c:pt idx="199">
                <c:v>38854</c:v>
              </c:pt>
              <c:pt idx="200">
                <c:v>38855</c:v>
              </c:pt>
              <c:pt idx="201">
                <c:v>38856</c:v>
              </c:pt>
              <c:pt idx="202">
                <c:v>38859</c:v>
              </c:pt>
              <c:pt idx="203">
                <c:v>38860</c:v>
              </c:pt>
              <c:pt idx="204">
                <c:v>38861</c:v>
              </c:pt>
              <c:pt idx="205">
                <c:v>38862</c:v>
              </c:pt>
              <c:pt idx="206">
                <c:v>38863</c:v>
              </c:pt>
              <c:pt idx="207">
                <c:v>38866</c:v>
              </c:pt>
              <c:pt idx="208">
                <c:v>38867</c:v>
              </c:pt>
              <c:pt idx="209">
                <c:v>38868</c:v>
              </c:pt>
              <c:pt idx="210">
                <c:v>38869</c:v>
              </c:pt>
              <c:pt idx="211">
                <c:v>38870</c:v>
              </c:pt>
              <c:pt idx="212">
                <c:v>38873</c:v>
              </c:pt>
              <c:pt idx="213">
                <c:v>38874</c:v>
              </c:pt>
              <c:pt idx="214">
                <c:v>38875</c:v>
              </c:pt>
              <c:pt idx="215">
                <c:v>38876</c:v>
              </c:pt>
              <c:pt idx="216">
                <c:v>38877</c:v>
              </c:pt>
              <c:pt idx="217">
                <c:v>38881</c:v>
              </c:pt>
              <c:pt idx="218">
                <c:v>38882</c:v>
              </c:pt>
              <c:pt idx="219">
                <c:v>38883</c:v>
              </c:pt>
              <c:pt idx="220">
                <c:v>38884</c:v>
              </c:pt>
              <c:pt idx="221">
                <c:v>38887</c:v>
              </c:pt>
              <c:pt idx="222">
                <c:v>38888</c:v>
              </c:pt>
              <c:pt idx="223">
                <c:v>38889</c:v>
              </c:pt>
              <c:pt idx="224">
                <c:v>38890</c:v>
              </c:pt>
              <c:pt idx="225">
                <c:v>38891</c:v>
              </c:pt>
              <c:pt idx="226">
                <c:v>38894</c:v>
              </c:pt>
              <c:pt idx="227">
                <c:v>38895</c:v>
              </c:pt>
              <c:pt idx="228">
                <c:v>38896</c:v>
              </c:pt>
              <c:pt idx="229">
                <c:v>38897</c:v>
              </c:pt>
              <c:pt idx="230">
                <c:v>38898</c:v>
              </c:pt>
              <c:pt idx="231">
                <c:v>38901</c:v>
              </c:pt>
              <c:pt idx="232">
                <c:v>38902</c:v>
              </c:pt>
              <c:pt idx="233">
                <c:v>38903</c:v>
              </c:pt>
              <c:pt idx="234">
                <c:v>38904</c:v>
              </c:pt>
              <c:pt idx="235">
                <c:v>38905</c:v>
              </c:pt>
              <c:pt idx="236">
                <c:v>38908</c:v>
              </c:pt>
              <c:pt idx="237">
                <c:v>38909</c:v>
              </c:pt>
              <c:pt idx="238">
                <c:v>38910</c:v>
              </c:pt>
              <c:pt idx="239">
                <c:v>38911</c:v>
              </c:pt>
              <c:pt idx="240">
                <c:v>38912</c:v>
              </c:pt>
              <c:pt idx="241">
                <c:v>38915</c:v>
              </c:pt>
              <c:pt idx="242">
                <c:v>38916</c:v>
              </c:pt>
              <c:pt idx="243">
                <c:v>38917</c:v>
              </c:pt>
              <c:pt idx="244">
                <c:v>38918</c:v>
              </c:pt>
              <c:pt idx="245">
                <c:v>38919</c:v>
              </c:pt>
              <c:pt idx="246">
                <c:v>38922</c:v>
              </c:pt>
              <c:pt idx="247">
                <c:v>38923</c:v>
              </c:pt>
              <c:pt idx="248">
                <c:v>38924</c:v>
              </c:pt>
              <c:pt idx="249">
                <c:v>38925</c:v>
              </c:pt>
              <c:pt idx="250">
                <c:v>38926</c:v>
              </c:pt>
              <c:pt idx="251">
                <c:v>38929</c:v>
              </c:pt>
              <c:pt idx="252">
                <c:v>38930</c:v>
              </c:pt>
              <c:pt idx="253">
                <c:v>38931</c:v>
              </c:pt>
              <c:pt idx="254">
                <c:v>38932</c:v>
              </c:pt>
              <c:pt idx="255">
                <c:v>38933</c:v>
              </c:pt>
              <c:pt idx="256">
                <c:v>38936</c:v>
              </c:pt>
              <c:pt idx="257">
                <c:v>38937</c:v>
              </c:pt>
              <c:pt idx="258">
                <c:v>38938</c:v>
              </c:pt>
              <c:pt idx="259">
                <c:v>38939</c:v>
              </c:pt>
              <c:pt idx="260">
                <c:v>38940</c:v>
              </c:pt>
              <c:pt idx="261">
                <c:v>38943</c:v>
              </c:pt>
              <c:pt idx="262">
                <c:v>38944</c:v>
              </c:pt>
              <c:pt idx="263">
                <c:v>38945</c:v>
              </c:pt>
              <c:pt idx="264">
                <c:v>38946</c:v>
              </c:pt>
              <c:pt idx="265">
                <c:v>38947</c:v>
              </c:pt>
              <c:pt idx="266">
                <c:v>38950</c:v>
              </c:pt>
              <c:pt idx="267">
                <c:v>38951</c:v>
              </c:pt>
              <c:pt idx="268">
                <c:v>38952</c:v>
              </c:pt>
              <c:pt idx="269">
                <c:v>38953</c:v>
              </c:pt>
              <c:pt idx="270">
                <c:v>38954</c:v>
              </c:pt>
              <c:pt idx="271">
                <c:v>38957</c:v>
              </c:pt>
              <c:pt idx="272">
                <c:v>38958</c:v>
              </c:pt>
              <c:pt idx="273">
                <c:v>38959</c:v>
              </c:pt>
              <c:pt idx="274">
                <c:v>38960</c:v>
              </c:pt>
              <c:pt idx="275">
                <c:v>38961</c:v>
              </c:pt>
              <c:pt idx="276">
                <c:v>38964</c:v>
              </c:pt>
              <c:pt idx="277">
                <c:v>38965</c:v>
              </c:pt>
              <c:pt idx="278">
                <c:v>38966</c:v>
              </c:pt>
              <c:pt idx="279">
                <c:v>38967</c:v>
              </c:pt>
              <c:pt idx="280">
                <c:v>38968</c:v>
              </c:pt>
              <c:pt idx="281">
                <c:v>38971</c:v>
              </c:pt>
              <c:pt idx="282">
                <c:v>38972</c:v>
              </c:pt>
              <c:pt idx="283">
                <c:v>38973</c:v>
              </c:pt>
              <c:pt idx="284">
                <c:v>38974</c:v>
              </c:pt>
              <c:pt idx="285">
                <c:v>38975</c:v>
              </c:pt>
              <c:pt idx="286">
                <c:v>38978</c:v>
              </c:pt>
              <c:pt idx="287">
                <c:v>38979</c:v>
              </c:pt>
              <c:pt idx="288">
                <c:v>38980</c:v>
              </c:pt>
              <c:pt idx="289">
                <c:v>38981</c:v>
              </c:pt>
              <c:pt idx="290">
                <c:v>38982</c:v>
              </c:pt>
              <c:pt idx="291">
                <c:v>38985</c:v>
              </c:pt>
              <c:pt idx="292">
                <c:v>38986</c:v>
              </c:pt>
              <c:pt idx="293">
                <c:v>38987</c:v>
              </c:pt>
              <c:pt idx="294">
                <c:v>38988</c:v>
              </c:pt>
              <c:pt idx="295">
                <c:v>38989</c:v>
              </c:pt>
              <c:pt idx="296">
                <c:v>38992</c:v>
              </c:pt>
              <c:pt idx="297">
                <c:v>38993</c:v>
              </c:pt>
              <c:pt idx="298">
                <c:v>38994</c:v>
              </c:pt>
              <c:pt idx="299">
                <c:v>38995</c:v>
              </c:pt>
              <c:pt idx="300">
                <c:v>38996</c:v>
              </c:pt>
              <c:pt idx="301">
                <c:v>38999</c:v>
              </c:pt>
              <c:pt idx="302">
                <c:v>39000</c:v>
              </c:pt>
              <c:pt idx="303">
                <c:v>39001</c:v>
              </c:pt>
              <c:pt idx="304">
                <c:v>39002</c:v>
              </c:pt>
              <c:pt idx="305">
                <c:v>39003</c:v>
              </c:pt>
              <c:pt idx="306">
                <c:v>39006</c:v>
              </c:pt>
              <c:pt idx="307">
                <c:v>39007</c:v>
              </c:pt>
              <c:pt idx="308">
                <c:v>39008</c:v>
              </c:pt>
              <c:pt idx="309">
                <c:v>39009</c:v>
              </c:pt>
              <c:pt idx="310">
                <c:v>39010</c:v>
              </c:pt>
              <c:pt idx="311">
                <c:v>39013</c:v>
              </c:pt>
              <c:pt idx="312">
                <c:v>39014</c:v>
              </c:pt>
              <c:pt idx="313">
                <c:v>39015</c:v>
              </c:pt>
              <c:pt idx="314">
                <c:v>39016</c:v>
              </c:pt>
              <c:pt idx="315">
                <c:v>39017</c:v>
              </c:pt>
              <c:pt idx="316">
                <c:v>39020</c:v>
              </c:pt>
              <c:pt idx="317">
                <c:v>39021</c:v>
              </c:pt>
              <c:pt idx="318">
                <c:v>39022</c:v>
              </c:pt>
              <c:pt idx="319">
                <c:v>39023</c:v>
              </c:pt>
              <c:pt idx="320">
                <c:v>39024</c:v>
              </c:pt>
              <c:pt idx="321">
                <c:v>39027</c:v>
              </c:pt>
              <c:pt idx="322">
                <c:v>39028</c:v>
              </c:pt>
              <c:pt idx="323">
                <c:v>39029</c:v>
              </c:pt>
              <c:pt idx="324">
                <c:v>39030</c:v>
              </c:pt>
              <c:pt idx="325">
                <c:v>39031</c:v>
              </c:pt>
              <c:pt idx="326">
                <c:v>39034</c:v>
              </c:pt>
              <c:pt idx="327">
                <c:v>39035</c:v>
              </c:pt>
              <c:pt idx="328">
                <c:v>39036</c:v>
              </c:pt>
              <c:pt idx="329">
                <c:v>39037</c:v>
              </c:pt>
              <c:pt idx="330">
                <c:v>39038</c:v>
              </c:pt>
              <c:pt idx="331">
                <c:v>39041</c:v>
              </c:pt>
              <c:pt idx="332">
                <c:v>39042</c:v>
              </c:pt>
              <c:pt idx="333">
                <c:v>39043</c:v>
              </c:pt>
              <c:pt idx="334">
                <c:v>39044</c:v>
              </c:pt>
              <c:pt idx="335">
                <c:v>39045</c:v>
              </c:pt>
              <c:pt idx="336">
                <c:v>39048</c:v>
              </c:pt>
              <c:pt idx="337">
                <c:v>39049</c:v>
              </c:pt>
              <c:pt idx="338">
                <c:v>39050</c:v>
              </c:pt>
              <c:pt idx="339">
                <c:v>39051</c:v>
              </c:pt>
              <c:pt idx="340">
                <c:v>39052</c:v>
              </c:pt>
              <c:pt idx="341">
                <c:v>39055</c:v>
              </c:pt>
              <c:pt idx="342">
                <c:v>39056</c:v>
              </c:pt>
              <c:pt idx="343">
                <c:v>39057</c:v>
              </c:pt>
              <c:pt idx="344">
                <c:v>39058</c:v>
              </c:pt>
              <c:pt idx="345">
                <c:v>39059</c:v>
              </c:pt>
              <c:pt idx="346">
                <c:v>39062</c:v>
              </c:pt>
              <c:pt idx="347">
                <c:v>39063</c:v>
              </c:pt>
              <c:pt idx="348">
                <c:v>39064</c:v>
              </c:pt>
              <c:pt idx="349">
                <c:v>39065</c:v>
              </c:pt>
              <c:pt idx="350">
                <c:v>39066</c:v>
              </c:pt>
              <c:pt idx="351">
                <c:v>39069</c:v>
              </c:pt>
              <c:pt idx="352">
                <c:v>39070</c:v>
              </c:pt>
              <c:pt idx="353">
                <c:v>39071</c:v>
              </c:pt>
              <c:pt idx="354">
                <c:v>39072</c:v>
              </c:pt>
              <c:pt idx="355">
                <c:v>39073</c:v>
              </c:pt>
              <c:pt idx="356">
                <c:v>39078</c:v>
              </c:pt>
              <c:pt idx="357">
                <c:v>39079</c:v>
              </c:pt>
              <c:pt idx="358">
                <c:v>39080</c:v>
              </c:pt>
              <c:pt idx="359">
                <c:v>39084</c:v>
              </c:pt>
              <c:pt idx="360">
                <c:v>39085</c:v>
              </c:pt>
              <c:pt idx="361">
                <c:v>39086</c:v>
              </c:pt>
              <c:pt idx="362">
                <c:v>39087</c:v>
              </c:pt>
              <c:pt idx="363">
                <c:v>39090</c:v>
              </c:pt>
              <c:pt idx="364">
                <c:v>39091</c:v>
              </c:pt>
              <c:pt idx="365">
                <c:v>39092</c:v>
              </c:pt>
              <c:pt idx="366">
                <c:v>39093</c:v>
              </c:pt>
              <c:pt idx="367">
                <c:v>39094</c:v>
              </c:pt>
              <c:pt idx="368">
                <c:v>39097</c:v>
              </c:pt>
              <c:pt idx="369">
                <c:v>39098</c:v>
              </c:pt>
              <c:pt idx="370">
                <c:v>39099</c:v>
              </c:pt>
              <c:pt idx="371">
                <c:v>39100</c:v>
              </c:pt>
              <c:pt idx="372">
                <c:v>39101</c:v>
              </c:pt>
              <c:pt idx="373">
                <c:v>39104</c:v>
              </c:pt>
              <c:pt idx="374">
                <c:v>39105</c:v>
              </c:pt>
              <c:pt idx="375">
                <c:v>39106</c:v>
              </c:pt>
              <c:pt idx="376">
                <c:v>39107</c:v>
              </c:pt>
              <c:pt idx="377">
                <c:v>39111</c:v>
              </c:pt>
              <c:pt idx="378">
                <c:v>39112</c:v>
              </c:pt>
              <c:pt idx="379">
                <c:v>39113</c:v>
              </c:pt>
              <c:pt idx="380">
                <c:v>39114</c:v>
              </c:pt>
              <c:pt idx="381">
                <c:v>39115</c:v>
              </c:pt>
              <c:pt idx="382">
                <c:v>39118</c:v>
              </c:pt>
              <c:pt idx="383">
                <c:v>39119</c:v>
              </c:pt>
              <c:pt idx="384">
                <c:v>39120</c:v>
              </c:pt>
              <c:pt idx="385">
                <c:v>39121</c:v>
              </c:pt>
              <c:pt idx="386">
                <c:v>39122</c:v>
              </c:pt>
              <c:pt idx="387">
                <c:v>39125</c:v>
              </c:pt>
              <c:pt idx="388">
                <c:v>39126</c:v>
              </c:pt>
              <c:pt idx="389">
                <c:v>39127</c:v>
              </c:pt>
              <c:pt idx="390">
                <c:v>39128</c:v>
              </c:pt>
              <c:pt idx="391">
                <c:v>39129</c:v>
              </c:pt>
              <c:pt idx="392">
                <c:v>39132</c:v>
              </c:pt>
              <c:pt idx="393">
                <c:v>39133</c:v>
              </c:pt>
              <c:pt idx="394">
                <c:v>39134</c:v>
              </c:pt>
              <c:pt idx="395">
                <c:v>39135</c:v>
              </c:pt>
              <c:pt idx="396">
                <c:v>39136</c:v>
              </c:pt>
              <c:pt idx="397">
                <c:v>39139</c:v>
              </c:pt>
              <c:pt idx="398">
                <c:v>39140</c:v>
              </c:pt>
              <c:pt idx="399">
                <c:v>39141</c:v>
              </c:pt>
              <c:pt idx="400">
                <c:v>39142</c:v>
              </c:pt>
              <c:pt idx="401">
                <c:v>39143</c:v>
              </c:pt>
              <c:pt idx="402">
                <c:v>39146</c:v>
              </c:pt>
              <c:pt idx="403">
                <c:v>39147</c:v>
              </c:pt>
              <c:pt idx="404">
                <c:v>39148</c:v>
              </c:pt>
              <c:pt idx="405">
                <c:v>39149</c:v>
              </c:pt>
              <c:pt idx="406">
                <c:v>39150</c:v>
              </c:pt>
              <c:pt idx="407">
                <c:v>39153</c:v>
              </c:pt>
              <c:pt idx="408">
                <c:v>39154</c:v>
              </c:pt>
              <c:pt idx="409">
                <c:v>39155</c:v>
              </c:pt>
              <c:pt idx="410">
                <c:v>39156</c:v>
              </c:pt>
              <c:pt idx="411">
                <c:v>39157</c:v>
              </c:pt>
              <c:pt idx="412">
                <c:v>39160</c:v>
              </c:pt>
              <c:pt idx="413">
                <c:v>39161</c:v>
              </c:pt>
              <c:pt idx="414">
                <c:v>39162</c:v>
              </c:pt>
              <c:pt idx="415">
                <c:v>39163</c:v>
              </c:pt>
              <c:pt idx="416">
                <c:v>39164</c:v>
              </c:pt>
              <c:pt idx="417">
                <c:v>39167</c:v>
              </c:pt>
              <c:pt idx="418">
                <c:v>39168</c:v>
              </c:pt>
              <c:pt idx="419">
                <c:v>39169</c:v>
              </c:pt>
              <c:pt idx="420">
                <c:v>39170</c:v>
              </c:pt>
              <c:pt idx="421">
                <c:v>39171</c:v>
              </c:pt>
              <c:pt idx="422">
                <c:v>39174</c:v>
              </c:pt>
              <c:pt idx="423">
                <c:v>39175</c:v>
              </c:pt>
              <c:pt idx="424">
                <c:v>39176</c:v>
              </c:pt>
              <c:pt idx="425">
                <c:v>39177</c:v>
              </c:pt>
              <c:pt idx="426">
                <c:v>39182</c:v>
              </c:pt>
              <c:pt idx="427">
                <c:v>39183</c:v>
              </c:pt>
              <c:pt idx="428">
                <c:v>39184</c:v>
              </c:pt>
              <c:pt idx="429">
                <c:v>39185</c:v>
              </c:pt>
              <c:pt idx="430">
                <c:v>39188</c:v>
              </c:pt>
              <c:pt idx="431">
                <c:v>39189</c:v>
              </c:pt>
              <c:pt idx="432">
                <c:v>39190</c:v>
              </c:pt>
              <c:pt idx="433">
                <c:v>39191</c:v>
              </c:pt>
              <c:pt idx="434">
                <c:v>39192</c:v>
              </c:pt>
              <c:pt idx="435">
                <c:v>39195</c:v>
              </c:pt>
              <c:pt idx="436">
                <c:v>39196</c:v>
              </c:pt>
              <c:pt idx="437">
                <c:v>39198</c:v>
              </c:pt>
              <c:pt idx="438">
                <c:v>39199</c:v>
              </c:pt>
              <c:pt idx="439">
                <c:v>39202</c:v>
              </c:pt>
              <c:pt idx="440">
                <c:v>39203</c:v>
              </c:pt>
              <c:pt idx="441">
                <c:v>39204</c:v>
              </c:pt>
              <c:pt idx="442">
                <c:v>39205</c:v>
              </c:pt>
              <c:pt idx="443">
                <c:v>39206</c:v>
              </c:pt>
              <c:pt idx="444">
                <c:v>39209</c:v>
              </c:pt>
              <c:pt idx="445">
                <c:v>39210</c:v>
              </c:pt>
              <c:pt idx="446">
                <c:v>39211</c:v>
              </c:pt>
              <c:pt idx="447">
                <c:v>39212</c:v>
              </c:pt>
              <c:pt idx="448">
                <c:v>39213</c:v>
              </c:pt>
              <c:pt idx="449">
                <c:v>39216</c:v>
              </c:pt>
              <c:pt idx="450">
                <c:v>39217</c:v>
              </c:pt>
              <c:pt idx="451">
                <c:v>39218</c:v>
              </c:pt>
              <c:pt idx="452">
                <c:v>39219</c:v>
              </c:pt>
              <c:pt idx="453">
                <c:v>39220</c:v>
              </c:pt>
              <c:pt idx="454">
                <c:v>39223</c:v>
              </c:pt>
              <c:pt idx="455">
                <c:v>39224</c:v>
              </c:pt>
              <c:pt idx="456">
                <c:v>39225</c:v>
              </c:pt>
              <c:pt idx="457">
                <c:v>39226</c:v>
              </c:pt>
              <c:pt idx="458">
                <c:v>39227</c:v>
              </c:pt>
              <c:pt idx="459">
                <c:v>39230</c:v>
              </c:pt>
              <c:pt idx="460">
                <c:v>39231</c:v>
              </c:pt>
              <c:pt idx="461">
                <c:v>39232</c:v>
              </c:pt>
              <c:pt idx="462">
                <c:v>39233</c:v>
              </c:pt>
              <c:pt idx="463">
                <c:v>39234</c:v>
              </c:pt>
              <c:pt idx="464">
                <c:v>39237</c:v>
              </c:pt>
              <c:pt idx="465">
                <c:v>39238</c:v>
              </c:pt>
              <c:pt idx="466">
                <c:v>39239</c:v>
              </c:pt>
              <c:pt idx="467">
                <c:v>39240</c:v>
              </c:pt>
              <c:pt idx="468">
                <c:v>39241</c:v>
              </c:pt>
              <c:pt idx="469">
                <c:v>39245</c:v>
              </c:pt>
              <c:pt idx="470">
                <c:v>39246</c:v>
              </c:pt>
              <c:pt idx="471">
                <c:v>39247</c:v>
              </c:pt>
              <c:pt idx="472">
                <c:v>39248</c:v>
              </c:pt>
              <c:pt idx="473">
                <c:v>39251</c:v>
              </c:pt>
              <c:pt idx="474">
                <c:v>39252</c:v>
              </c:pt>
              <c:pt idx="475">
                <c:v>39253</c:v>
              </c:pt>
              <c:pt idx="476">
                <c:v>39254</c:v>
              </c:pt>
              <c:pt idx="477">
                <c:v>39255</c:v>
              </c:pt>
              <c:pt idx="478">
                <c:v>39258</c:v>
              </c:pt>
              <c:pt idx="479">
                <c:v>39259</c:v>
              </c:pt>
              <c:pt idx="480">
                <c:v>39260</c:v>
              </c:pt>
              <c:pt idx="481">
                <c:v>39261</c:v>
              </c:pt>
              <c:pt idx="482">
                <c:v>39262</c:v>
              </c:pt>
              <c:pt idx="483">
                <c:v>39265</c:v>
              </c:pt>
              <c:pt idx="484">
                <c:v>39266</c:v>
              </c:pt>
              <c:pt idx="485">
                <c:v>39267</c:v>
              </c:pt>
              <c:pt idx="486">
                <c:v>39268</c:v>
              </c:pt>
              <c:pt idx="487">
                <c:v>39269</c:v>
              </c:pt>
              <c:pt idx="488">
                <c:v>39272</c:v>
              </c:pt>
              <c:pt idx="489">
                <c:v>39273</c:v>
              </c:pt>
              <c:pt idx="490">
                <c:v>39274</c:v>
              </c:pt>
              <c:pt idx="491">
                <c:v>39275</c:v>
              </c:pt>
              <c:pt idx="492">
                <c:v>39276</c:v>
              </c:pt>
              <c:pt idx="493">
                <c:v>39279</c:v>
              </c:pt>
              <c:pt idx="494">
                <c:v>39280</c:v>
              </c:pt>
              <c:pt idx="495">
                <c:v>39281</c:v>
              </c:pt>
              <c:pt idx="496">
                <c:v>39282</c:v>
              </c:pt>
              <c:pt idx="497">
                <c:v>39283</c:v>
              </c:pt>
              <c:pt idx="498">
                <c:v>39286</c:v>
              </c:pt>
              <c:pt idx="499">
                <c:v>39287</c:v>
              </c:pt>
              <c:pt idx="500">
                <c:v>39288</c:v>
              </c:pt>
              <c:pt idx="501">
                <c:v>39289</c:v>
              </c:pt>
              <c:pt idx="502">
                <c:v>39290</c:v>
              </c:pt>
              <c:pt idx="503">
                <c:v>39293</c:v>
              </c:pt>
              <c:pt idx="504">
                <c:v>39294</c:v>
              </c:pt>
              <c:pt idx="505">
                <c:v>39295</c:v>
              </c:pt>
              <c:pt idx="506">
                <c:v>39296</c:v>
              </c:pt>
              <c:pt idx="507">
                <c:v>39297</c:v>
              </c:pt>
              <c:pt idx="508">
                <c:v>39300</c:v>
              </c:pt>
              <c:pt idx="509">
                <c:v>39301</c:v>
              </c:pt>
              <c:pt idx="510">
                <c:v>39302</c:v>
              </c:pt>
              <c:pt idx="511">
                <c:v>39303</c:v>
              </c:pt>
              <c:pt idx="512">
                <c:v>39304</c:v>
              </c:pt>
              <c:pt idx="513">
                <c:v>39307</c:v>
              </c:pt>
              <c:pt idx="514">
                <c:v>39308</c:v>
              </c:pt>
              <c:pt idx="515">
                <c:v>39309</c:v>
              </c:pt>
              <c:pt idx="516">
                <c:v>39310</c:v>
              </c:pt>
              <c:pt idx="517">
                <c:v>39311</c:v>
              </c:pt>
              <c:pt idx="518">
                <c:v>39314</c:v>
              </c:pt>
              <c:pt idx="519">
                <c:v>39315</c:v>
              </c:pt>
              <c:pt idx="520">
                <c:v>39316</c:v>
              </c:pt>
              <c:pt idx="521">
                <c:v>39317</c:v>
              </c:pt>
              <c:pt idx="522">
                <c:v>39318</c:v>
              </c:pt>
              <c:pt idx="523">
                <c:v>39321</c:v>
              </c:pt>
              <c:pt idx="524">
                <c:v>39322</c:v>
              </c:pt>
              <c:pt idx="525">
                <c:v>39323</c:v>
              </c:pt>
              <c:pt idx="526">
                <c:v>39324</c:v>
              </c:pt>
              <c:pt idx="527">
                <c:v>39325</c:v>
              </c:pt>
              <c:pt idx="528">
                <c:v>39568</c:v>
              </c:pt>
              <c:pt idx="529">
                <c:v>39569</c:v>
              </c:pt>
              <c:pt idx="530">
                <c:v>39570</c:v>
              </c:pt>
              <c:pt idx="531">
                <c:v>39573</c:v>
              </c:pt>
              <c:pt idx="532">
                <c:v>39574</c:v>
              </c:pt>
              <c:pt idx="533">
                <c:v>39575</c:v>
              </c:pt>
              <c:pt idx="534">
                <c:v>39576</c:v>
              </c:pt>
              <c:pt idx="535">
                <c:v>39577</c:v>
              </c:pt>
              <c:pt idx="536">
                <c:v>39580</c:v>
              </c:pt>
              <c:pt idx="537">
                <c:v>39581</c:v>
              </c:pt>
              <c:pt idx="538">
                <c:v>39582</c:v>
              </c:pt>
              <c:pt idx="539">
                <c:v>39583</c:v>
              </c:pt>
              <c:pt idx="540">
                <c:v>39584</c:v>
              </c:pt>
              <c:pt idx="541">
                <c:v>39587</c:v>
              </c:pt>
              <c:pt idx="542">
                <c:v>39588</c:v>
              </c:pt>
              <c:pt idx="543">
                <c:v>39589</c:v>
              </c:pt>
              <c:pt idx="544">
                <c:v>39590</c:v>
              </c:pt>
              <c:pt idx="545">
                <c:v>39591</c:v>
              </c:pt>
              <c:pt idx="546">
                <c:v>39594</c:v>
              </c:pt>
              <c:pt idx="547">
                <c:v>39595</c:v>
              </c:pt>
              <c:pt idx="548">
                <c:v>39596</c:v>
              </c:pt>
              <c:pt idx="549">
                <c:v>39597</c:v>
              </c:pt>
              <c:pt idx="550">
                <c:v>39598</c:v>
              </c:pt>
              <c:pt idx="551">
                <c:v>39660</c:v>
              </c:pt>
              <c:pt idx="552">
                <c:v>39661</c:v>
              </c:pt>
              <c:pt idx="553">
                <c:v>39664</c:v>
              </c:pt>
              <c:pt idx="554">
                <c:v>39665</c:v>
              </c:pt>
              <c:pt idx="555">
                <c:v>39666</c:v>
              </c:pt>
              <c:pt idx="556">
                <c:v>39667</c:v>
              </c:pt>
              <c:pt idx="557">
                <c:v>39668</c:v>
              </c:pt>
              <c:pt idx="558">
                <c:v>39671</c:v>
              </c:pt>
              <c:pt idx="559">
                <c:v>39672</c:v>
              </c:pt>
              <c:pt idx="560">
                <c:v>39673</c:v>
              </c:pt>
              <c:pt idx="561">
                <c:v>39674</c:v>
              </c:pt>
              <c:pt idx="562">
                <c:v>39675</c:v>
              </c:pt>
              <c:pt idx="563">
                <c:v>39678</c:v>
              </c:pt>
              <c:pt idx="564">
                <c:v>39679</c:v>
              </c:pt>
              <c:pt idx="565">
                <c:v>39680</c:v>
              </c:pt>
              <c:pt idx="566">
                <c:v>39681</c:v>
              </c:pt>
              <c:pt idx="567">
                <c:v>39682</c:v>
              </c:pt>
              <c:pt idx="568">
                <c:v>39685</c:v>
              </c:pt>
              <c:pt idx="569">
                <c:v>39686</c:v>
              </c:pt>
              <c:pt idx="570">
                <c:v>39687</c:v>
              </c:pt>
              <c:pt idx="571">
                <c:v>39688</c:v>
              </c:pt>
              <c:pt idx="572">
                <c:v>39689</c:v>
              </c:pt>
              <c:pt idx="573">
                <c:v>39692</c:v>
              </c:pt>
              <c:pt idx="574">
                <c:v>39693</c:v>
              </c:pt>
              <c:pt idx="575">
                <c:v>39694</c:v>
              </c:pt>
              <c:pt idx="576">
                <c:v>39695</c:v>
              </c:pt>
              <c:pt idx="577">
                <c:v>39696</c:v>
              </c:pt>
              <c:pt idx="578">
                <c:v>39699</c:v>
              </c:pt>
              <c:pt idx="579">
                <c:v>39700</c:v>
              </c:pt>
              <c:pt idx="580">
                <c:v>39701</c:v>
              </c:pt>
              <c:pt idx="581">
                <c:v>39702</c:v>
              </c:pt>
              <c:pt idx="582">
                <c:v>39703</c:v>
              </c:pt>
              <c:pt idx="583">
                <c:v>39706</c:v>
              </c:pt>
              <c:pt idx="584">
                <c:v>39707</c:v>
              </c:pt>
              <c:pt idx="585">
                <c:v>39708</c:v>
              </c:pt>
              <c:pt idx="586">
                <c:v>39709</c:v>
              </c:pt>
              <c:pt idx="587">
                <c:v>39710</c:v>
              </c:pt>
              <c:pt idx="588">
                <c:v>39713</c:v>
              </c:pt>
              <c:pt idx="589">
                <c:v>39714</c:v>
              </c:pt>
              <c:pt idx="590">
                <c:v>39715</c:v>
              </c:pt>
              <c:pt idx="591">
                <c:v>39716</c:v>
              </c:pt>
              <c:pt idx="592">
                <c:v>39717</c:v>
              </c:pt>
              <c:pt idx="593">
                <c:v>39720</c:v>
              </c:pt>
              <c:pt idx="594">
                <c:v>39721</c:v>
              </c:pt>
              <c:pt idx="595">
                <c:v>39722</c:v>
              </c:pt>
              <c:pt idx="596">
                <c:v>39723</c:v>
              </c:pt>
              <c:pt idx="597">
                <c:v>39724</c:v>
              </c:pt>
              <c:pt idx="598">
                <c:v>39727</c:v>
              </c:pt>
              <c:pt idx="599">
                <c:v>39728</c:v>
              </c:pt>
              <c:pt idx="600">
                <c:v>39729</c:v>
              </c:pt>
              <c:pt idx="601">
                <c:v>39730</c:v>
              </c:pt>
              <c:pt idx="602">
                <c:v>39731</c:v>
              </c:pt>
              <c:pt idx="603">
                <c:v>39734</c:v>
              </c:pt>
              <c:pt idx="604">
                <c:v>39735</c:v>
              </c:pt>
              <c:pt idx="605">
                <c:v>39736</c:v>
              </c:pt>
              <c:pt idx="606">
                <c:v>39737</c:v>
              </c:pt>
              <c:pt idx="607">
                <c:v>39738</c:v>
              </c:pt>
              <c:pt idx="608">
                <c:v>39741</c:v>
              </c:pt>
              <c:pt idx="609">
                <c:v>39742</c:v>
              </c:pt>
              <c:pt idx="610">
                <c:v>39743</c:v>
              </c:pt>
              <c:pt idx="611">
                <c:v>39744</c:v>
              </c:pt>
              <c:pt idx="612">
                <c:v>39745</c:v>
              </c:pt>
              <c:pt idx="613">
                <c:v>39748</c:v>
              </c:pt>
              <c:pt idx="614">
                <c:v>39749</c:v>
              </c:pt>
              <c:pt idx="615">
                <c:v>39750</c:v>
              </c:pt>
              <c:pt idx="616">
                <c:v>39751</c:v>
              </c:pt>
              <c:pt idx="617">
                <c:v>39752</c:v>
              </c:pt>
              <c:pt idx="618">
                <c:v>39755</c:v>
              </c:pt>
              <c:pt idx="619">
                <c:v>39756</c:v>
              </c:pt>
              <c:pt idx="620">
                <c:v>39757</c:v>
              </c:pt>
              <c:pt idx="621">
                <c:v>39758</c:v>
              </c:pt>
              <c:pt idx="622">
                <c:v>39759</c:v>
              </c:pt>
              <c:pt idx="623">
                <c:v>39762</c:v>
              </c:pt>
              <c:pt idx="624">
                <c:v>39763</c:v>
              </c:pt>
              <c:pt idx="625">
                <c:v>39764</c:v>
              </c:pt>
              <c:pt idx="626">
                <c:v>39765</c:v>
              </c:pt>
              <c:pt idx="627">
                <c:v>39766</c:v>
              </c:pt>
              <c:pt idx="628">
                <c:v>39769</c:v>
              </c:pt>
              <c:pt idx="629">
                <c:v>39770</c:v>
              </c:pt>
              <c:pt idx="630">
                <c:v>39771</c:v>
              </c:pt>
              <c:pt idx="631">
                <c:v>39772</c:v>
              </c:pt>
              <c:pt idx="632">
                <c:v>39773</c:v>
              </c:pt>
              <c:pt idx="633">
                <c:v>39776</c:v>
              </c:pt>
              <c:pt idx="634">
                <c:v>39777</c:v>
              </c:pt>
              <c:pt idx="635">
                <c:v>39778</c:v>
              </c:pt>
              <c:pt idx="636">
                <c:v>39779</c:v>
              </c:pt>
              <c:pt idx="637">
                <c:v>39780</c:v>
              </c:pt>
              <c:pt idx="638">
                <c:v>39783</c:v>
              </c:pt>
              <c:pt idx="639">
                <c:v>39784</c:v>
              </c:pt>
              <c:pt idx="640">
                <c:v>39785</c:v>
              </c:pt>
              <c:pt idx="641">
                <c:v>39786</c:v>
              </c:pt>
              <c:pt idx="642">
                <c:v>39787</c:v>
              </c:pt>
              <c:pt idx="643">
                <c:v>39790</c:v>
              </c:pt>
              <c:pt idx="644">
                <c:v>39791</c:v>
              </c:pt>
              <c:pt idx="645">
                <c:v>39792</c:v>
              </c:pt>
              <c:pt idx="646">
                <c:v>39793</c:v>
              </c:pt>
              <c:pt idx="647">
                <c:v>39794</c:v>
              </c:pt>
              <c:pt idx="648">
                <c:v>39797</c:v>
              </c:pt>
              <c:pt idx="649">
                <c:v>39798</c:v>
              </c:pt>
              <c:pt idx="650">
                <c:v>39799</c:v>
              </c:pt>
              <c:pt idx="651">
                <c:v>39800</c:v>
              </c:pt>
              <c:pt idx="652">
                <c:v>39801</c:v>
              </c:pt>
              <c:pt idx="653">
                <c:v>39804</c:v>
              </c:pt>
              <c:pt idx="654">
                <c:v>39805</c:v>
              </c:pt>
              <c:pt idx="655">
                <c:v>39806</c:v>
              </c:pt>
              <c:pt idx="656">
                <c:v>39811</c:v>
              </c:pt>
              <c:pt idx="657">
                <c:v>39812</c:v>
              </c:pt>
              <c:pt idx="658">
                <c:v>39813</c:v>
              </c:pt>
              <c:pt idx="659">
                <c:v>39815</c:v>
              </c:pt>
              <c:pt idx="660">
                <c:v>39818</c:v>
              </c:pt>
              <c:pt idx="661">
                <c:v>39819</c:v>
              </c:pt>
              <c:pt idx="662">
                <c:v>39820</c:v>
              </c:pt>
              <c:pt idx="663">
                <c:v>39821</c:v>
              </c:pt>
              <c:pt idx="664">
                <c:v>39822</c:v>
              </c:pt>
              <c:pt idx="665">
                <c:v>39825</c:v>
              </c:pt>
              <c:pt idx="666">
                <c:v>39826</c:v>
              </c:pt>
              <c:pt idx="667">
                <c:v>39827</c:v>
              </c:pt>
              <c:pt idx="668">
                <c:v>39828</c:v>
              </c:pt>
              <c:pt idx="669">
                <c:v>39829</c:v>
              </c:pt>
              <c:pt idx="670">
                <c:v>39832</c:v>
              </c:pt>
              <c:pt idx="671">
                <c:v>39833</c:v>
              </c:pt>
              <c:pt idx="672">
                <c:v>39834</c:v>
              </c:pt>
              <c:pt idx="673">
                <c:v>39835</c:v>
              </c:pt>
              <c:pt idx="674">
                <c:v>39836</c:v>
              </c:pt>
              <c:pt idx="675">
                <c:v>39840</c:v>
              </c:pt>
              <c:pt idx="676">
                <c:v>39841</c:v>
              </c:pt>
              <c:pt idx="677">
                <c:v>39842</c:v>
              </c:pt>
              <c:pt idx="678">
                <c:v>39843</c:v>
              </c:pt>
              <c:pt idx="679">
                <c:v>39846</c:v>
              </c:pt>
              <c:pt idx="680">
                <c:v>39847</c:v>
              </c:pt>
              <c:pt idx="681">
                <c:v>39848</c:v>
              </c:pt>
              <c:pt idx="682">
                <c:v>39849</c:v>
              </c:pt>
              <c:pt idx="683">
                <c:v>39850</c:v>
              </c:pt>
              <c:pt idx="684">
                <c:v>39853</c:v>
              </c:pt>
              <c:pt idx="685">
                <c:v>39854</c:v>
              </c:pt>
              <c:pt idx="686">
                <c:v>39855</c:v>
              </c:pt>
              <c:pt idx="687">
                <c:v>39856</c:v>
              </c:pt>
              <c:pt idx="688">
                <c:v>39857</c:v>
              </c:pt>
              <c:pt idx="689">
                <c:v>39860</c:v>
              </c:pt>
              <c:pt idx="690">
                <c:v>39861</c:v>
              </c:pt>
              <c:pt idx="691">
                <c:v>39862</c:v>
              </c:pt>
              <c:pt idx="692">
                <c:v>39863</c:v>
              </c:pt>
              <c:pt idx="693">
                <c:v>39864</c:v>
              </c:pt>
              <c:pt idx="694">
                <c:v>39867</c:v>
              </c:pt>
              <c:pt idx="695">
                <c:v>39868</c:v>
              </c:pt>
              <c:pt idx="696">
                <c:v>39869</c:v>
              </c:pt>
              <c:pt idx="697">
                <c:v>39870</c:v>
              </c:pt>
              <c:pt idx="698">
                <c:v>39871</c:v>
              </c:pt>
              <c:pt idx="699">
                <c:v>39874</c:v>
              </c:pt>
              <c:pt idx="700">
                <c:v>39875</c:v>
              </c:pt>
              <c:pt idx="701">
                <c:v>39876</c:v>
              </c:pt>
              <c:pt idx="702">
                <c:v>39877</c:v>
              </c:pt>
              <c:pt idx="703">
                <c:v>39878</c:v>
              </c:pt>
              <c:pt idx="704">
                <c:v>39881</c:v>
              </c:pt>
              <c:pt idx="705">
                <c:v>39882</c:v>
              </c:pt>
              <c:pt idx="706">
                <c:v>39883</c:v>
              </c:pt>
              <c:pt idx="707">
                <c:v>39884</c:v>
              </c:pt>
              <c:pt idx="708">
                <c:v>39885</c:v>
              </c:pt>
              <c:pt idx="709">
                <c:v>39888</c:v>
              </c:pt>
              <c:pt idx="710">
                <c:v>39889</c:v>
              </c:pt>
              <c:pt idx="711">
                <c:v>39890</c:v>
              </c:pt>
              <c:pt idx="712">
                <c:v>39891</c:v>
              </c:pt>
              <c:pt idx="713">
                <c:v>39892</c:v>
              </c:pt>
              <c:pt idx="714">
                <c:v>39895</c:v>
              </c:pt>
              <c:pt idx="715">
                <c:v>39896</c:v>
              </c:pt>
              <c:pt idx="716">
                <c:v>39897</c:v>
              </c:pt>
              <c:pt idx="717">
                <c:v>39898</c:v>
              </c:pt>
              <c:pt idx="718">
                <c:v>39899</c:v>
              </c:pt>
              <c:pt idx="719">
                <c:v>39902</c:v>
              </c:pt>
              <c:pt idx="720">
                <c:v>39903</c:v>
              </c:pt>
              <c:pt idx="721">
                <c:v>39904</c:v>
              </c:pt>
              <c:pt idx="722">
                <c:v>39905</c:v>
              </c:pt>
              <c:pt idx="723">
                <c:v>39906</c:v>
              </c:pt>
              <c:pt idx="724">
                <c:v>39909</c:v>
              </c:pt>
              <c:pt idx="725">
                <c:v>39910</c:v>
              </c:pt>
              <c:pt idx="726">
                <c:v>39911</c:v>
              </c:pt>
              <c:pt idx="727">
                <c:v>39912</c:v>
              </c:pt>
              <c:pt idx="728">
                <c:v>39917</c:v>
              </c:pt>
              <c:pt idx="729">
                <c:v>39918</c:v>
              </c:pt>
              <c:pt idx="730">
                <c:v>39919</c:v>
              </c:pt>
              <c:pt idx="731">
                <c:v>39920</c:v>
              </c:pt>
              <c:pt idx="732">
                <c:v>39923</c:v>
              </c:pt>
              <c:pt idx="733">
                <c:v>39924</c:v>
              </c:pt>
              <c:pt idx="734">
                <c:v>39925</c:v>
              </c:pt>
              <c:pt idx="735">
                <c:v>39926</c:v>
              </c:pt>
              <c:pt idx="736">
                <c:v>39927</c:v>
              </c:pt>
              <c:pt idx="737">
                <c:v>39930</c:v>
              </c:pt>
              <c:pt idx="738">
                <c:v>39931</c:v>
              </c:pt>
              <c:pt idx="739">
                <c:v>39932</c:v>
              </c:pt>
              <c:pt idx="740">
                <c:v>39933</c:v>
              </c:pt>
              <c:pt idx="741">
                <c:v>39934</c:v>
              </c:pt>
              <c:pt idx="742">
                <c:v>39937</c:v>
              </c:pt>
              <c:pt idx="743">
                <c:v>39938</c:v>
              </c:pt>
              <c:pt idx="744">
                <c:v>39939</c:v>
              </c:pt>
              <c:pt idx="745">
                <c:v>39940</c:v>
              </c:pt>
              <c:pt idx="746">
                <c:v>39941</c:v>
              </c:pt>
              <c:pt idx="747">
                <c:v>39944</c:v>
              </c:pt>
              <c:pt idx="748">
                <c:v>39945</c:v>
              </c:pt>
              <c:pt idx="749">
                <c:v>39946</c:v>
              </c:pt>
              <c:pt idx="750">
                <c:v>39947</c:v>
              </c:pt>
              <c:pt idx="751">
                <c:v>39948</c:v>
              </c:pt>
              <c:pt idx="752">
                <c:v>39951</c:v>
              </c:pt>
              <c:pt idx="753">
                <c:v>39952</c:v>
              </c:pt>
              <c:pt idx="754">
                <c:v>39953</c:v>
              </c:pt>
              <c:pt idx="755">
                <c:v>39954</c:v>
              </c:pt>
              <c:pt idx="756">
                <c:v>39955</c:v>
              </c:pt>
              <c:pt idx="757">
                <c:v>39958</c:v>
              </c:pt>
              <c:pt idx="758">
                <c:v>39959</c:v>
              </c:pt>
              <c:pt idx="759">
                <c:v>39960</c:v>
              </c:pt>
              <c:pt idx="760">
                <c:v>39961</c:v>
              </c:pt>
              <c:pt idx="761">
                <c:v>39962</c:v>
              </c:pt>
              <c:pt idx="762">
                <c:v>39965</c:v>
              </c:pt>
              <c:pt idx="763">
                <c:v>39966</c:v>
              </c:pt>
              <c:pt idx="764">
                <c:v>39967</c:v>
              </c:pt>
              <c:pt idx="765">
                <c:v>39968</c:v>
              </c:pt>
              <c:pt idx="766">
                <c:v>39969</c:v>
              </c:pt>
              <c:pt idx="767">
                <c:v>39973</c:v>
              </c:pt>
              <c:pt idx="768">
                <c:v>39974</c:v>
              </c:pt>
              <c:pt idx="769">
                <c:v>39975</c:v>
              </c:pt>
              <c:pt idx="770">
                <c:v>39976</c:v>
              </c:pt>
              <c:pt idx="771">
                <c:v>39979</c:v>
              </c:pt>
              <c:pt idx="772">
                <c:v>39980</c:v>
              </c:pt>
              <c:pt idx="773">
                <c:v>39981</c:v>
              </c:pt>
              <c:pt idx="774">
                <c:v>39982</c:v>
              </c:pt>
              <c:pt idx="775">
                <c:v>39983</c:v>
              </c:pt>
              <c:pt idx="776">
                <c:v>39986</c:v>
              </c:pt>
              <c:pt idx="777">
                <c:v>39987</c:v>
              </c:pt>
              <c:pt idx="778">
                <c:v>39988</c:v>
              </c:pt>
              <c:pt idx="779">
                <c:v>39989</c:v>
              </c:pt>
              <c:pt idx="780">
                <c:v>39990</c:v>
              </c:pt>
              <c:pt idx="781">
                <c:v>39993</c:v>
              </c:pt>
              <c:pt idx="782">
                <c:v>39994</c:v>
              </c:pt>
              <c:pt idx="783">
                <c:v>39995</c:v>
              </c:pt>
              <c:pt idx="784">
                <c:v>39996</c:v>
              </c:pt>
              <c:pt idx="785">
                <c:v>39997</c:v>
              </c:pt>
              <c:pt idx="786">
                <c:v>40000</c:v>
              </c:pt>
              <c:pt idx="787">
                <c:v>40001</c:v>
              </c:pt>
              <c:pt idx="788">
                <c:v>40002</c:v>
              </c:pt>
              <c:pt idx="789">
                <c:v>40003</c:v>
              </c:pt>
              <c:pt idx="790">
                <c:v>40004</c:v>
              </c:pt>
              <c:pt idx="791">
                <c:v>40007</c:v>
              </c:pt>
              <c:pt idx="792">
                <c:v>40008</c:v>
              </c:pt>
              <c:pt idx="793">
                <c:v>40009</c:v>
              </c:pt>
              <c:pt idx="794">
                <c:v>40010</c:v>
              </c:pt>
              <c:pt idx="795">
                <c:v>40011</c:v>
              </c:pt>
              <c:pt idx="796">
                <c:v>40014</c:v>
              </c:pt>
              <c:pt idx="797">
                <c:v>40015</c:v>
              </c:pt>
              <c:pt idx="798">
                <c:v>40016</c:v>
              </c:pt>
              <c:pt idx="799">
                <c:v>40017</c:v>
              </c:pt>
              <c:pt idx="800">
                <c:v>40018</c:v>
              </c:pt>
              <c:pt idx="801">
                <c:v>40021</c:v>
              </c:pt>
              <c:pt idx="802">
                <c:v>40022</c:v>
              </c:pt>
              <c:pt idx="803">
                <c:v>40023</c:v>
              </c:pt>
              <c:pt idx="804">
                <c:v>40024</c:v>
              </c:pt>
              <c:pt idx="805">
                <c:v>40025</c:v>
              </c:pt>
              <c:pt idx="806">
                <c:v>40028</c:v>
              </c:pt>
              <c:pt idx="807">
                <c:v>40029</c:v>
              </c:pt>
              <c:pt idx="808">
                <c:v>40030</c:v>
              </c:pt>
              <c:pt idx="809">
                <c:v>40031</c:v>
              </c:pt>
              <c:pt idx="810">
                <c:v>40032</c:v>
              </c:pt>
              <c:pt idx="811">
                <c:v>40035</c:v>
              </c:pt>
              <c:pt idx="812">
                <c:v>40036</c:v>
              </c:pt>
              <c:pt idx="813">
                <c:v>40037</c:v>
              </c:pt>
              <c:pt idx="814">
                <c:v>40038</c:v>
              </c:pt>
              <c:pt idx="815">
                <c:v>40039</c:v>
              </c:pt>
              <c:pt idx="816">
                <c:v>40042</c:v>
              </c:pt>
              <c:pt idx="817">
                <c:v>40043</c:v>
              </c:pt>
              <c:pt idx="818">
                <c:v>40044</c:v>
              </c:pt>
              <c:pt idx="819">
                <c:v>40045</c:v>
              </c:pt>
              <c:pt idx="820">
                <c:v>40046</c:v>
              </c:pt>
              <c:pt idx="821">
                <c:v>40049</c:v>
              </c:pt>
              <c:pt idx="822">
                <c:v>40050</c:v>
              </c:pt>
              <c:pt idx="823">
                <c:v>40051</c:v>
              </c:pt>
              <c:pt idx="824">
                <c:v>40052</c:v>
              </c:pt>
              <c:pt idx="825">
                <c:v>40053</c:v>
              </c:pt>
              <c:pt idx="826">
                <c:v>40056</c:v>
              </c:pt>
              <c:pt idx="827">
                <c:v>40057</c:v>
              </c:pt>
              <c:pt idx="828">
                <c:v>40058</c:v>
              </c:pt>
              <c:pt idx="829">
                <c:v>40059</c:v>
              </c:pt>
              <c:pt idx="830">
                <c:v>40060</c:v>
              </c:pt>
              <c:pt idx="831">
                <c:v>40063</c:v>
              </c:pt>
              <c:pt idx="832">
                <c:v>40064</c:v>
              </c:pt>
              <c:pt idx="833">
                <c:v>40065</c:v>
              </c:pt>
              <c:pt idx="834">
                <c:v>40066</c:v>
              </c:pt>
              <c:pt idx="835">
                <c:v>40067</c:v>
              </c:pt>
              <c:pt idx="836">
                <c:v>40070</c:v>
              </c:pt>
              <c:pt idx="837">
                <c:v>40071</c:v>
              </c:pt>
              <c:pt idx="838">
                <c:v>40072</c:v>
              </c:pt>
              <c:pt idx="839">
                <c:v>40073</c:v>
              </c:pt>
              <c:pt idx="840">
                <c:v>40074</c:v>
              </c:pt>
              <c:pt idx="841">
                <c:v>40077</c:v>
              </c:pt>
              <c:pt idx="842">
                <c:v>40078</c:v>
              </c:pt>
              <c:pt idx="843">
                <c:v>40079</c:v>
              </c:pt>
              <c:pt idx="844">
                <c:v>40080</c:v>
              </c:pt>
              <c:pt idx="845">
                <c:v>40081</c:v>
              </c:pt>
              <c:pt idx="846">
                <c:v>40084</c:v>
              </c:pt>
              <c:pt idx="847">
                <c:v>40085</c:v>
              </c:pt>
              <c:pt idx="848">
                <c:v>40086</c:v>
              </c:pt>
              <c:pt idx="849">
                <c:v>40087</c:v>
              </c:pt>
              <c:pt idx="850">
                <c:v>40088</c:v>
              </c:pt>
              <c:pt idx="851">
                <c:v>40091</c:v>
              </c:pt>
              <c:pt idx="852">
                <c:v>40092</c:v>
              </c:pt>
              <c:pt idx="853">
                <c:v>40093</c:v>
              </c:pt>
              <c:pt idx="854">
                <c:v>40094</c:v>
              </c:pt>
              <c:pt idx="855">
                <c:v>40095</c:v>
              </c:pt>
              <c:pt idx="856">
                <c:v>40098</c:v>
              </c:pt>
              <c:pt idx="857">
                <c:v>40099</c:v>
              </c:pt>
              <c:pt idx="858">
                <c:v>40100</c:v>
              </c:pt>
              <c:pt idx="859">
                <c:v>40101</c:v>
              </c:pt>
              <c:pt idx="860">
                <c:v>40102</c:v>
              </c:pt>
              <c:pt idx="861">
                <c:v>40105</c:v>
              </c:pt>
              <c:pt idx="862">
                <c:v>40106</c:v>
              </c:pt>
              <c:pt idx="863">
                <c:v>40107</c:v>
              </c:pt>
              <c:pt idx="864">
                <c:v>40108</c:v>
              </c:pt>
              <c:pt idx="865">
                <c:v>40109</c:v>
              </c:pt>
              <c:pt idx="866">
                <c:v>40112</c:v>
              </c:pt>
              <c:pt idx="867">
                <c:v>40113</c:v>
              </c:pt>
              <c:pt idx="868">
                <c:v>40114</c:v>
              </c:pt>
              <c:pt idx="869">
                <c:v>40115</c:v>
              </c:pt>
              <c:pt idx="870">
                <c:v>40116</c:v>
              </c:pt>
              <c:pt idx="871">
                <c:v>40119</c:v>
              </c:pt>
              <c:pt idx="872">
                <c:v>40120</c:v>
              </c:pt>
              <c:pt idx="873">
                <c:v>40121</c:v>
              </c:pt>
              <c:pt idx="874">
                <c:v>40122</c:v>
              </c:pt>
              <c:pt idx="875">
                <c:v>40123</c:v>
              </c:pt>
              <c:pt idx="876">
                <c:v>40126</c:v>
              </c:pt>
              <c:pt idx="877">
                <c:v>40127</c:v>
              </c:pt>
              <c:pt idx="878">
                <c:v>40128</c:v>
              </c:pt>
              <c:pt idx="879">
                <c:v>40129</c:v>
              </c:pt>
              <c:pt idx="880">
                <c:v>40130</c:v>
              </c:pt>
              <c:pt idx="881">
                <c:v>40133</c:v>
              </c:pt>
              <c:pt idx="882">
                <c:v>40134</c:v>
              </c:pt>
              <c:pt idx="883">
                <c:v>40135</c:v>
              </c:pt>
              <c:pt idx="884">
                <c:v>40136</c:v>
              </c:pt>
              <c:pt idx="885">
                <c:v>40137</c:v>
              </c:pt>
              <c:pt idx="886">
                <c:v>40140</c:v>
              </c:pt>
              <c:pt idx="887">
                <c:v>40141</c:v>
              </c:pt>
              <c:pt idx="888">
                <c:v>40142</c:v>
              </c:pt>
              <c:pt idx="889">
                <c:v>40143</c:v>
              </c:pt>
              <c:pt idx="890">
                <c:v>40144</c:v>
              </c:pt>
              <c:pt idx="891">
                <c:v>40147</c:v>
              </c:pt>
              <c:pt idx="892">
                <c:v>40148</c:v>
              </c:pt>
              <c:pt idx="893">
                <c:v>40149</c:v>
              </c:pt>
              <c:pt idx="894">
                <c:v>40150</c:v>
              </c:pt>
              <c:pt idx="895">
                <c:v>40151</c:v>
              </c:pt>
              <c:pt idx="896">
                <c:v>40154</c:v>
              </c:pt>
              <c:pt idx="897">
                <c:v>40155</c:v>
              </c:pt>
              <c:pt idx="898">
                <c:v>40156</c:v>
              </c:pt>
              <c:pt idx="899">
                <c:v>40157</c:v>
              </c:pt>
              <c:pt idx="900">
                <c:v>40158</c:v>
              </c:pt>
              <c:pt idx="901">
                <c:v>40161</c:v>
              </c:pt>
              <c:pt idx="902">
                <c:v>40162</c:v>
              </c:pt>
              <c:pt idx="903">
                <c:v>40163</c:v>
              </c:pt>
              <c:pt idx="904">
                <c:v>40164</c:v>
              </c:pt>
              <c:pt idx="905">
                <c:v>40165</c:v>
              </c:pt>
              <c:pt idx="906">
                <c:v>40168</c:v>
              </c:pt>
              <c:pt idx="907">
                <c:v>40169</c:v>
              </c:pt>
              <c:pt idx="908">
                <c:v>40170</c:v>
              </c:pt>
              <c:pt idx="909">
                <c:v>40171</c:v>
              </c:pt>
              <c:pt idx="910">
                <c:v>40176</c:v>
              </c:pt>
              <c:pt idx="911">
                <c:v>40177</c:v>
              </c:pt>
              <c:pt idx="912">
                <c:v>40178</c:v>
              </c:pt>
              <c:pt idx="913">
                <c:v>40182</c:v>
              </c:pt>
              <c:pt idx="914">
                <c:v>40183</c:v>
              </c:pt>
              <c:pt idx="915">
                <c:v>40184</c:v>
              </c:pt>
              <c:pt idx="916">
                <c:v>40185</c:v>
              </c:pt>
              <c:pt idx="917">
                <c:v>40186</c:v>
              </c:pt>
              <c:pt idx="918">
                <c:v>40189</c:v>
              </c:pt>
              <c:pt idx="919">
                <c:v>40190</c:v>
              </c:pt>
              <c:pt idx="920">
                <c:v>40191</c:v>
              </c:pt>
              <c:pt idx="921">
                <c:v>40192</c:v>
              </c:pt>
              <c:pt idx="922">
                <c:v>40193</c:v>
              </c:pt>
              <c:pt idx="923">
                <c:v>40196</c:v>
              </c:pt>
              <c:pt idx="924">
                <c:v>40197</c:v>
              </c:pt>
              <c:pt idx="925">
                <c:v>40198</c:v>
              </c:pt>
              <c:pt idx="926">
                <c:v>40199</c:v>
              </c:pt>
              <c:pt idx="927">
                <c:v>40200</c:v>
              </c:pt>
              <c:pt idx="928">
                <c:v>40203</c:v>
              </c:pt>
              <c:pt idx="929">
                <c:v>40205</c:v>
              </c:pt>
              <c:pt idx="930">
                <c:v>40206</c:v>
              </c:pt>
              <c:pt idx="931">
                <c:v>40207</c:v>
              </c:pt>
              <c:pt idx="932">
                <c:v>40210</c:v>
              </c:pt>
              <c:pt idx="933">
                <c:v>40211</c:v>
              </c:pt>
              <c:pt idx="934">
                <c:v>40212</c:v>
              </c:pt>
              <c:pt idx="935">
                <c:v>40213</c:v>
              </c:pt>
              <c:pt idx="936">
                <c:v>40214</c:v>
              </c:pt>
              <c:pt idx="937">
                <c:v>40217</c:v>
              </c:pt>
              <c:pt idx="938">
                <c:v>40218</c:v>
              </c:pt>
              <c:pt idx="939">
                <c:v>40219</c:v>
              </c:pt>
              <c:pt idx="940">
                <c:v>40220</c:v>
              </c:pt>
              <c:pt idx="941">
                <c:v>40221</c:v>
              </c:pt>
              <c:pt idx="942">
                <c:v>40224</c:v>
              </c:pt>
              <c:pt idx="943">
                <c:v>40225</c:v>
              </c:pt>
              <c:pt idx="944">
                <c:v>40226</c:v>
              </c:pt>
              <c:pt idx="945">
                <c:v>40227</c:v>
              </c:pt>
              <c:pt idx="946">
                <c:v>40228</c:v>
              </c:pt>
              <c:pt idx="947">
                <c:v>40231</c:v>
              </c:pt>
              <c:pt idx="948">
                <c:v>40232</c:v>
              </c:pt>
              <c:pt idx="949">
                <c:v>40233</c:v>
              </c:pt>
              <c:pt idx="950">
                <c:v>40234</c:v>
              </c:pt>
              <c:pt idx="951">
                <c:v>40235</c:v>
              </c:pt>
              <c:pt idx="952">
                <c:v>40238</c:v>
              </c:pt>
              <c:pt idx="953">
                <c:v>40239</c:v>
              </c:pt>
              <c:pt idx="954">
                <c:v>40240</c:v>
              </c:pt>
              <c:pt idx="955">
                <c:v>40241</c:v>
              </c:pt>
              <c:pt idx="956">
                <c:v>40242</c:v>
              </c:pt>
              <c:pt idx="957">
                <c:v>40245</c:v>
              </c:pt>
              <c:pt idx="958">
                <c:v>40246</c:v>
              </c:pt>
              <c:pt idx="959">
                <c:v>40247</c:v>
              </c:pt>
              <c:pt idx="960">
                <c:v>40248</c:v>
              </c:pt>
              <c:pt idx="961">
                <c:v>40249</c:v>
              </c:pt>
              <c:pt idx="962">
                <c:v>40252</c:v>
              </c:pt>
              <c:pt idx="963">
                <c:v>40253</c:v>
              </c:pt>
              <c:pt idx="964">
                <c:v>40254</c:v>
              </c:pt>
              <c:pt idx="965">
                <c:v>40255</c:v>
              </c:pt>
              <c:pt idx="966">
                <c:v>40256</c:v>
              </c:pt>
              <c:pt idx="967">
                <c:v>40259</c:v>
              </c:pt>
              <c:pt idx="968">
                <c:v>40260</c:v>
              </c:pt>
              <c:pt idx="969">
                <c:v>40261</c:v>
              </c:pt>
              <c:pt idx="970">
                <c:v>40262</c:v>
              </c:pt>
              <c:pt idx="971">
                <c:v>40263</c:v>
              </c:pt>
              <c:pt idx="972">
                <c:v>40266</c:v>
              </c:pt>
              <c:pt idx="973">
                <c:v>40267</c:v>
              </c:pt>
              <c:pt idx="974">
                <c:v>40268</c:v>
              </c:pt>
              <c:pt idx="975">
                <c:v>40269</c:v>
              </c:pt>
              <c:pt idx="976">
                <c:v>40274</c:v>
              </c:pt>
              <c:pt idx="977">
                <c:v>40275</c:v>
              </c:pt>
              <c:pt idx="978">
                <c:v>40276</c:v>
              </c:pt>
              <c:pt idx="979">
                <c:v>40277</c:v>
              </c:pt>
              <c:pt idx="980">
                <c:v>40280</c:v>
              </c:pt>
              <c:pt idx="981">
                <c:v>40281</c:v>
              </c:pt>
              <c:pt idx="982">
                <c:v>40282</c:v>
              </c:pt>
              <c:pt idx="983">
                <c:v>40283</c:v>
              </c:pt>
              <c:pt idx="984">
                <c:v>40284</c:v>
              </c:pt>
              <c:pt idx="985">
                <c:v>40287</c:v>
              </c:pt>
              <c:pt idx="986">
                <c:v>40288</c:v>
              </c:pt>
              <c:pt idx="987">
                <c:v>40289</c:v>
              </c:pt>
              <c:pt idx="988">
                <c:v>40290</c:v>
              </c:pt>
              <c:pt idx="989">
                <c:v>40291</c:v>
              </c:pt>
              <c:pt idx="990">
                <c:v>40295</c:v>
              </c:pt>
              <c:pt idx="991">
                <c:v>40296</c:v>
              </c:pt>
              <c:pt idx="992">
                <c:v>40297</c:v>
              </c:pt>
              <c:pt idx="993">
                <c:v>40298</c:v>
              </c:pt>
              <c:pt idx="994">
                <c:v>40301</c:v>
              </c:pt>
              <c:pt idx="995">
                <c:v>40302</c:v>
              </c:pt>
              <c:pt idx="996">
                <c:v>40303</c:v>
              </c:pt>
              <c:pt idx="997">
                <c:v>40304</c:v>
              </c:pt>
              <c:pt idx="998">
                <c:v>40305</c:v>
              </c:pt>
              <c:pt idx="999">
                <c:v>40308</c:v>
              </c:pt>
              <c:pt idx="1000">
                <c:v>40309</c:v>
              </c:pt>
              <c:pt idx="1001">
                <c:v>40310</c:v>
              </c:pt>
              <c:pt idx="1002">
                <c:v>40311</c:v>
              </c:pt>
              <c:pt idx="1003">
                <c:v>40312</c:v>
              </c:pt>
              <c:pt idx="1004">
                <c:v>40315</c:v>
              </c:pt>
              <c:pt idx="1005">
                <c:v>40316</c:v>
              </c:pt>
              <c:pt idx="1006">
                <c:v>40317</c:v>
              </c:pt>
              <c:pt idx="1007">
                <c:v>40318</c:v>
              </c:pt>
              <c:pt idx="1008">
                <c:v>40319</c:v>
              </c:pt>
              <c:pt idx="1009">
                <c:v>40322</c:v>
              </c:pt>
              <c:pt idx="1010">
                <c:v>40323</c:v>
              </c:pt>
              <c:pt idx="1011">
                <c:v>40324</c:v>
              </c:pt>
              <c:pt idx="1012">
                <c:v>40325</c:v>
              </c:pt>
              <c:pt idx="1013">
                <c:v>40326</c:v>
              </c:pt>
              <c:pt idx="1014">
                <c:v>40329</c:v>
              </c:pt>
              <c:pt idx="1015">
                <c:v>40330</c:v>
              </c:pt>
              <c:pt idx="1016">
                <c:v>40331</c:v>
              </c:pt>
              <c:pt idx="1017">
                <c:v>40332</c:v>
              </c:pt>
              <c:pt idx="1018">
                <c:v>40333</c:v>
              </c:pt>
              <c:pt idx="1019">
                <c:v>40336</c:v>
              </c:pt>
              <c:pt idx="1020">
                <c:v>40337</c:v>
              </c:pt>
              <c:pt idx="1021">
                <c:v>40338</c:v>
              </c:pt>
              <c:pt idx="1022">
                <c:v>40339</c:v>
              </c:pt>
              <c:pt idx="1023">
                <c:v>40340</c:v>
              </c:pt>
              <c:pt idx="1024">
                <c:v>40344</c:v>
              </c:pt>
              <c:pt idx="1025">
                <c:v>40345</c:v>
              </c:pt>
              <c:pt idx="1026">
                <c:v>40346</c:v>
              </c:pt>
              <c:pt idx="1027">
                <c:v>40347</c:v>
              </c:pt>
              <c:pt idx="1028">
                <c:v>40350</c:v>
              </c:pt>
              <c:pt idx="1029">
                <c:v>40351</c:v>
              </c:pt>
              <c:pt idx="1030">
                <c:v>40352</c:v>
              </c:pt>
              <c:pt idx="1031">
                <c:v>40353</c:v>
              </c:pt>
              <c:pt idx="1032">
                <c:v>40354</c:v>
              </c:pt>
              <c:pt idx="1033">
                <c:v>40357</c:v>
              </c:pt>
              <c:pt idx="1034">
                <c:v>40358</c:v>
              </c:pt>
              <c:pt idx="1035">
                <c:v>40359</c:v>
              </c:pt>
              <c:pt idx="1036">
                <c:v>40360</c:v>
              </c:pt>
              <c:pt idx="1037">
                <c:v>40361</c:v>
              </c:pt>
              <c:pt idx="1038">
                <c:v>40364</c:v>
              </c:pt>
              <c:pt idx="1039">
                <c:v>40365</c:v>
              </c:pt>
              <c:pt idx="1040">
                <c:v>40366</c:v>
              </c:pt>
              <c:pt idx="1041">
                <c:v>40367</c:v>
              </c:pt>
              <c:pt idx="1042">
                <c:v>40368</c:v>
              </c:pt>
              <c:pt idx="1043">
                <c:v>40371</c:v>
              </c:pt>
              <c:pt idx="1044">
                <c:v>40372</c:v>
              </c:pt>
              <c:pt idx="1045">
                <c:v>40373</c:v>
              </c:pt>
              <c:pt idx="1046">
                <c:v>40374</c:v>
              </c:pt>
              <c:pt idx="1047">
                <c:v>40375</c:v>
              </c:pt>
              <c:pt idx="1048">
                <c:v>40378</c:v>
              </c:pt>
              <c:pt idx="1049">
                <c:v>40379</c:v>
              </c:pt>
              <c:pt idx="1050">
                <c:v>40380</c:v>
              </c:pt>
              <c:pt idx="1051">
                <c:v>40381</c:v>
              </c:pt>
              <c:pt idx="1052">
                <c:v>40382</c:v>
              </c:pt>
              <c:pt idx="1053">
                <c:v>40385</c:v>
              </c:pt>
              <c:pt idx="1054">
                <c:v>40386</c:v>
              </c:pt>
              <c:pt idx="1055">
                <c:v>40387</c:v>
              </c:pt>
              <c:pt idx="1056">
                <c:v>40388</c:v>
              </c:pt>
              <c:pt idx="1057">
                <c:v>40389</c:v>
              </c:pt>
              <c:pt idx="1058">
                <c:v>40392</c:v>
              </c:pt>
              <c:pt idx="1059">
                <c:v>40393</c:v>
              </c:pt>
              <c:pt idx="1060">
                <c:v>40394</c:v>
              </c:pt>
              <c:pt idx="1061">
                <c:v>40395</c:v>
              </c:pt>
              <c:pt idx="1062">
                <c:v>40396</c:v>
              </c:pt>
              <c:pt idx="1063">
                <c:v>40399</c:v>
              </c:pt>
              <c:pt idx="1064">
                <c:v>40400</c:v>
              </c:pt>
              <c:pt idx="1065">
                <c:v>40401</c:v>
              </c:pt>
              <c:pt idx="1066">
                <c:v>40402</c:v>
              </c:pt>
              <c:pt idx="1067">
                <c:v>40403</c:v>
              </c:pt>
              <c:pt idx="1068">
                <c:v>40406</c:v>
              </c:pt>
              <c:pt idx="1069">
                <c:v>40407</c:v>
              </c:pt>
              <c:pt idx="1070">
                <c:v>40408</c:v>
              </c:pt>
              <c:pt idx="1071">
                <c:v>40409</c:v>
              </c:pt>
              <c:pt idx="1072">
                <c:v>40410</c:v>
              </c:pt>
              <c:pt idx="1073">
                <c:v>40413</c:v>
              </c:pt>
              <c:pt idx="1074">
                <c:v>40414</c:v>
              </c:pt>
              <c:pt idx="1075">
                <c:v>40415</c:v>
              </c:pt>
              <c:pt idx="1076">
                <c:v>40416</c:v>
              </c:pt>
              <c:pt idx="1077">
                <c:v>40417</c:v>
              </c:pt>
              <c:pt idx="1078">
                <c:v>40420</c:v>
              </c:pt>
              <c:pt idx="1079">
                <c:v>40421</c:v>
              </c:pt>
              <c:pt idx="1080">
                <c:v>40422</c:v>
              </c:pt>
              <c:pt idx="1081">
                <c:v>40423</c:v>
              </c:pt>
              <c:pt idx="1082">
                <c:v>40424</c:v>
              </c:pt>
              <c:pt idx="1083">
                <c:v>40427</c:v>
              </c:pt>
              <c:pt idx="1084">
                <c:v>40428</c:v>
              </c:pt>
              <c:pt idx="1085">
                <c:v>40429</c:v>
              </c:pt>
              <c:pt idx="1086">
                <c:v>40430</c:v>
              </c:pt>
              <c:pt idx="1087">
                <c:v>40431</c:v>
              </c:pt>
              <c:pt idx="1088">
                <c:v>40434</c:v>
              </c:pt>
              <c:pt idx="1089">
                <c:v>40435</c:v>
              </c:pt>
              <c:pt idx="1090">
                <c:v>40436</c:v>
              </c:pt>
              <c:pt idx="1091">
                <c:v>40437</c:v>
              </c:pt>
              <c:pt idx="1092">
                <c:v>40438</c:v>
              </c:pt>
              <c:pt idx="1093">
                <c:v>40441</c:v>
              </c:pt>
              <c:pt idx="1094">
                <c:v>40442</c:v>
              </c:pt>
              <c:pt idx="1095">
                <c:v>40443</c:v>
              </c:pt>
              <c:pt idx="1096">
                <c:v>40444</c:v>
              </c:pt>
              <c:pt idx="1097">
                <c:v>40445</c:v>
              </c:pt>
              <c:pt idx="1098">
                <c:v>40448</c:v>
              </c:pt>
              <c:pt idx="1099">
                <c:v>40449</c:v>
              </c:pt>
              <c:pt idx="1100">
                <c:v>40450</c:v>
              </c:pt>
              <c:pt idx="1101">
                <c:v>40451</c:v>
              </c:pt>
              <c:pt idx="1102">
                <c:v>40452</c:v>
              </c:pt>
              <c:pt idx="1103">
                <c:v>40455</c:v>
              </c:pt>
              <c:pt idx="1104">
                <c:v>40456</c:v>
              </c:pt>
              <c:pt idx="1105">
                <c:v>40457</c:v>
              </c:pt>
              <c:pt idx="1106">
                <c:v>40458</c:v>
              </c:pt>
              <c:pt idx="1107">
                <c:v>40459</c:v>
              </c:pt>
              <c:pt idx="1108">
                <c:v>40462</c:v>
              </c:pt>
              <c:pt idx="1109">
                <c:v>40463</c:v>
              </c:pt>
              <c:pt idx="1110">
                <c:v>40464</c:v>
              </c:pt>
              <c:pt idx="1111">
                <c:v>40465</c:v>
              </c:pt>
              <c:pt idx="1112">
                <c:v>40466</c:v>
              </c:pt>
              <c:pt idx="1113">
                <c:v>40469</c:v>
              </c:pt>
              <c:pt idx="1114">
                <c:v>40470</c:v>
              </c:pt>
              <c:pt idx="1115">
                <c:v>40471</c:v>
              </c:pt>
              <c:pt idx="1116">
                <c:v>40472</c:v>
              </c:pt>
              <c:pt idx="1117">
                <c:v>40473</c:v>
              </c:pt>
              <c:pt idx="1118">
                <c:v>40476</c:v>
              </c:pt>
              <c:pt idx="1119">
                <c:v>40477</c:v>
              </c:pt>
              <c:pt idx="1120">
                <c:v>40478</c:v>
              </c:pt>
              <c:pt idx="1121">
                <c:v>40479</c:v>
              </c:pt>
              <c:pt idx="1122">
                <c:v>40480</c:v>
              </c:pt>
              <c:pt idx="1123">
                <c:v>40483</c:v>
              </c:pt>
              <c:pt idx="1124">
                <c:v>40484</c:v>
              </c:pt>
              <c:pt idx="1125">
                <c:v>40485</c:v>
              </c:pt>
              <c:pt idx="1126">
                <c:v>40486</c:v>
              </c:pt>
              <c:pt idx="1127">
                <c:v>40487</c:v>
              </c:pt>
              <c:pt idx="1128">
                <c:v>40490</c:v>
              </c:pt>
              <c:pt idx="1129">
                <c:v>40491</c:v>
              </c:pt>
              <c:pt idx="1130">
                <c:v>40492</c:v>
              </c:pt>
              <c:pt idx="1131">
                <c:v>40493</c:v>
              </c:pt>
              <c:pt idx="1132">
                <c:v>40494</c:v>
              </c:pt>
              <c:pt idx="1133">
                <c:v>40497</c:v>
              </c:pt>
              <c:pt idx="1134">
                <c:v>40498</c:v>
              </c:pt>
              <c:pt idx="1135">
                <c:v>40499</c:v>
              </c:pt>
              <c:pt idx="1136">
                <c:v>40500</c:v>
              </c:pt>
              <c:pt idx="1137">
                <c:v>40501</c:v>
              </c:pt>
              <c:pt idx="1138">
                <c:v>40504</c:v>
              </c:pt>
              <c:pt idx="1139">
                <c:v>40505</c:v>
              </c:pt>
              <c:pt idx="1140">
                <c:v>40506</c:v>
              </c:pt>
              <c:pt idx="1141">
                <c:v>40507</c:v>
              </c:pt>
              <c:pt idx="1142">
                <c:v>40508</c:v>
              </c:pt>
              <c:pt idx="1143">
                <c:v>40511</c:v>
              </c:pt>
              <c:pt idx="1144">
                <c:v>40512</c:v>
              </c:pt>
              <c:pt idx="1145">
                <c:v>40513</c:v>
              </c:pt>
              <c:pt idx="1146">
                <c:v>40514</c:v>
              </c:pt>
              <c:pt idx="1147">
                <c:v>40515</c:v>
              </c:pt>
              <c:pt idx="1148">
                <c:v>40518</c:v>
              </c:pt>
              <c:pt idx="1149">
                <c:v>40519</c:v>
              </c:pt>
              <c:pt idx="1150">
                <c:v>40520</c:v>
              </c:pt>
              <c:pt idx="1151">
                <c:v>40521</c:v>
              </c:pt>
              <c:pt idx="1152">
                <c:v>40522</c:v>
              </c:pt>
              <c:pt idx="1153">
                <c:v>40525</c:v>
              </c:pt>
              <c:pt idx="1154">
                <c:v>40526</c:v>
              </c:pt>
              <c:pt idx="1155">
                <c:v>40527</c:v>
              </c:pt>
              <c:pt idx="1156">
                <c:v>40528</c:v>
              </c:pt>
              <c:pt idx="1157">
                <c:v>40529</c:v>
              </c:pt>
              <c:pt idx="1158">
                <c:v>40532</c:v>
              </c:pt>
              <c:pt idx="1159">
                <c:v>40533</c:v>
              </c:pt>
              <c:pt idx="1160">
                <c:v>40534</c:v>
              </c:pt>
              <c:pt idx="1161">
                <c:v>40535</c:v>
              </c:pt>
              <c:pt idx="1162">
                <c:v>40536</c:v>
              </c:pt>
              <c:pt idx="1163">
                <c:v>40541</c:v>
              </c:pt>
              <c:pt idx="1164">
                <c:v>40542</c:v>
              </c:pt>
              <c:pt idx="1165">
                <c:v>40543</c:v>
              </c:pt>
              <c:pt idx="1166">
                <c:v>40547</c:v>
              </c:pt>
              <c:pt idx="1167">
                <c:v>40548</c:v>
              </c:pt>
              <c:pt idx="1168">
                <c:v>40549</c:v>
              </c:pt>
              <c:pt idx="1169">
                <c:v>40550</c:v>
              </c:pt>
              <c:pt idx="1170">
                <c:v>40553</c:v>
              </c:pt>
              <c:pt idx="1171">
                <c:v>40554</c:v>
              </c:pt>
              <c:pt idx="1172">
                <c:v>40555</c:v>
              </c:pt>
              <c:pt idx="1173">
                <c:v>40556</c:v>
              </c:pt>
              <c:pt idx="1174">
                <c:v>40557</c:v>
              </c:pt>
              <c:pt idx="1175">
                <c:v>40560</c:v>
              </c:pt>
              <c:pt idx="1176">
                <c:v>40561</c:v>
              </c:pt>
              <c:pt idx="1177">
                <c:v>40562</c:v>
              </c:pt>
              <c:pt idx="1178">
                <c:v>40563</c:v>
              </c:pt>
              <c:pt idx="1179">
                <c:v>40564</c:v>
              </c:pt>
              <c:pt idx="1180">
                <c:v>40567</c:v>
              </c:pt>
              <c:pt idx="1181">
                <c:v>40568</c:v>
              </c:pt>
              <c:pt idx="1182">
                <c:v>40570</c:v>
              </c:pt>
              <c:pt idx="1183">
                <c:v>40571</c:v>
              </c:pt>
              <c:pt idx="1184">
                <c:v>40574</c:v>
              </c:pt>
              <c:pt idx="1185">
                <c:v>40575</c:v>
              </c:pt>
              <c:pt idx="1186">
                <c:v>40576</c:v>
              </c:pt>
              <c:pt idx="1187">
                <c:v>40577</c:v>
              </c:pt>
              <c:pt idx="1188">
                <c:v>40578</c:v>
              </c:pt>
              <c:pt idx="1189">
                <c:v>40581</c:v>
              </c:pt>
              <c:pt idx="1190">
                <c:v>40582</c:v>
              </c:pt>
              <c:pt idx="1191">
                <c:v>40583</c:v>
              </c:pt>
              <c:pt idx="1192">
                <c:v>40584</c:v>
              </c:pt>
              <c:pt idx="1193">
                <c:v>40585</c:v>
              </c:pt>
              <c:pt idx="1194">
                <c:v>40588</c:v>
              </c:pt>
              <c:pt idx="1195">
                <c:v>40589</c:v>
              </c:pt>
              <c:pt idx="1196">
                <c:v>40590</c:v>
              </c:pt>
              <c:pt idx="1197">
                <c:v>40591</c:v>
              </c:pt>
              <c:pt idx="1198">
                <c:v>40592</c:v>
              </c:pt>
              <c:pt idx="1199">
                <c:v>40595</c:v>
              </c:pt>
              <c:pt idx="1200">
                <c:v>40596</c:v>
              </c:pt>
              <c:pt idx="1201">
                <c:v>40597</c:v>
              </c:pt>
              <c:pt idx="1202">
                <c:v>40598</c:v>
              </c:pt>
              <c:pt idx="1203">
                <c:v>40599</c:v>
              </c:pt>
              <c:pt idx="1204">
                <c:v>40602</c:v>
              </c:pt>
              <c:pt idx="1205">
                <c:v>40603</c:v>
              </c:pt>
              <c:pt idx="1206">
                <c:v>40604</c:v>
              </c:pt>
              <c:pt idx="1207">
                <c:v>40605</c:v>
              </c:pt>
              <c:pt idx="1208">
                <c:v>40606</c:v>
              </c:pt>
              <c:pt idx="1209">
                <c:v>40609</c:v>
              </c:pt>
              <c:pt idx="1210">
                <c:v>40610</c:v>
              </c:pt>
              <c:pt idx="1211">
                <c:v>40611</c:v>
              </c:pt>
              <c:pt idx="1212">
                <c:v>40612</c:v>
              </c:pt>
              <c:pt idx="1213">
                <c:v>40613</c:v>
              </c:pt>
              <c:pt idx="1214">
                <c:v>40616</c:v>
              </c:pt>
              <c:pt idx="1215">
                <c:v>40617</c:v>
              </c:pt>
              <c:pt idx="1216">
                <c:v>40618</c:v>
              </c:pt>
              <c:pt idx="1217">
                <c:v>40619</c:v>
              </c:pt>
              <c:pt idx="1218">
                <c:v>40620</c:v>
              </c:pt>
              <c:pt idx="1219">
                <c:v>40623</c:v>
              </c:pt>
              <c:pt idx="1220">
                <c:v>40624</c:v>
              </c:pt>
              <c:pt idx="1221">
                <c:v>40625</c:v>
              </c:pt>
              <c:pt idx="1222">
                <c:v>40626</c:v>
              </c:pt>
              <c:pt idx="1223">
                <c:v>40627</c:v>
              </c:pt>
              <c:pt idx="1224">
                <c:v>40630</c:v>
              </c:pt>
              <c:pt idx="1225">
                <c:v>40631</c:v>
              </c:pt>
              <c:pt idx="1226">
                <c:v>40632</c:v>
              </c:pt>
              <c:pt idx="1227">
                <c:v>40633</c:v>
              </c:pt>
              <c:pt idx="1228">
                <c:v>40634</c:v>
              </c:pt>
              <c:pt idx="1229">
                <c:v>40637</c:v>
              </c:pt>
              <c:pt idx="1230">
                <c:v>40638</c:v>
              </c:pt>
              <c:pt idx="1231">
                <c:v>40639</c:v>
              </c:pt>
              <c:pt idx="1232">
                <c:v>40640</c:v>
              </c:pt>
              <c:pt idx="1233">
                <c:v>40641</c:v>
              </c:pt>
              <c:pt idx="1234">
                <c:v>40644</c:v>
              </c:pt>
              <c:pt idx="1235">
                <c:v>40645</c:v>
              </c:pt>
              <c:pt idx="1236">
                <c:v>40646</c:v>
              </c:pt>
              <c:pt idx="1237">
                <c:v>40647</c:v>
              </c:pt>
              <c:pt idx="1238">
                <c:v>40648</c:v>
              </c:pt>
              <c:pt idx="1239">
                <c:v>40651</c:v>
              </c:pt>
              <c:pt idx="1240">
                <c:v>40652</c:v>
              </c:pt>
              <c:pt idx="1241">
                <c:v>40653</c:v>
              </c:pt>
              <c:pt idx="1242">
                <c:v>40654</c:v>
              </c:pt>
              <c:pt idx="1243">
                <c:v>40660</c:v>
              </c:pt>
              <c:pt idx="1244">
                <c:v>40661</c:v>
              </c:pt>
              <c:pt idx="1245">
                <c:v>40662</c:v>
              </c:pt>
              <c:pt idx="1246">
                <c:v>40665</c:v>
              </c:pt>
              <c:pt idx="1247">
                <c:v>40666</c:v>
              </c:pt>
              <c:pt idx="1248">
                <c:v>40667</c:v>
              </c:pt>
              <c:pt idx="1249">
                <c:v>40668</c:v>
              </c:pt>
              <c:pt idx="1250">
                <c:v>40669</c:v>
              </c:pt>
              <c:pt idx="1251">
                <c:v>40672</c:v>
              </c:pt>
              <c:pt idx="1252">
                <c:v>40673</c:v>
              </c:pt>
              <c:pt idx="1253">
                <c:v>40674</c:v>
              </c:pt>
              <c:pt idx="1254">
                <c:v>40675</c:v>
              </c:pt>
              <c:pt idx="1255">
                <c:v>40676</c:v>
              </c:pt>
              <c:pt idx="1256">
                <c:v>40679</c:v>
              </c:pt>
              <c:pt idx="1257">
                <c:v>40680</c:v>
              </c:pt>
              <c:pt idx="1258">
                <c:v>40681</c:v>
              </c:pt>
              <c:pt idx="1259">
                <c:v>40682</c:v>
              </c:pt>
              <c:pt idx="1260">
                <c:v>40683</c:v>
              </c:pt>
              <c:pt idx="1261">
                <c:v>40686</c:v>
              </c:pt>
              <c:pt idx="1262">
                <c:v>40687</c:v>
              </c:pt>
              <c:pt idx="1263">
                <c:v>40688</c:v>
              </c:pt>
              <c:pt idx="1264">
                <c:v>40689</c:v>
              </c:pt>
              <c:pt idx="1265">
                <c:v>40690</c:v>
              </c:pt>
              <c:pt idx="1266">
                <c:v>40693</c:v>
              </c:pt>
              <c:pt idx="1267">
                <c:v>40694</c:v>
              </c:pt>
              <c:pt idx="1268">
                <c:v>40695</c:v>
              </c:pt>
              <c:pt idx="1269">
                <c:v>40696</c:v>
              </c:pt>
              <c:pt idx="1270">
                <c:v>40697</c:v>
              </c:pt>
              <c:pt idx="1271">
                <c:v>40700</c:v>
              </c:pt>
              <c:pt idx="1272">
                <c:v>40701</c:v>
              </c:pt>
              <c:pt idx="1273">
                <c:v>40702</c:v>
              </c:pt>
              <c:pt idx="1274">
                <c:v>40703</c:v>
              </c:pt>
              <c:pt idx="1275">
                <c:v>40704</c:v>
              </c:pt>
              <c:pt idx="1276">
                <c:v>40708</c:v>
              </c:pt>
              <c:pt idx="1277">
                <c:v>40709</c:v>
              </c:pt>
              <c:pt idx="1278">
                <c:v>40710</c:v>
              </c:pt>
              <c:pt idx="1279">
                <c:v>40711</c:v>
              </c:pt>
              <c:pt idx="1280">
                <c:v>40714</c:v>
              </c:pt>
              <c:pt idx="1281">
                <c:v>40715</c:v>
              </c:pt>
              <c:pt idx="1282">
                <c:v>40716</c:v>
              </c:pt>
              <c:pt idx="1283">
                <c:v>40717</c:v>
              </c:pt>
              <c:pt idx="1284">
                <c:v>40718</c:v>
              </c:pt>
              <c:pt idx="1285">
                <c:v>40721</c:v>
              </c:pt>
              <c:pt idx="1286">
                <c:v>40722</c:v>
              </c:pt>
              <c:pt idx="1287">
                <c:v>40723</c:v>
              </c:pt>
              <c:pt idx="1288">
                <c:v>40724</c:v>
              </c:pt>
              <c:pt idx="1289">
                <c:v>40725</c:v>
              </c:pt>
              <c:pt idx="1290">
                <c:v>40728</c:v>
              </c:pt>
              <c:pt idx="1291">
                <c:v>40729</c:v>
              </c:pt>
              <c:pt idx="1292">
                <c:v>40730</c:v>
              </c:pt>
              <c:pt idx="1293">
                <c:v>40731</c:v>
              </c:pt>
              <c:pt idx="1294">
                <c:v>40732</c:v>
              </c:pt>
              <c:pt idx="1295">
                <c:v>40735</c:v>
              </c:pt>
              <c:pt idx="1296">
                <c:v>40736</c:v>
              </c:pt>
              <c:pt idx="1297">
                <c:v>40737</c:v>
              </c:pt>
              <c:pt idx="1298">
                <c:v>40738</c:v>
              </c:pt>
              <c:pt idx="1299">
                <c:v>40739</c:v>
              </c:pt>
              <c:pt idx="1300">
                <c:v>40742</c:v>
              </c:pt>
              <c:pt idx="1301">
                <c:v>40743</c:v>
              </c:pt>
              <c:pt idx="1302">
                <c:v>40744</c:v>
              </c:pt>
              <c:pt idx="1303">
                <c:v>40745</c:v>
              </c:pt>
              <c:pt idx="1304">
                <c:v>40746</c:v>
              </c:pt>
              <c:pt idx="1305">
                <c:v>40749</c:v>
              </c:pt>
              <c:pt idx="1306">
                <c:v>40750</c:v>
              </c:pt>
              <c:pt idx="1307">
                <c:v>40751</c:v>
              </c:pt>
              <c:pt idx="1308">
                <c:v>40752</c:v>
              </c:pt>
              <c:pt idx="1309">
                <c:v>40753</c:v>
              </c:pt>
              <c:pt idx="1310">
                <c:v>40757</c:v>
              </c:pt>
              <c:pt idx="1311">
                <c:v>40758</c:v>
              </c:pt>
              <c:pt idx="1312">
                <c:v>40759</c:v>
              </c:pt>
              <c:pt idx="1313">
                <c:v>40760</c:v>
              </c:pt>
              <c:pt idx="1314">
                <c:v>40763</c:v>
              </c:pt>
              <c:pt idx="1315">
                <c:v>40764</c:v>
              </c:pt>
              <c:pt idx="1316">
                <c:v>40765</c:v>
              </c:pt>
              <c:pt idx="1317">
                <c:v>40766</c:v>
              </c:pt>
              <c:pt idx="1318">
                <c:v>40767</c:v>
              </c:pt>
              <c:pt idx="1319">
                <c:v>40770</c:v>
              </c:pt>
              <c:pt idx="1320">
                <c:v>40771</c:v>
              </c:pt>
              <c:pt idx="1321">
                <c:v>40772</c:v>
              </c:pt>
              <c:pt idx="1322">
                <c:v>40773</c:v>
              </c:pt>
              <c:pt idx="1323">
                <c:v>40774</c:v>
              </c:pt>
              <c:pt idx="1324">
                <c:v>40777</c:v>
              </c:pt>
              <c:pt idx="1325">
                <c:v>40778</c:v>
              </c:pt>
              <c:pt idx="1326">
                <c:v>40779</c:v>
              </c:pt>
              <c:pt idx="1327">
                <c:v>40780</c:v>
              </c:pt>
              <c:pt idx="1328">
                <c:v>40781</c:v>
              </c:pt>
              <c:pt idx="1329">
                <c:v>40784</c:v>
              </c:pt>
              <c:pt idx="1330">
                <c:v>40785</c:v>
              </c:pt>
              <c:pt idx="1331">
                <c:v>40786</c:v>
              </c:pt>
              <c:pt idx="1332">
                <c:v>40787</c:v>
              </c:pt>
              <c:pt idx="1333">
                <c:v>40788</c:v>
              </c:pt>
              <c:pt idx="1334">
                <c:v>40791</c:v>
              </c:pt>
              <c:pt idx="1335">
                <c:v>40792</c:v>
              </c:pt>
              <c:pt idx="1336">
                <c:v>40793</c:v>
              </c:pt>
              <c:pt idx="1337">
                <c:v>40794</c:v>
              </c:pt>
              <c:pt idx="1338">
                <c:v>40795</c:v>
              </c:pt>
              <c:pt idx="1339">
                <c:v>40798</c:v>
              </c:pt>
              <c:pt idx="1340">
                <c:v>40799</c:v>
              </c:pt>
              <c:pt idx="1341">
                <c:v>40800</c:v>
              </c:pt>
              <c:pt idx="1342">
                <c:v>40801</c:v>
              </c:pt>
              <c:pt idx="1343">
                <c:v>40802</c:v>
              </c:pt>
              <c:pt idx="1344">
                <c:v>40805</c:v>
              </c:pt>
              <c:pt idx="1345">
                <c:v>40806</c:v>
              </c:pt>
              <c:pt idx="1346">
                <c:v>40807</c:v>
              </c:pt>
              <c:pt idx="1347">
                <c:v>40808</c:v>
              </c:pt>
              <c:pt idx="1348">
                <c:v>40809</c:v>
              </c:pt>
              <c:pt idx="1349">
                <c:v>40812</c:v>
              </c:pt>
              <c:pt idx="1350">
                <c:v>40813</c:v>
              </c:pt>
              <c:pt idx="1351">
                <c:v>40814</c:v>
              </c:pt>
              <c:pt idx="1352">
                <c:v>40815</c:v>
              </c:pt>
              <c:pt idx="1353">
                <c:v>40816</c:v>
              </c:pt>
              <c:pt idx="1354">
                <c:v>40820</c:v>
              </c:pt>
              <c:pt idx="1355">
                <c:v>40821</c:v>
              </c:pt>
              <c:pt idx="1356">
                <c:v>40822</c:v>
              </c:pt>
              <c:pt idx="1357">
                <c:v>40823</c:v>
              </c:pt>
              <c:pt idx="1358">
                <c:v>40826</c:v>
              </c:pt>
              <c:pt idx="1359">
                <c:v>40827</c:v>
              </c:pt>
              <c:pt idx="1360">
                <c:v>40828</c:v>
              </c:pt>
              <c:pt idx="1361">
                <c:v>40829</c:v>
              </c:pt>
              <c:pt idx="1362">
                <c:v>40830</c:v>
              </c:pt>
              <c:pt idx="1363">
                <c:v>40833</c:v>
              </c:pt>
              <c:pt idx="1364">
                <c:v>40834</c:v>
              </c:pt>
              <c:pt idx="1365">
                <c:v>40835</c:v>
              </c:pt>
              <c:pt idx="1366">
                <c:v>40836</c:v>
              </c:pt>
              <c:pt idx="1367">
                <c:v>40837</c:v>
              </c:pt>
              <c:pt idx="1368">
                <c:v>40840</c:v>
              </c:pt>
              <c:pt idx="1369">
                <c:v>40841</c:v>
              </c:pt>
              <c:pt idx="1370">
                <c:v>40842</c:v>
              </c:pt>
              <c:pt idx="1371">
                <c:v>40843</c:v>
              </c:pt>
              <c:pt idx="1372">
                <c:v>40844</c:v>
              </c:pt>
              <c:pt idx="1373">
                <c:v>40847</c:v>
              </c:pt>
              <c:pt idx="1374">
                <c:v>40848</c:v>
              </c:pt>
              <c:pt idx="1375">
                <c:v>40849</c:v>
              </c:pt>
              <c:pt idx="1376">
                <c:v>40850</c:v>
              </c:pt>
              <c:pt idx="1377">
                <c:v>40851</c:v>
              </c:pt>
              <c:pt idx="1378">
                <c:v>40854</c:v>
              </c:pt>
              <c:pt idx="1379">
                <c:v>40855</c:v>
              </c:pt>
              <c:pt idx="1380">
                <c:v>40856</c:v>
              </c:pt>
              <c:pt idx="1381">
                <c:v>40857</c:v>
              </c:pt>
              <c:pt idx="1382">
                <c:v>40858</c:v>
              </c:pt>
              <c:pt idx="1383">
                <c:v>40861</c:v>
              </c:pt>
              <c:pt idx="1384">
                <c:v>40862</c:v>
              </c:pt>
              <c:pt idx="1385">
                <c:v>40863</c:v>
              </c:pt>
              <c:pt idx="1386">
                <c:v>40864</c:v>
              </c:pt>
              <c:pt idx="1387">
                <c:v>40865</c:v>
              </c:pt>
              <c:pt idx="1388">
                <c:v>40868</c:v>
              </c:pt>
              <c:pt idx="1389">
                <c:v>40869</c:v>
              </c:pt>
              <c:pt idx="1390">
                <c:v>40870</c:v>
              </c:pt>
              <c:pt idx="1391">
                <c:v>40871</c:v>
              </c:pt>
              <c:pt idx="1392">
                <c:v>40872</c:v>
              </c:pt>
              <c:pt idx="1393">
                <c:v>40875</c:v>
              </c:pt>
              <c:pt idx="1394">
                <c:v>40876</c:v>
              </c:pt>
              <c:pt idx="1395">
                <c:v>40877</c:v>
              </c:pt>
              <c:pt idx="1396">
                <c:v>40878</c:v>
              </c:pt>
              <c:pt idx="1397">
                <c:v>40879</c:v>
              </c:pt>
              <c:pt idx="1398">
                <c:v>40882</c:v>
              </c:pt>
              <c:pt idx="1399">
                <c:v>40883</c:v>
              </c:pt>
              <c:pt idx="1400">
                <c:v>40884</c:v>
              </c:pt>
              <c:pt idx="1401">
                <c:v>40885</c:v>
              </c:pt>
              <c:pt idx="1402">
                <c:v>40886</c:v>
              </c:pt>
              <c:pt idx="1403">
                <c:v>40889</c:v>
              </c:pt>
              <c:pt idx="1404">
                <c:v>40890</c:v>
              </c:pt>
              <c:pt idx="1405">
                <c:v>40891</c:v>
              </c:pt>
              <c:pt idx="1406">
                <c:v>40892</c:v>
              </c:pt>
              <c:pt idx="1407">
                <c:v>40893</c:v>
              </c:pt>
              <c:pt idx="1408">
                <c:v>40896</c:v>
              </c:pt>
              <c:pt idx="1409">
                <c:v>40897</c:v>
              </c:pt>
              <c:pt idx="1410">
                <c:v>40898</c:v>
              </c:pt>
              <c:pt idx="1411">
                <c:v>40899</c:v>
              </c:pt>
              <c:pt idx="1412">
                <c:v>40900</c:v>
              </c:pt>
              <c:pt idx="1413">
                <c:v>40905</c:v>
              </c:pt>
              <c:pt idx="1414">
                <c:v>40906</c:v>
              </c:pt>
              <c:pt idx="1415">
                <c:v>40907</c:v>
              </c:pt>
              <c:pt idx="1416">
                <c:v>40911</c:v>
              </c:pt>
              <c:pt idx="1417">
                <c:v>40912</c:v>
              </c:pt>
              <c:pt idx="1418">
                <c:v>40913</c:v>
              </c:pt>
              <c:pt idx="1419">
                <c:v>40914</c:v>
              </c:pt>
              <c:pt idx="1420">
                <c:v>40917</c:v>
              </c:pt>
              <c:pt idx="1421">
                <c:v>40918</c:v>
              </c:pt>
              <c:pt idx="1422">
                <c:v>40919</c:v>
              </c:pt>
              <c:pt idx="1423">
                <c:v>40920</c:v>
              </c:pt>
              <c:pt idx="1424">
                <c:v>40921</c:v>
              </c:pt>
              <c:pt idx="1425">
                <c:v>40924</c:v>
              </c:pt>
              <c:pt idx="1426">
                <c:v>40925</c:v>
              </c:pt>
              <c:pt idx="1427">
                <c:v>40926</c:v>
              </c:pt>
              <c:pt idx="1428">
                <c:v>40927</c:v>
              </c:pt>
              <c:pt idx="1429">
                <c:v>40928</c:v>
              </c:pt>
              <c:pt idx="1430">
                <c:v>40931</c:v>
              </c:pt>
              <c:pt idx="1431">
                <c:v>40932</c:v>
              </c:pt>
              <c:pt idx="1432">
                <c:v>40933</c:v>
              </c:pt>
              <c:pt idx="1433">
                <c:v>40935</c:v>
              </c:pt>
              <c:pt idx="1434">
                <c:v>40938</c:v>
              </c:pt>
              <c:pt idx="1435">
                <c:v>40939</c:v>
              </c:pt>
              <c:pt idx="1436">
                <c:v>40940</c:v>
              </c:pt>
              <c:pt idx="1437">
                <c:v>40941</c:v>
              </c:pt>
              <c:pt idx="1438">
                <c:v>40942</c:v>
              </c:pt>
              <c:pt idx="1439">
                <c:v>40945</c:v>
              </c:pt>
              <c:pt idx="1440">
                <c:v>40946</c:v>
              </c:pt>
              <c:pt idx="1441">
                <c:v>40947</c:v>
              </c:pt>
              <c:pt idx="1442">
                <c:v>40948</c:v>
              </c:pt>
              <c:pt idx="1443">
                <c:v>40949</c:v>
              </c:pt>
              <c:pt idx="1444">
                <c:v>40952</c:v>
              </c:pt>
              <c:pt idx="1445">
                <c:v>40953</c:v>
              </c:pt>
              <c:pt idx="1446">
                <c:v>40954</c:v>
              </c:pt>
              <c:pt idx="1447">
                <c:v>40955</c:v>
              </c:pt>
              <c:pt idx="1448">
                <c:v>40956</c:v>
              </c:pt>
              <c:pt idx="1449">
                <c:v>40959</c:v>
              </c:pt>
              <c:pt idx="1450">
                <c:v>40960</c:v>
              </c:pt>
              <c:pt idx="1451">
                <c:v>40961</c:v>
              </c:pt>
              <c:pt idx="1452">
                <c:v>40962</c:v>
              </c:pt>
              <c:pt idx="1453">
                <c:v>40963</c:v>
              </c:pt>
              <c:pt idx="1454">
                <c:v>40966</c:v>
              </c:pt>
              <c:pt idx="1455">
                <c:v>40967</c:v>
              </c:pt>
              <c:pt idx="1456">
                <c:v>40968</c:v>
              </c:pt>
              <c:pt idx="1457">
                <c:v>40969</c:v>
              </c:pt>
              <c:pt idx="1458">
                <c:v>40970</c:v>
              </c:pt>
              <c:pt idx="1459">
                <c:v>40973</c:v>
              </c:pt>
              <c:pt idx="1460">
                <c:v>40974</c:v>
              </c:pt>
              <c:pt idx="1461">
                <c:v>40975</c:v>
              </c:pt>
              <c:pt idx="1462">
                <c:v>40976</c:v>
              </c:pt>
              <c:pt idx="1463">
                <c:v>40977</c:v>
              </c:pt>
              <c:pt idx="1464">
                <c:v>40980</c:v>
              </c:pt>
              <c:pt idx="1465">
                <c:v>40981</c:v>
              </c:pt>
              <c:pt idx="1466">
                <c:v>40982</c:v>
              </c:pt>
              <c:pt idx="1467">
                <c:v>40983</c:v>
              </c:pt>
              <c:pt idx="1468">
                <c:v>40984</c:v>
              </c:pt>
              <c:pt idx="1469">
                <c:v>40987</c:v>
              </c:pt>
              <c:pt idx="1470">
                <c:v>40988</c:v>
              </c:pt>
              <c:pt idx="1471">
                <c:v>40989</c:v>
              </c:pt>
              <c:pt idx="1472">
                <c:v>40990</c:v>
              </c:pt>
              <c:pt idx="1473">
                <c:v>40991</c:v>
              </c:pt>
              <c:pt idx="1474">
                <c:v>40994</c:v>
              </c:pt>
              <c:pt idx="1475">
                <c:v>40995</c:v>
              </c:pt>
              <c:pt idx="1476">
                <c:v>40996</c:v>
              </c:pt>
              <c:pt idx="1477">
                <c:v>40997</c:v>
              </c:pt>
              <c:pt idx="1478">
                <c:v>40998</c:v>
              </c:pt>
              <c:pt idx="1479">
                <c:v>41001</c:v>
              </c:pt>
              <c:pt idx="1480">
                <c:v>41002</c:v>
              </c:pt>
              <c:pt idx="1481">
                <c:v>41003</c:v>
              </c:pt>
              <c:pt idx="1482">
                <c:v>41004</c:v>
              </c:pt>
              <c:pt idx="1483">
                <c:v>41009</c:v>
              </c:pt>
              <c:pt idx="1484">
                <c:v>41010</c:v>
              </c:pt>
              <c:pt idx="1485">
                <c:v>41011</c:v>
              </c:pt>
              <c:pt idx="1486">
                <c:v>41012</c:v>
              </c:pt>
              <c:pt idx="1487">
                <c:v>41015</c:v>
              </c:pt>
              <c:pt idx="1488">
                <c:v>41016</c:v>
              </c:pt>
              <c:pt idx="1489">
                <c:v>41017</c:v>
              </c:pt>
              <c:pt idx="1490">
                <c:v>41018</c:v>
              </c:pt>
              <c:pt idx="1491">
                <c:v>41019</c:v>
              </c:pt>
              <c:pt idx="1492">
                <c:v>41022</c:v>
              </c:pt>
              <c:pt idx="1493">
                <c:v>41023</c:v>
              </c:pt>
              <c:pt idx="1494">
                <c:v>41025</c:v>
              </c:pt>
              <c:pt idx="1495">
                <c:v>41026</c:v>
              </c:pt>
              <c:pt idx="1496">
                <c:v>41029</c:v>
              </c:pt>
              <c:pt idx="1497">
                <c:v>41030</c:v>
              </c:pt>
              <c:pt idx="1498">
                <c:v>41031</c:v>
              </c:pt>
              <c:pt idx="1499">
                <c:v>41032</c:v>
              </c:pt>
              <c:pt idx="1500">
                <c:v>41033</c:v>
              </c:pt>
              <c:pt idx="1501">
                <c:v>41036</c:v>
              </c:pt>
              <c:pt idx="1502">
                <c:v>41037</c:v>
              </c:pt>
              <c:pt idx="1503">
                <c:v>41038</c:v>
              </c:pt>
              <c:pt idx="1504">
                <c:v>41039</c:v>
              </c:pt>
              <c:pt idx="1505">
                <c:v>41040</c:v>
              </c:pt>
              <c:pt idx="1506">
                <c:v>41043</c:v>
              </c:pt>
              <c:pt idx="1507">
                <c:v>41044</c:v>
              </c:pt>
              <c:pt idx="1508">
                <c:v>41045</c:v>
              </c:pt>
              <c:pt idx="1509">
                <c:v>41046</c:v>
              </c:pt>
              <c:pt idx="1510">
                <c:v>41047</c:v>
              </c:pt>
              <c:pt idx="1511">
                <c:v>41050</c:v>
              </c:pt>
              <c:pt idx="1512">
                <c:v>41051</c:v>
              </c:pt>
              <c:pt idx="1513">
                <c:v>41052</c:v>
              </c:pt>
              <c:pt idx="1514">
                <c:v>41053</c:v>
              </c:pt>
              <c:pt idx="1515">
                <c:v>41054</c:v>
              </c:pt>
              <c:pt idx="1516">
                <c:v>41057</c:v>
              </c:pt>
              <c:pt idx="1517">
                <c:v>41058</c:v>
              </c:pt>
              <c:pt idx="1518">
                <c:v>41059</c:v>
              </c:pt>
              <c:pt idx="1519">
                <c:v>41060</c:v>
              </c:pt>
              <c:pt idx="1520">
                <c:v>41061</c:v>
              </c:pt>
              <c:pt idx="1521">
                <c:v>41064</c:v>
              </c:pt>
              <c:pt idx="1522">
                <c:v>41065</c:v>
              </c:pt>
              <c:pt idx="1523">
                <c:v>41066</c:v>
              </c:pt>
              <c:pt idx="1524">
                <c:v>41067</c:v>
              </c:pt>
              <c:pt idx="1525">
                <c:v>41068</c:v>
              </c:pt>
              <c:pt idx="1526">
                <c:v>41072</c:v>
              </c:pt>
              <c:pt idx="1527">
                <c:v>41073</c:v>
              </c:pt>
              <c:pt idx="1528">
                <c:v>41074</c:v>
              </c:pt>
              <c:pt idx="1529">
                <c:v>41075</c:v>
              </c:pt>
              <c:pt idx="1530">
                <c:v>41078</c:v>
              </c:pt>
              <c:pt idx="1531">
                <c:v>41079</c:v>
              </c:pt>
              <c:pt idx="1532">
                <c:v>41080</c:v>
              </c:pt>
              <c:pt idx="1533">
                <c:v>41081</c:v>
              </c:pt>
              <c:pt idx="1534">
                <c:v>41082</c:v>
              </c:pt>
              <c:pt idx="1535">
                <c:v>41085</c:v>
              </c:pt>
              <c:pt idx="1536">
                <c:v>41086</c:v>
              </c:pt>
              <c:pt idx="1537">
                <c:v>41087</c:v>
              </c:pt>
              <c:pt idx="1538">
                <c:v>41088</c:v>
              </c:pt>
              <c:pt idx="1539">
                <c:v>41089</c:v>
              </c:pt>
              <c:pt idx="1540">
                <c:v>41092</c:v>
              </c:pt>
              <c:pt idx="1541">
                <c:v>41093</c:v>
              </c:pt>
              <c:pt idx="1542">
                <c:v>41094</c:v>
              </c:pt>
              <c:pt idx="1543">
                <c:v>41095</c:v>
              </c:pt>
              <c:pt idx="1544">
                <c:v>41096</c:v>
              </c:pt>
              <c:pt idx="1545">
                <c:v>41099</c:v>
              </c:pt>
              <c:pt idx="1546">
                <c:v>41100</c:v>
              </c:pt>
              <c:pt idx="1547">
                <c:v>41101</c:v>
              </c:pt>
              <c:pt idx="1548">
                <c:v>41102</c:v>
              </c:pt>
              <c:pt idx="1549">
                <c:v>41103</c:v>
              </c:pt>
              <c:pt idx="1550">
                <c:v>41106</c:v>
              </c:pt>
              <c:pt idx="1551">
                <c:v>41107</c:v>
              </c:pt>
              <c:pt idx="1552">
                <c:v>41108</c:v>
              </c:pt>
              <c:pt idx="1553">
                <c:v>41109</c:v>
              </c:pt>
              <c:pt idx="1554">
                <c:v>41110</c:v>
              </c:pt>
              <c:pt idx="1555">
                <c:v>41113</c:v>
              </c:pt>
              <c:pt idx="1556">
                <c:v>41114</c:v>
              </c:pt>
              <c:pt idx="1557">
                <c:v>41115</c:v>
              </c:pt>
              <c:pt idx="1558">
                <c:v>41116</c:v>
              </c:pt>
              <c:pt idx="1559">
                <c:v>41117</c:v>
              </c:pt>
              <c:pt idx="1560">
                <c:v>41120</c:v>
              </c:pt>
              <c:pt idx="1561">
                <c:v>41121</c:v>
              </c:pt>
              <c:pt idx="1562">
                <c:v>41122</c:v>
              </c:pt>
              <c:pt idx="1563">
                <c:v>41123</c:v>
              </c:pt>
              <c:pt idx="1564">
                <c:v>41124</c:v>
              </c:pt>
              <c:pt idx="1565">
                <c:v>41127</c:v>
              </c:pt>
              <c:pt idx="1566">
                <c:v>41128</c:v>
              </c:pt>
              <c:pt idx="1567">
                <c:v>41129</c:v>
              </c:pt>
              <c:pt idx="1568">
                <c:v>41130</c:v>
              </c:pt>
              <c:pt idx="1569">
                <c:v>41131</c:v>
              </c:pt>
              <c:pt idx="1570">
                <c:v>41134</c:v>
              </c:pt>
              <c:pt idx="1571">
                <c:v>41135</c:v>
              </c:pt>
              <c:pt idx="1572">
                <c:v>41136</c:v>
              </c:pt>
              <c:pt idx="1573">
                <c:v>41137</c:v>
              </c:pt>
              <c:pt idx="1574">
                <c:v>41138</c:v>
              </c:pt>
              <c:pt idx="1575">
                <c:v>41141</c:v>
              </c:pt>
              <c:pt idx="1576">
                <c:v>41142</c:v>
              </c:pt>
              <c:pt idx="1577">
                <c:v>41143</c:v>
              </c:pt>
              <c:pt idx="1578">
                <c:v>41144</c:v>
              </c:pt>
              <c:pt idx="1579">
                <c:v>41145</c:v>
              </c:pt>
              <c:pt idx="1580">
                <c:v>41148</c:v>
              </c:pt>
              <c:pt idx="1581">
                <c:v>41149</c:v>
              </c:pt>
              <c:pt idx="1582">
                <c:v>41150</c:v>
              </c:pt>
              <c:pt idx="1583">
                <c:v>41151</c:v>
              </c:pt>
              <c:pt idx="1584">
                <c:v>41152</c:v>
              </c:pt>
              <c:pt idx="1585">
                <c:v>41155</c:v>
              </c:pt>
              <c:pt idx="1586">
                <c:v>41156</c:v>
              </c:pt>
              <c:pt idx="1587">
                <c:v>41157</c:v>
              </c:pt>
              <c:pt idx="1588">
                <c:v>41158</c:v>
              </c:pt>
              <c:pt idx="1589">
                <c:v>41159</c:v>
              </c:pt>
              <c:pt idx="1590">
                <c:v>41162</c:v>
              </c:pt>
              <c:pt idx="1591">
                <c:v>41163</c:v>
              </c:pt>
              <c:pt idx="1592">
                <c:v>41164</c:v>
              </c:pt>
              <c:pt idx="1593">
                <c:v>41165</c:v>
              </c:pt>
              <c:pt idx="1594">
                <c:v>41166</c:v>
              </c:pt>
              <c:pt idx="1595">
                <c:v>41169</c:v>
              </c:pt>
              <c:pt idx="1596">
                <c:v>41170</c:v>
              </c:pt>
              <c:pt idx="1597">
                <c:v>41171</c:v>
              </c:pt>
              <c:pt idx="1598">
                <c:v>41172</c:v>
              </c:pt>
              <c:pt idx="1599">
                <c:v>41173</c:v>
              </c:pt>
              <c:pt idx="1600">
                <c:v>41176</c:v>
              </c:pt>
              <c:pt idx="1601">
                <c:v>41177</c:v>
              </c:pt>
              <c:pt idx="1602">
                <c:v>41178</c:v>
              </c:pt>
              <c:pt idx="1603">
                <c:v>41179</c:v>
              </c:pt>
              <c:pt idx="1604">
                <c:v>41180</c:v>
              </c:pt>
              <c:pt idx="1605">
                <c:v>41183</c:v>
              </c:pt>
              <c:pt idx="1606">
                <c:v>41184</c:v>
              </c:pt>
              <c:pt idx="1607">
                <c:v>41185</c:v>
              </c:pt>
              <c:pt idx="1608">
                <c:v>41186</c:v>
              </c:pt>
              <c:pt idx="1609">
                <c:v>41187</c:v>
              </c:pt>
              <c:pt idx="1610">
                <c:v>41190</c:v>
              </c:pt>
              <c:pt idx="1611">
                <c:v>41191</c:v>
              </c:pt>
              <c:pt idx="1612">
                <c:v>41192</c:v>
              </c:pt>
              <c:pt idx="1613">
                <c:v>41193</c:v>
              </c:pt>
              <c:pt idx="1614">
                <c:v>41194</c:v>
              </c:pt>
              <c:pt idx="1615">
                <c:v>41197</c:v>
              </c:pt>
              <c:pt idx="1616">
                <c:v>41198</c:v>
              </c:pt>
              <c:pt idx="1617">
                <c:v>41199</c:v>
              </c:pt>
              <c:pt idx="1618">
                <c:v>41200</c:v>
              </c:pt>
              <c:pt idx="1619">
                <c:v>41201</c:v>
              </c:pt>
              <c:pt idx="1620">
                <c:v>41204</c:v>
              </c:pt>
              <c:pt idx="1621">
                <c:v>41205</c:v>
              </c:pt>
              <c:pt idx="1622">
                <c:v>41206</c:v>
              </c:pt>
              <c:pt idx="1623">
                <c:v>41207</c:v>
              </c:pt>
              <c:pt idx="1624">
                <c:v>41208</c:v>
              </c:pt>
              <c:pt idx="1625">
                <c:v>41211</c:v>
              </c:pt>
              <c:pt idx="1626">
                <c:v>41212</c:v>
              </c:pt>
              <c:pt idx="1627">
                <c:v>41213</c:v>
              </c:pt>
              <c:pt idx="1628">
                <c:v>41214</c:v>
              </c:pt>
              <c:pt idx="1629">
                <c:v>41215</c:v>
              </c:pt>
              <c:pt idx="1630">
                <c:v>41218</c:v>
              </c:pt>
              <c:pt idx="1631">
                <c:v>41219</c:v>
              </c:pt>
              <c:pt idx="1632">
                <c:v>41220</c:v>
              </c:pt>
              <c:pt idx="1633">
                <c:v>41221</c:v>
              </c:pt>
              <c:pt idx="1634">
                <c:v>41222</c:v>
              </c:pt>
              <c:pt idx="1635">
                <c:v>41225</c:v>
              </c:pt>
              <c:pt idx="1636">
                <c:v>41226</c:v>
              </c:pt>
              <c:pt idx="1637">
                <c:v>41227</c:v>
              </c:pt>
              <c:pt idx="1638">
                <c:v>41228</c:v>
              </c:pt>
              <c:pt idx="1639">
                <c:v>41229</c:v>
              </c:pt>
              <c:pt idx="1640">
                <c:v>41232</c:v>
              </c:pt>
              <c:pt idx="1641">
                <c:v>41233</c:v>
              </c:pt>
              <c:pt idx="1642">
                <c:v>41234</c:v>
              </c:pt>
              <c:pt idx="1643">
                <c:v>41235</c:v>
              </c:pt>
              <c:pt idx="1644">
                <c:v>41236</c:v>
              </c:pt>
              <c:pt idx="1645">
                <c:v>41239</c:v>
              </c:pt>
              <c:pt idx="1646">
                <c:v>41240</c:v>
              </c:pt>
              <c:pt idx="1647">
                <c:v>41241</c:v>
              </c:pt>
              <c:pt idx="1648">
                <c:v>41242</c:v>
              </c:pt>
              <c:pt idx="1649">
                <c:v>41243</c:v>
              </c:pt>
              <c:pt idx="1650">
                <c:v>41246</c:v>
              </c:pt>
              <c:pt idx="1651">
                <c:v>41247</c:v>
              </c:pt>
              <c:pt idx="1652">
                <c:v>41248</c:v>
              </c:pt>
              <c:pt idx="1653">
                <c:v>41249</c:v>
              </c:pt>
              <c:pt idx="1654">
                <c:v>41250</c:v>
              </c:pt>
              <c:pt idx="1655">
                <c:v>41253</c:v>
              </c:pt>
              <c:pt idx="1656">
                <c:v>41254</c:v>
              </c:pt>
              <c:pt idx="1657">
                <c:v>41255</c:v>
              </c:pt>
              <c:pt idx="1658">
                <c:v>41256</c:v>
              </c:pt>
              <c:pt idx="1659">
                <c:v>41257</c:v>
              </c:pt>
              <c:pt idx="1660">
                <c:v>41260</c:v>
              </c:pt>
              <c:pt idx="1661">
                <c:v>41261</c:v>
              </c:pt>
              <c:pt idx="1662">
                <c:v>41262</c:v>
              </c:pt>
              <c:pt idx="1663">
                <c:v>41263</c:v>
              </c:pt>
              <c:pt idx="1664">
                <c:v>41264</c:v>
              </c:pt>
              <c:pt idx="1665">
                <c:v>41267</c:v>
              </c:pt>
              <c:pt idx="1666">
                <c:v>41270</c:v>
              </c:pt>
              <c:pt idx="1667">
                <c:v>41271</c:v>
              </c:pt>
              <c:pt idx="1668">
                <c:v>41274</c:v>
              </c:pt>
              <c:pt idx="1669">
                <c:v>41276</c:v>
              </c:pt>
              <c:pt idx="1670">
                <c:v>41277</c:v>
              </c:pt>
              <c:pt idx="1671">
                <c:v>41278</c:v>
              </c:pt>
              <c:pt idx="1672">
                <c:v>41281</c:v>
              </c:pt>
              <c:pt idx="1673">
                <c:v>41282</c:v>
              </c:pt>
              <c:pt idx="1674">
                <c:v>41283</c:v>
              </c:pt>
              <c:pt idx="1675">
                <c:v>41284</c:v>
              </c:pt>
              <c:pt idx="1676">
                <c:v>41285</c:v>
              </c:pt>
              <c:pt idx="1677">
                <c:v>41288</c:v>
              </c:pt>
              <c:pt idx="1678">
                <c:v>41289</c:v>
              </c:pt>
              <c:pt idx="1679">
                <c:v>41290</c:v>
              </c:pt>
              <c:pt idx="1680">
                <c:v>41291</c:v>
              </c:pt>
              <c:pt idx="1681">
                <c:v>41292</c:v>
              </c:pt>
              <c:pt idx="1682">
                <c:v>41295</c:v>
              </c:pt>
              <c:pt idx="1683">
                <c:v>41296</c:v>
              </c:pt>
              <c:pt idx="1684">
                <c:v>41297</c:v>
              </c:pt>
              <c:pt idx="1685">
                <c:v>41298</c:v>
              </c:pt>
              <c:pt idx="1686">
                <c:v>41299</c:v>
              </c:pt>
              <c:pt idx="1687">
                <c:v>41303</c:v>
              </c:pt>
              <c:pt idx="1688">
                <c:v>41304</c:v>
              </c:pt>
              <c:pt idx="1689">
                <c:v>41305</c:v>
              </c:pt>
              <c:pt idx="1690">
                <c:v>41306</c:v>
              </c:pt>
              <c:pt idx="1691">
                <c:v>41309</c:v>
              </c:pt>
              <c:pt idx="1692">
                <c:v>41310</c:v>
              </c:pt>
              <c:pt idx="1693">
                <c:v>41311</c:v>
              </c:pt>
              <c:pt idx="1694">
                <c:v>41312</c:v>
              </c:pt>
              <c:pt idx="1695">
                <c:v>41313</c:v>
              </c:pt>
              <c:pt idx="1696">
                <c:v>41316</c:v>
              </c:pt>
              <c:pt idx="1697">
                <c:v>41317</c:v>
              </c:pt>
              <c:pt idx="1698">
                <c:v>41318</c:v>
              </c:pt>
              <c:pt idx="1699">
                <c:v>41319</c:v>
              </c:pt>
              <c:pt idx="1700">
                <c:v>41320</c:v>
              </c:pt>
              <c:pt idx="1701">
                <c:v>41323</c:v>
              </c:pt>
              <c:pt idx="1702">
                <c:v>41324</c:v>
              </c:pt>
              <c:pt idx="1703">
                <c:v>41325</c:v>
              </c:pt>
              <c:pt idx="1704">
                <c:v>41326</c:v>
              </c:pt>
              <c:pt idx="1705">
                <c:v>41327</c:v>
              </c:pt>
              <c:pt idx="1706">
                <c:v>41330</c:v>
              </c:pt>
              <c:pt idx="1707">
                <c:v>41331</c:v>
              </c:pt>
              <c:pt idx="1708">
                <c:v>41332</c:v>
              </c:pt>
              <c:pt idx="1709">
                <c:v>41333</c:v>
              </c:pt>
              <c:pt idx="1710">
                <c:v>41334</c:v>
              </c:pt>
              <c:pt idx="1711">
                <c:v>41337</c:v>
              </c:pt>
              <c:pt idx="1712">
                <c:v>41338</c:v>
              </c:pt>
              <c:pt idx="1713">
                <c:v>41339</c:v>
              </c:pt>
              <c:pt idx="1714">
                <c:v>41340</c:v>
              </c:pt>
              <c:pt idx="1715">
                <c:v>41341</c:v>
              </c:pt>
              <c:pt idx="1716">
                <c:v>41344</c:v>
              </c:pt>
              <c:pt idx="1717">
                <c:v>41345</c:v>
              </c:pt>
              <c:pt idx="1718">
                <c:v>41346</c:v>
              </c:pt>
              <c:pt idx="1719">
                <c:v>41347</c:v>
              </c:pt>
              <c:pt idx="1720">
                <c:v>41348</c:v>
              </c:pt>
              <c:pt idx="1721">
                <c:v>41351</c:v>
              </c:pt>
              <c:pt idx="1722">
                <c:v>41352</c:v>
              </c:pt>
              <c:pt idx="1723">
                <c:v>41353</c:v>
              </c:pt>
              <c:pt idx="1724">
                <c:v>41354</c:v>
              </c:pt>
              <c:pt idx="1725">
                <c:v>41355</c:v>
              </c:pt>
              <c:pt idx="1726">
                <c:v>41358</c:v>
              </c:pt>
              <c:pt idx="1727">
                <c:v>41359</c:v>
              </c:pt>
              <c:pt idx="1728">
                <c:v>41360</c:v>
              </c:pt>
              <c:pt idx="1729">
                <c:v>41361</c:v>
              </c:pt>
              <c:pt idx="1730">
                <c:v>41366</c:v>
              </c:pt>
              <c:pt idx="1731">
                <c:v>41367</c:v>
              </c:pt>
              <c:pt idx="1732">
                <c:v>41368</c:v>
              </c:pt>
              <c:pt idx="1733">
                <c:v>41369</c:v>
              </c:pt>
              <c:pt idx="1734">
                <c:v>41372</c:v>
              </c:pt>
              <c:pt idx="1735">
                <c:v>41373</c:v>
              </c:pt>
              <c:pt idx="1736">
                <c:v>41374</c:v>
              </c:pt>
              <c:pt idx="1737">
                <c:v>41375</c:v>
              </c:pt>
              <c:pt idx="1738">
                <c:v>41376</c:v>
              </c:pt>
              <c:pt idx="1739">
                <c:v>41379</c:v>
              </c:pt>
              <c:pt idx="1740">
                <c:v>41380</c:v>
              </c:pt>
              <c:pt idx="1741">
                <c:v>41381</c:v>
              </c:pt>
              <c:pt idx="1742">
                <c:v>41382</c:v>
              </c:pt>
              <c:pt idx="1743">
                <c:v>41383</c:v>
              </c:pt>
              <c:pt idx="1744">
                <c:v>41386</c:v>
              </c:pt>
              <c:pt idx="1745">
                <c:v>41387</c:v>
              </c:pt>
              <c:pt idx="1746">
                <c:v>41388</c:v>
              </c:pt>
              <c:pt idx="1747">
                <c:v>41390</c:v>
              </c:pt>
              <c:pt idx="1748">
                <c:v>41393</c:v>
              </c:pt>
              <c:pt idx="1749">
                <c:v>41394</c:v>
              </c:pt>
              <c:pt idx="1750">
                <c:v>41395</c:v>
              </c:pt>
              <c:pt idx="1751">
                <c:v>41396</c:v>
              </c:pt>
              <c:pt idx="1752">
                <c:v>41397</c:v>
              </c:pt>
              <c:pt idx="1753">
                <c:v>41400</c:v>
              </c:pt>
              <c:pt idx="1754">
                <c:v>41401</c:v>
              </c:pt>
              <c:pt idx="1755">
                <c:v>41402</c:v>
              </c:pt>
              <c:pt idx="1756">
                <c:v>41403</c:v>
              </c:pt>
              <c:pt idx="1757">
                <c:v>41404</c:v>
              </c:pt>
              <c:pt idx="1758">
                <c:v>41407</c:v>
              </c:pt>
              <c:pt idx="1759">
                <c:v>41408</c:v>
              </c:pt>
              <c:pt idx="1760">
                <c:v>41409</c:v>
              </c:pt>
              <c:pt idx="1761">
                <c:v>41410</c:v>
              </c:pt>
              <c:pt idx="1762">
                <c:v>41411</c:v>
              </c:pt>
              <c:pt idx="1763">
                <c:v>41414</c:v>
              </c:pt>
              <c:pt idx="1764">
                <c:v>41415</c:v>
              </c:pt>
              <c:pt idx="1765">
                <c:v>41416</c:v>
              </c:pt>
              <c:pt idx="1766">
                <c:v>41417</c:v>
              </c:pt>
              <c:pt idx="1767">
                <c:v>41418</c:v>
              </c:pt>
              <c:pt idx="1768">
                <c:v>41421</c:v>
              </c:pt>
              <c:pt idx="1769">
                <c:v>41422</c:v>
              </c:pt>
              <c:pt idx="1770">
                <c:v>41423</c:v>
              </c:pt>
              <c:pt idx="1771">
                <c:v>41424</c:v>
              </c:pt>
              <c:pt idx="1772">
                <c:v>41425</c:v>
              </c:pt>
              <c:pt idx="1773">
                <c:v>41428</c:v>
              </c:pt>
              <c:pt idx="1774">
                <c:v>41429</c:v>
              </c:pt>
              <c:pt idx="1775">
                <c:v>41430</c:v>
              </c:pt>
              <c:pt idx="1776">
                <c:v>41431</c:v>
              </c:pt>
              <c:pt idx="1777">
                <c:v>41432</c:v>
              </c:pt>
              <c:pt idx="1778">
                <c:v>41436</c:v>
              </c:pt>
              <c:pt idx="1779">
                <c:v>41437</c:v>
              </c:pt>
              <c:pt idx="1780">
                <c:v>41438</c:v>
              </c:pt>
              <c:pt idx="1781">
                <c:v>41439</c:v>
              </c:pt>
              <c:pt idx="1782">
                <c:v>41442</c:v>
              </c:pt>
              <c:pt idx="1783">
                <c:v>41443</c:v>
              </c:pt>
              <c:pt idx="1784">
                <c:v>41444</c:v>
              </c:pt>
              <c:pt idx="1785">
                <c:v>41445</c:v>
              </c:pt>
              <c:pt idx="1786">
                <c:v>41446</c:v>
              </c:pt>
              <c:pt idx="1787">
                <c:v>41449</c:v>
              </c:pt>
              <c:pt idx="1788">
                <c:v>41450</c:v>
              </c:pt>
              <c:pt idx="1789">
                <c:v>41451</c:v>
              </c:pt>
              <c:pt idx="1790">
                <c:v>41452</c:v>
              </c:pt>
              <c:pt idx="1791">
                <c:v>41453</c:v>
              </c:pt>
              <c:pt idx="1792">
                <c:v>41456</c:v>
              </c:pt>
              <c:pt idx="1793">
                <c:v>41457</c:v>
              </c:pt>
              <c:pt idx="1794">
                <c:v>41458</c:v>
              </c:pt>
              <c:pt idx="1795">
                <c:v>41459</c:v>
              </c:pt>
              <c:pt idx="1796">
                <c:v>41460</c:v>
              </c:pt>
              <c:pt idx="1797">
                <c:v>41463</c:v>
              </c:pt>
              <c:pt idx="1798">
                <c:v>41464</c:v>
              </c:pt>
              <c:pt idx="1799">
                <c:v>41465</c:v>
              </c:pt>
              <c:pt idx="1800">
                <c:v>41466</c:v>
              </c:pt>
              <c:pt idx="1801">
                <c:v>41467</c:v>
              </c:pt>
              <c:pt idx="1802">
                <c:v>41470</c:v>
              </c:pt>
              <c:pt idx="1803">
                <c:v>41471</c:v>
              </c:pt>
              <c:pt idx="1804">
                <c:v>41472</c:v>
              </c:pt>
              <c:pt idx="1805">
                <c:v>41473</c:v>
              </c:pt>
              <c:pt idx="1806">
                <c:v>41474</c:v>
              </c:pt>
              <c:pt idx="1807">
                <c:v>41477</c:v>
              </c:pt>
              <c:pt idx="1808">
                <c:v>41478</c:v>
              </c:pt>
              <c:pt idx="1809">
                <c:v>41479</c:v>
              </c:pt>
              <c:pt idx="1810">
                <c:v>41480</c:v>
              </c:pt>
              <c:pt idx="1811">
                <c:v>41481</c:v>
              </c:pt>
              <c:pt idx="1812">
                <c:v>41484</c:v>
              </c:pt>
              <c:pt idx="1813">
                <c:v>41485</c:v>
              </c:pt>
              <c:pt idx="1814">
                <c:v>41486</c:v>
              </c:pt>
              <c:pt idx="1815">
                <c:v>41487</c:v>
              </c:pt>
              <c:pt idx="1816">
                <c:v>41488</c:v>
              </c:pt>
              <c:pt idx="1817">
                <c:v>41492</c:v>
              </c:pt>
              <c:pt idx="1818">
                <c:v>41493</c:v>
              </c:pt>
              <c:pt idx="1819">
                <c:v>41494</c:v>
              </c:pt>
              <c:pt idx="1820">
                <c:v>41495</c:v>
              </c:pt>
              <c:pt idx="1821">
                <c:v>41498</c:v>
              </c:pt>
              <c:pt idx="1822">
                <c:v>41499</c:v>
              </c:pt>
              <c:pt idx="1823">
                <c:v>41500</c:v>
              </c:pt>
              <c:pt idx="1824">
                <c:v>41501</c:v>
              </c:pt>
              <c:pt idx="1825">
                <c:v>41502</c:v>
              </c:pt>
              <c:pt idx="1826">
                <c:v>41505</c:v>
              </c:pt>
              <c:pt idx="1827">
                <c:v>41506</c:v>
              </c:pt>
              <c:pt idx="1828">
                <c:v>41507</c:v>
              </c:pt>
              <c:pt idx="1829">
                <c:v>41508</c:v>
              </c:pt>
              <c:pt idx="1830">
                <c:v>41509</c:v>
              </c:pt>
              <c:pt idx="1831">
                <c:v>41512</c:v>
              </c:pt>
              <c:pt idx="1832">
                <c:v>41513</c:v>
              </c:pt>
              <c:pt idx="1833">
                <c:v>41514</c:v>
              </c:pt>
              <c:pt idx="1834">
                <c:v>41515</c:v>
              </c:pt>
              <c:pt idx="1835">
                <c:v>41516</c:v>
              </c:pt>
              <c:pt idx="1836">
                <c:v>41519</c:v>
              </c:pt>
              <c:pt idx="1837">
                <c:v>41520</c:v>
              </c:pt>
              <c:pt idx="1838">
                <c:v>41521</c:v>
              </c:pt>
              <c:pt idx="1839">
                <c:v>41522</c:v>
              </c:pt>
              <c:pt idx="1840">
                <c:v>41523</c:v>
              </c:pt>
              <c:pt idx="1841">
                <c:v>41526</c:v>
              </c:pt>
              <c:pt idx="1842">
                <c:v>41527</c:v>
              </c:pt>
              <c:pt idx="1843">
                <c:v>41528</c:v>
              </c:pt>
              <c:pt idx="1844">
                <c:v>41529</c:v>
              </c:pt>
              <c:pt idx="1845">
                <c:v>41530</c:v>
              </c:pt>
              <c:pt idx="1846">
                <c:v>41533</c:v>
              </c:pt>
              <c:pt idx="1847">
                <c:v>41534</c:v>
              </c:pt>
              <c:pt idx="1848">
                <c:v>41535</c:v>
              </c:pt>
              <c:pt idx="1849">
                <c:v>41536</c:v>
              </c:pt>
              <c:pt idx="1850">
                <c:v>41537</c:v>
              </c:pt>
              <c:pt idx="1851">
                <c:v>41540</c:v>
              </c:pt>
              <c:pt idx="1852">
                <c:v>41541</c:v>
              </c:pt>
              <c:pt idx="1853">
                <c:v>41542</c:v>
              </c:pt>
              <c:pt idx="1854">
                <c:v>41543</c:v>
              </c:pt>
              <c:pt idx="1855">
                <c:v>41544</c:v>
              </c:pt>
              <c:pt idx="1856">
                <c:v>41547</c:v>
              </c:pt>
              <c:pt idx="1857">
                <c:v>41548</c:v>
              </c:pt>
              <c:pt idx="1858">
                <c:v>41549</c:v>
              </c:pt>
              <c:pt idx="1859">
                <c:v>41550</c:v>
              </c:pt>
              <c:pt idx="1860">
                <c:v>41551</c:v>
              </c:pt>
              <c:pt idx="1861">
                <c:v>41555</c:v>
              </c:pt>
              <c:pt idx="1862">
                <c:v>41556</c:v>
              </c:pt>
              <c:pt idx="1863">
                <c:v>41557</c:v>
              </c:pt>
              <c:pt idx="1864">
                <c:v>41558</c:v>
              </c:pt>
              <c:pt idx="1865">
                <c:v>41561</c:v>
              </c:pt>
              <c:pt idx="1866">
                <c:v>41562</c:v>
              </c:pt>
              <c:pt idx="1867">
                <c:v>41563</c:v>
              </c:pt>
              <c:pt idx="1868">
                <c:v>41564</c:v>
              </c:pt>
              <c:pt idx="1869">
                <c:v>41565</c:v>
              </c:pt>
              <c:pt idx="1870">
                <c:v>41568</c:v>
              </c:pt>
              <c:pt idx="1871">
                <c:v>41569</c:v>
              </c:pt>
              <c:pt idx="1872">
                <c:v>41570</c:v>
              </c:pt>
              <c:pt idx="1873">
                <c:v>41571</c:v>
              </c:pt>
              <c:pt idx="1874">
                <c:v>41572</c:v>
              </c:pt>
              <c:pt idx="1875">
                <c:v>41575</c:v>
              </c:pt>
              <c:pt idx="1876">
                <c:v>41576</c:v>
              </c:pt>
              <c:pt idx="1877">
                <c:v>41577</c:v>
              </c:pt>
              <c:pt idx="1878">
                <c:v>41578</c:v>
              </c:pt>
              <c:pt idx="1879">
                <c:v>41579</c:v>
              </c:pt>
              <c:pt idx="1880">
                <c:v>41582</c:v>
              </c:pt>
              <c:pt idx="1881">
                <c:v>41583</c:v>
              </c:pt>
              <c:pt idx="1882">
                <c:v>41584</c:v>
              </c:pt>
              <c:pt idx="1883">
                <c:v>41585</c:v>
              </c:pt>
              <c:pt idx="1884">
                <c:v>41586</c:v>
              </c:pt>
              <c:pt idx="1885">
                <c:v>41589</c:v>
              </c:pt>
              <c:pt idx="1886">
                <c:v>41590</c:v>
              </c:pt>
              <c:pt idx="1887">
                <c:v>41591</c:v>
              </c:pt>
              <c:pt idx="1888">
                <c:v>41592</c:v>
              </c:pt>
              <c:pt idx="1889">
                <c:v>41593</c:v>
              </c:pt>
              <c:pt idx="1890">
                <c:v>41596</c:v>
              </c:pt>
              <c:pt idx="1891">
                <c:v>41597</c:v>
              </c:pt>
              <c:pt idx="1892">
                <c:v>41598</c:v>
              </c:pt>
              <c:pt idx="1893">
                <c:v>41599</c:v>
              </c:pt>
              <c:pt idx="1894">
                <c:v>41600</c:v>
              </c:pt>
              <c:pt idx="1895">
                <c:v>41603</c:v>
              </c:pt>
              <c:pt idx="1896">
                <c:v>41604</c:v>
              </c:pt>
              <c:pt idx="1897">
                <c:v>41605</c:v>
              </c:pt>
              <c:pt idx="1898">
                <c:v>41606</c:v>
              </c:pt>
              <c:pt idx="1899">
                <c:v>41607</c:v>
              </c:pt>
              <c:pt idx="1900">
                <c:v>41610</c:v>
              </c:pt>
              <c:pt idx="1901">
                <c:v>41611</c:v>
              </c:pt>
              <c:pt idx="1902">
                <c:v>41612</c:v>
              </c:pt>
              <c:pt idx="1903">
                <c:v>41613</c:v>
              </c:pt>
              <c:pt idx="1904">
                <c:v>41614</c:v>
              </c:pt>
              <c:pt idx="1905">
                <c:v>41617</c:v>
              </c:pt>
              <c:pt idx="1906">
                <c:v>41618</c:v>
              </c:pt>
              <c:pt idx="1907">
                <c:v>41619</c:v>
              </c:pt>
              <c:pt idx="1908">
                <c:v>41620</c:v>
              </c:pt>
              <c:pt idx="1909">
                <c:v>41621</c:v>
              </c:pt>
              <c:pt idx="1910">
                <c:v>41624</c:v>
              </c:pt>
              <c:pt idx="1911">
                <c:v>41625</c:v>
              </c:pt>
              <c:pt idx="1912">
                <c:v>41626</c:v>
              </c:pt>
              <c:pt idx="1913">
                <c:v>41627</c:v>
              </c:pt>
              <c:pt idx="1914">
                <c:v>41628</c:v>
              </c:pt>
              <c:pt idx="1915">
                <c:v>41631</c:v>
              </c:pt>
              <c:pt idx="1916">
                <c:v>41632</c:v>
              </c:pt>
              <c:pt idx="1917">
                <c:v>41635</c:v>
              </c:pt>
              <c:pt idx="1918">
                <c:v>41638</c:v>
              </c:pt>
              <c:pt idx="1919">
                <c:v>41639</c:v>
              </c:pt>
              <c:pt idx="1920">
                <c:v>41641</c:v>
              </c:pt>
              <c:pt idx="1921">
                <c:v>41642</c:v>
              </c:pt>
              <c:pt idx="1922">
                <c:v>41645</c:v>
              </c:pt>
              <c:pt idx="1923">
                <c:v>41646</c:v>
              </c:pt>
              <c:pt idx="1924">
                <c:v>41647</c:v>
              </c:pt>
              <c:pt idx="1925">
                <c:v>41648</c:v>
              </c:pt>
              <c:pt idx="1926">
                <c:v>41649</c:v>
              </c:pt>
              <c:pt idx="1927">
                <c:v>41652</c:v>
              </c:pt>
              <c:pt idx="1928">
                <c:v>41653</c:v>
              </c:pt>
              <c:pt idx="1929">
                <c:v>41654</c:v>
              </c:pt>
              <c:pt idx="1930">
                <c:v>41655</c:v>
              </c:pt>
              <c:pt idx="1931">
                <c:v>41656</c:v>
              </c:pt>
              <c:pt idx="1932">
                <c:v>41659</c:v>
              </c:pt>
              <c:pt idx="1933">
                <c:v>41660</c:v>
              </c:pt>
              <c:pt idx="1934">
                <c:v>41661</c:v>
              </c:pt>
              <c:pt idx="1935">
                <c:v>41662</c:v>
              </c:pt>
              <c:pt idx="1936">
                <c:v>41663</c:v>
              </c:pt>
              <c:pt idx="1937">
                <c:v>41667</c:v>
              </c:pt>
              <c:pt idx="1938">
                <c:v>41668</c:v>
              </c:pt>
              <c:pt idx="1939">
                <c:v>41669</c:v>
              </c:pt>
              <c:pt idx="1940">
                <c:v>41670</c:v>
              </c:pt>
              <c:pt idx="1941">
                <c:v>41673</c:v>
              </c:pt>
              <c:pt idx="1942">
                <c:v>41674</c:v>
              </c:pt>
              <c:pt idx="1943">
                <c:v>41675</c:v>
              </c:pt>
              <c:pt idx="1944">
                <c:v>41676</c:v>
              </c:pt>
              <c:pt idx="1945">
                <c:v>41677</c:v>
              </c:pt>
              <c:pt idx="1946">
                <c:v>41680</c:v>
              </c:pt>
              <c:pt idx="1947">
                <c:v>41681</c:v>
              </c:pt>
              <c:pt idx="1948">
                <c:v>41682</c:v>
              </c:pt>
              <c:pt idx="1949">
                <c:v>41683</c:v>
              </c:pt>
              <c:pt idx="1950">
                <c:v>41684</c:v>
              </c:pt>
              <c:pt idx="1951">
                <c:v>41687</c:v>
              </c:pt>
              <c:pt idx="1952">
                <c:v>41688</c:v>
              </c:pt>
              <c:pt idx="1953">
                <c:v>41689</c:v>
              </c:pt>
              <c:pt idx="1954">
                <c:v>41690</c:v>
              </c:pt>
              <c:pt idx="1955">
                <c:v>41691</c:v>
              </c:pt>
              <c:pt idx="1956">
                <c:v>41694</c:v>
              </c:pt>
              <c:pt idx="1957">
                <c:v>41695</c:v>
              </c:pt>
              <c:pt idx="1958">
                <c:v>41696</c:v>
              </c:pt>
              <c:pt idx="1959">
                <c:v>41697</c:v>
              </c:pt>
              <c:pt idx="1960">
                <c:v>41698</c:v>
              </c:pt>
              <c:pt idx="1961">
                <c:v>41701</c:v>
              </c:pt>
              <c:pt idx="1962">
                <c:v>41702</c:v>
              </c:pt>
              <c:pt idx="1963">
                <c:v>41703</c:v>
              </c:pt>
              <c:pt idx="1964">
                <c:v>41704</c:v>
              </c:pt>
              <c:pt idx="1965">
                <c:v>41705</c:v>
              </c:pt>
              <c:pt idx="1966">
                <c:v>41708</c:v>
              </c:pt>
              <c:pt idx="1967">
                <c:v>41709</c:v>
              </c:pt>
              <c:pt idx="1968">
                <c:v>41710</c:v>
              </c:pt>
              <c:pt idx="1969">
                <c:v>41711</c:v>
              </c:pt>
              <c:pt idx="1970">
                <c:v>41712</c:v>
              </c:pt>
              <c:pt idx="1971">
                <c:v>41715</c:v>
              </c:pt>
              <c:pt idx="1972">
                <c:v>41716</c:v>
              </c:pt>
              <c:pt idx="1973">
                <c:v>41717</c:v>
              </c:pt>
              <c:pt idx="1974">
                <c:v>41718</c:v>
              </c:pt>
              <c:pt idx="1975">
                <c:v>41719</c:v>
              </c:pt>
              <c:pt idx="1976">
                <c:v>41722</c:v>
              </c:pt>
              <c:pt idx="1977">
                <c:v>41723</c:v>
              </c:pt>
              <c:pt idx="1978">
                <c:v>41724</c:v>
              </c:pt>
              <c:pt idx="1979">
                <c:v>41725</c:v>
              </c:pt>
              <c:pt idx="1980">
                <c:v>41726</c:v>
              </c:pt>
              <c:pt idx="1981">
                <c:v>41729</c:v>
              </c:pt>
              <c:pt idx="1982">
                <c:v>41730</c:v>
              </c:pt>
              <c:pt idx="1983">
                <c:v>41731</c:v>
              </c:pt>
              <c:pt idx="1984">
                <c:v>41732</c:v>
              </c:pt>
              <c:pt idx="1985">
                <c:v>41733</c:v>
              </c:pt>
              <c:pt idx="1986">
                <c:v>41736</c:v>
              </c:pt>
              <c:pt idx="1987">
                <c:v>41737</c:v>
              </c:pt>
              <c:pt idx="1988">
                <c:v>41738</c:v>
              </c:pt>
              <c:pt idx="1989">
                <c:v>41739</c:v>
              </c:pt>
              <c:pt idx="1990">
                <c:v>41740</c:v>
              </c:pt>
              <c:pt idx="1991">
                <c:v>41743</c:v>
              </c:pt>
              <c:pt idx="1992">
                <c:v>41744</c:v>
              </c:pt>
              <c:pt idx="1993">
                <c:v>41745</c:v>
              </c:pt>
              <c:pt idx="1994">
                <c:v>41746</c:v>
              </c:pt>
              <c:pt idx="1995">
                <c:v>41751</c:v>
              </c:pt>
              <c:pt idx="1996">
                <c:v>41752</c:v>
              </c:pt>
              <c:pt idx="1997">
                <c:v>41753</c:v>
              </c:pt>
              <c:pt idx="1998">
                <c:v>41757</c:v>
              </c:pt>
              <c:pt idx="1999">
                <c:v>41758</c:v>
              </c:pt>
              <c:pt idx="2000">
                <c:v>41759</c:v>
              </c:pt>
              <c:pt idx="2001">
                <c:v>41760</c:v>
              </c:pt>
              <c:pt idx="2002">
                <c:v>41761</c:v>
              </c:pt>
              <c:pt idx="2003">
                <c:v>41764</c:v>
              </c:pt>
              <c:pt idx="2004">
                <c:v>41765</c:v>
              </c:pt>
              <c:pt idx="2005">
                <c:v>41766</c:v>
              </c:pt>
              <c:pt idx="2006">
                <c:v>41767</c:v>
              </c:pt>
              <c:pt idx="2007">
                <c:v>41768</c:v>
              </c:pt>
              <c:pt idx="2008">
                <c:v>41771</c:v>
              </c:pt>
              <c:pt idx="2009">
                <c:v>41772</c:v>
              </c:pt>
              <c:pt idx="2010">
                <c:v>41773</c:v>
              </c:pt>
              <c:pt idx="2011">
                <c:v>41774</c:v>
              </c:pt>
              <c:pt idx="2012">
                <c:v>41775</c:v>
              </c:pt>
              <c:pt idx="2013">
                <c:v>41778</c:v>
              </c:pt>
              <c:pt idx="2014">
                <c:v>41779</c:v>
              </c:pt>
              <c:pt idx="2015">
                <c:v>41780</c:v>
              </c:pt>
              <c:pt idx="2016">
                <c:v>41781</c:v>
              </c:pt>
              <c:pt idx="2017">
                <c:v>41782</c:v>
              </c:pt>
              <c:pt idx="2018">
                <c:v>41785</c:v>
              </c:pt>
              <c:pt idx="2019">
                <c:v>41786</c:v>
              </c:pt>
              <c:pt idx="2020">
                <c:v>41787</c:v>
              </c:pt>
              <c:pt idx="2021">
                <c:v>41788</c:v>
              </c:pt>
              <c:pt idx="2022">
                <c:v>41789</c:v>
              </c:pt>
              <c:pt idx="2023">
                <c:v>41792</c:v>
              </c:pt>
              <c:pt idx="2024">
                <c:v>41793</c:v>
              </c:pt>
              <c:pt idx="2025">
                <c:v>41794</c:v>
              </c:pt>
              <c:pt idx="2026">
                <c:v>41795</c:v>
              </c:pt>
              <c:pt idx="2027">
                <c:v>41796</c:v>
              </c:pt>
              <c:pt idx="2028">
                <c:v>41800</c:v>
              </c:pt>
              <c:pt idx="2029">
                <c:v>41801</c:v>
              </c:pt>
              <c:pt idx="2030">
                <c:v>41802</c:v>
              </c:pt>
              <c:pt idx="2031">
                <c:v>41803</c:v>
              </c:pt>
              <c:pt idx="2032">
                <c:v>41806</c:v>
              </c:pt>
              <c:pt idx="2033">
                <c:v>41807</c:v>
              </c:pt>
              <c:pt idx="2034">
                <c:v>41808</c:v>
              </c:pt>
              <c:pt idx="2035">
                <c:v>41809</c:v>
              </c:pt>
              <c:pt idx="2036">
                <c:v>41810</c:v>
              </c:pt>
              <c:pt idx="2037">
                <c:v>41813</c:v>
              </c:pt>
              <c:pt idx="2038">
                <c:v>41814</c:v>
              </c:pt>
              <c:pt idx="2039">
                <c:v>41815</c:v>
              </c:pt>
              <c:pt idx="2040">
                <c:v>41816</c:v>
              </c:pt>
              <c:pt idx="2041">
                <c:v>41817</c:v>
              </c:pt>
              <c:pt idx="2042">
                <c:v>41820</c:v>
              </c:pt>
              <c:pt idx="2043">
                <c:v>41821</c:v>
              </c:pt>
              <c:pt idx="2044">
                <c:v>41822</c:v>
              </c:pt>
              <c:pt idx="2045">
                <c:v>41823</c:v>
              </c:pt>
              <c:pt idx="2046">
                <c:v>41824</c:v>
              </c:pt>
              <c:pt idx="2047">
                <c:v>41827</c:v>
              </c:pt>
              <c:pt idx="2048">
                <c:v>41828</c:v>
              </c:pt>
              <c:pt idx="2049">
                <c:v>41829</c:v>
              </c:pt>
              <c:pt idx="2050">
                <c:v>41830</c:v>
              </c:pt>
              <c:pt idx="2051">
                <c:v>41831</c:v>
              </c:pt>
              <c:pt idx="2052">
                <c:v>41834</c:v>
              </c:pt>
              <c:pt idx="2053">
                <c:v>41835</c:v>
              </c:pt>
              <c:pt idx="2054">
                <c:v>41836</c:v>
              </c:pt>
              <c:pt idx="2055">
                <c:v>41837</c:v>
              </c:pt>
              <c:pt idx="2056">
                <c:v>41838</c:v>
              </c:pt>
              <c:pt idx="2057">
                <c:v>41841</c:v>
              </c:pt>
              <c:pt idx="2058">
                <c:v>41842</c:v>
              </c:pt>
              <c:pt idx="2059">
                <c:v>41843</c:v>
              </c:pt>
              <c:pt idx="2060">
                <c:v>41844</c:v>
              </c:pt>
              <c:pt idx="2061">
                <c:v>41845</c:v>
              </c:pt>
              <c:pt idx="2062">
                <c:v>41848</c:v>
              </c:pt>
              <c:pt idx="2063">
                <c:v>41849</c:v>
              </c:pt>
              <c:pt idx="2064">
                <c:v>41850</c:v>
              </c:pt>
              <c:pt idx="2065">
                <c:v>41851</c:v>
              </c:pt>
              <c:pt idx="2066">
                <c:v>41852</c:v>
              </c:pt>
              <c:pt idx="2067">
                <c:v>41856</c:v>
              </c:pt>
              <c:pt idx="2068">
                <c:v>41857</c:v>
              </c:pt>
              <c:pt idx="2069">
                <c:v>41858</c:v>
              </c:pt>
              <c:pt idx="2070">
                <c:v>41859</c:v>
              </c:pt>
              <c:pt idx="2071">
                <c:v>41862</c:v>
              </c:pt>
              <c:pt idx="2072">
                <c:v>41863</c:v>
              </c:pt>
              <c:pt idx="2073">
                <c:v>41864</c:v>
              </c:pt>
              <c:pt idx="2074">
                <c:v>41865</c:v>
              </c:pt>
              <c:pt idx="2075">
                <c:v>41866</c:v>
              </c:pt>
              <c:pt idx="2076">
                <c:v>41869</c:v>
              </c:pt>
              <c:pt idx="2077">
                <c:v>41870</c:v>
              </c:pt>
              <c:pt idx="2078">
                <c:v>41871</c:v>
              </c:pt>
              <c:pt idx="2079">
                <c:v>41872</c:v>
              </c:pt>
              <c:pt idx="2080">
                <c:v>41873</c:v>
              </c:pt>
              <c:pt idx="2081">
                <c:v>41876</c:v>
              </c:pt>
              <c:pt idx="2082">
                <c:v>41877</c:v>
              </c:pt>
              <c:pt idx="2083">
                <c:v>41878</c:v>
              </c:pt>
              <c:pt idx="2084">
                <c:v>41879</c:v>
              </c:pt>
              <c:pt idx="2085">
                <c:v>41880</c:v>
              </c:pt>
              <c:pt idx="2086">
                <c:v>41883</c:v>
              </c:pt>
              <c:pt idx="2087">
                <c:v>41884</c:v>
              </c:pt>
              <c:pt idx="2088">
                <c:v>41885</c:v>
              </c:pt>
              <c:pt idx="2089">
                <c:v>41886</c:v>
              </c:pt>
              <c:pt idx="2090">
                <c:v>41887</c:v>
              </c:pt>
              <c:pt idx="2091">
                <c:v>41890</c:v>
              </c:pt>
              <c:pt idx="2092">
                <c:v>41891</c:v>
              </c:pt>
              <c:pt idx="2093">
                <c:v>41892</c:v>
              </c:pt>
              <c:pt idx="2094">
                <c:v>41893</c:v>
              </c:pt>
              <c:pt idx="2095">
                <c:v>41894</c:v>
              </c:pt>
              <c:pt idx="2096">
                <c:v>41897</c:v>
              </c:pt>
              <c:pt idx="2097">
                <c:v>41898</c:v>
              </c:pt>
              <c:pt idx="2098">
                <c:v>41899</c:v>
              </c:pt>
              <c:pt idx="2099">
                <c:v>41900</c:v>
              </c:pt>
              <c:pt idx="2100">
                <c:v>41901</c:v>
              </c:pt>
              <c:pt idx="2101">
                <c:v>41904</c:v>
              </c:pt>
              <c:pt idx="2102">
                <c:v>41905</c:v>
              </c:pt>
              <c:pt idx="2103">
                <c:v>41906</c:v>
              </c:pt>
              <c:pt idx="2104">
                <c:v>41907</c:v>
              </c:pt>
              <c:pt idx="2105">
                <c:v>41908</c:v>
              </c:pt>
              <c:pt idx="2106">
                <c:v>41911</c:v>
              </c:pt>
              <c:pt idx="2107">
                <c:v>41912</c:v>
              </c:pt>
              <c:pt idx="2108">
                <c:v>41913</c:v>
              </c:pt>
              <c:pt idx="2109">
                <c:v>41914</c:v>
              </c:pt>
              <c:pt idx="2110">
                <c:v>41915</c:v>
              </c:pt>
              <c:pt idx="2111">
                <c:v>41919</c:v>
              </c:pt>
              <c:pt idx="2112">
                <c:v>41920</c:v>
              </c:pt>
              <c:pt idx="2113">
                <c:v>41921</c:v>
              </c:pt>
              <c:pt idx="2114">
                <c:v>41922</c:v>
              </c:pt>
              <c:pt idx="2115">
                <c:v>41925</c:v>
              </c:pt>
              <c:pt idx="2116">
                <c:v>41926</c:v>
              </c:pt>
              <c:pt idx="2117">
                <c:v>41927</c:v>
              </c:pt>
              <c:pt idx="2118">
                <c:v>41928</c:v>
              </c:pt>
              <c:pt idx="2119">
                <c:v>41929</c:v>
              </c:pt>
              <c:pt idx="2120">
                <c:v>41932</c:v>
              </c:pt>
              <c:pt idx="2121">
                <c:v>41933</c:v>
              </c:pt>
              <c:pt idx="2122">
                <c:v>41934</c:v>
              </c:pt>
              <c:pt idx="2123">
                <c:v>41935</c:v>
              </c:pt>
              <c:pt idx="2124">
                <c:v>41936</c:v>
              </c:pt>
              <c:pt idx="2125">
                <c:v>41939</c:v>
              </c:pt>
              <c:pt idx="2126">
                <c:v>41940</c:v>
              </c:pt>
              <c:pt idx="2127">
                <c:v>41941</c:v>
              </c:pt>
              <c:pt idx="2128">
                <c:v>41942</c:v>
              </c:pt>
              <c:pt idx="2129">
                <c:v>41943</c:v>
              </c:pt>
              <c:pt idx="2130">
                <c:v>41946</c:v>
              </c:pt>
              <c:pt idx="2131">
                <c:v>41947</c:v>
              </c:pt>
              <c:pt idx="2132">
                <c:v>41948</c:v>
              </c:pt>
              <c:pt idx="2133">
                <c:v>41949</c:v>
              </c:pt>
              <c:pt idx="2134">
                <c:v>41950</c:v>
              </c:pt>
              <c:pt idx="2135">
                <c:v>41953</c:v>
              </c:pt>
              <c:pt idx="2136">
                <c:v>41954</c:v>
              </c:pt>
              <c:pt idx="2137">
                <c:v>41955</c:v>
              </c:pt>
              <c:pt idx="2138">
                <c:v>41956</c:v>
              </c:pt>
              <c:pt idx="2139">
                <c:v>41957</c:v>
              </c:pt>
              <c:pt idx="2140">
                <c:v>41960</c:v>
              </c:pt>
              <c:pt idx="2141">
                <c:v>41961</c:v>
              </c:pt>
              <c:pt idx="2142">
                <c:v>41962</c:v>
              </c:pt>
              <c:pt idx="2143">
                <c:v>41963</c:v>
              </c:pt>
              <c:pt idx="2144">
                <c:v>41964</c:v>
              </c:pt>
              <c:pt idx="2145">
                <c:v>41967</c:v>
              </c:pt>
              <c:pt idx="2146">
                <c:v>41968</c:v>
              </c:pt>
              <c:pt idx="2147">
                <c:v>41969</c:v>
              </c:pt>
              <c:pt idx="2148">
                <c:v>41970</c:v>
              </c:pt>
              <c:pt idx="2149">
                <c:v>41971</c:v>
              </c:pt>
              <c:pt idx="2150">
                <c:v>41974</c:v>
              </c:pt>
              <c:pt idx="2151">
                <c:v>41975</c:v>
              </c:pt>
              <c:pt idx="2152">
                <c:v>41976</c:v>
              </c:pt>
              <c:pt idx="2153">
                <c:v>41977</c:v>
              </c:pt>
              <c:pt idx="2154">
                <c:v>41978</c:v>
              </c:pt>
              <c:pt idx="2155">
                <c:v>41981</c:v>
              </c:pt>
              <c:pt idx="2156">
                <c:v>41982</c:v>
              </c:pt>
              <c:pt idx="2157">
                <c:v>41983</c:v>
              </c:pt>
              <c:pt idx="2158">
                <c:v>41984</c:v>
              </c:pt>
              <c:pt idx="2159">
                <c:v>41985</c:v>
              </c:pt>
              <c:pt idx="2160">
                <c:v>41988</c:v>
              </c:pt>
              <c:pt idx="2161">
                <c:v>41989</c:v>
              </c:pt>
              <c:pt idx="2162">
                <c:v>41990</c:v>
              </c:pt>
              <c:pt idx="2163">
                <c:v>41991</c:v>
              </c:pt>
              <c:pt idx="2164">
                <c:v>41992</c:v>
              </c:pt>
              <c:pt idx="2165">
                <c:v>41995</c:v>
              </c:pt>
              <c:pt idx="2166">
                <c:v>41996</c:v>
              </c:pt>
              <c:pt idx="2167">
                <c:v>41997</c:v>
              </c:pt>
              <c:pt idx="2168">
                <c:v>42002</c:v>
              </c:pt>
              <c:pt idx="2169">
                <c:v>42003</c:v>
              </c:pt>
              <c:pt idx="2170">
                <c:v>42004</c:v>
              </c:pt>
              <c:pt idx="2171">
                <c:v>42006</c:v>
              </c:pt>
              <c:pt idx="2172">
                <c:v>42009</c:v>
              </c:pt>
              <c:pt idx="2173">
                <c:v>42010</c:v>
              </c:pt>
              <c:pt idx="2174">
                <c:v>42011</c:v>
              </c:pt>
              <c:pt idx="2175">
                <c:v>42012</c:v>
              </c:pt>
              <c:pt idx="2176">
                <c:v>42013</c:v>
              </c:pt>
              <c:pt idx="2177">
                <c:v>42016</c:v>
              </c:pt>
              <c:pt idx="2178">
                <c:v>42017</c:v>
              </c:pt>
              <c:pt idx="2179">
                <c:v>42018</c:v>
              </c:pt>
              <c:pt idx="2180">
                <c:v>42019</c:v>
              </c:pt>
              <c:pt idx="2181">
                <c:v>42020</c:v>
              </c:pt>
              <c:pt idx="2182">
                <c:v>42023</c:v>
              </c:pt>
              <c:pt idx="2183">
                <c:v>42024</c:v>
              </c:pt>
              <c:pt idx="2184">
                <c:v>42025</c:v>
              </c:pt>
              <c:pt idx="2185">
                <c:v>42026</c:v>
              </c:pt>
              <c:pt idx="2186">
                <c:v>42027</c:v>
              </c:pt>
              <c:pt idx="2187">
                <c:v>42031</c:v>
              </c:pt>
              <c:pt idx="2188">
                <c:v>42032</c:v>
              </c:pt>
              <c:pt idx="2189">
                <c:v>42033</c:v>
              </c:pt>
              <c:pt idx="2190">
                <c:v>42034</c:v>
              </c:pt>
              <c:pt idx="2191">
                <c:v>42037</c:v>
              </c:pt>
              <c:pt idx="2192">
                <c:v>42038</c:v>
              </c:pt>
              <c:pt idx="2193">
                <c:v>42039</c:v>
              </c:pt>
              <c:pt idx="2194">
                <c:v>42040</c:v>
              </c:pt>
              <c:pt idx="2195">
                <c:v>42041</c:v>
              </c:pt>
              <c:pt idx="2196">
                <c:v>42044</c:v>
              </c:pt>
              <c:pt idx="2197">
                <c:v>42045</c:v>
              </c:pt>
              <c:pt idx="2198">
                <c:v>42046</c:v>
              </c:pt>
              <c:pt idx="2199">
                <c:v>42047</c:v>
              </c:pt>
              <c:pt idx="2200">
                <c:v>42048</c:v>
              </c:pt>
              <c:pt idx="2201">
                <c:v>42051</c:v>
              </c:pt>
              <c:pt idx="2202">
                <c:v>42052</c:v>
              </c:pt>
              <c:pt idx="2203">
                <c:v>42053</c:v>
              </c:pt>
              <c:pt idx="2204">
                <c:v>42054</c:v>
              </c:pt>
              <c:pt idx="2205">
                <c:v>42055</c:v>
              </c:pt>
              <c:pt idx="2206">
                <c:v>42058</c:v>
              </c:pt>
              <c:pt idx="2207">
                <c:v>42059</c:v>
              </c:pt>
              <c:pt idx="2208">
                <c:v>42060</c:v>
              </c:pt>
              <c:pt idx="2209">
                <c:v>42061</c:v>
              </c:pt>
              <c:pt idx="2210">
                <c:v>42062</c:v>
              </c:pt>
              <c:pt idx="2211">
                <c:v>42065</c:v>
              </c:pt>
              <c:pt idx="2212">
                <c:v>42066</c:v>
              </c:pt>
              <c:pt idx="2213">
                <c:v>42067</c:v>
              </c:pt>
              <c:pt idx="2214">
                <c:v>42068</c:v>
              </c:pt>
              <c:pt idx="2215">
                <c:v>42069</c:v>
              </c:pt>
              <c:pt idx="2216">
                <c:v>42072</c:v>
              </c:pt>
              <c:pt idx="2217">
                <c:v>42073</c:v>
              </c:pt>
              <c:pt idx="2218">
                <c:v>42074</c:v>
              </c:pt>
              <c:pt idx="2219">
                <c:v>42075</c:v>
              </c:pt>
              <c:pt idx="2220">
                <c:v>42076</c:v>
              </c:pt>
              <c:pt idx="2221">
                <c:v>42079</c:v>
              </c:pt>
              <c:pt idx="2222">
                <c:v>42080</c:v>
              </c:pt>
              <c:pt idx="2223">
                <c:v>42081</c:v>
              </c:pt>
              <c:pt idx="2224">
                <c:v>42082</c:v>
              </c:pt>
              <c:pt idx="2225">
                <c:v>42083</c:v>
              </c:pt>
              <c:pt idx="2226">
                <c:v>42086</c:v>
              </c:pt>
              <c:pt idx="2227">
                <c:v>42087</c:v>
              </c:pt>
              <c:pt idx="2228">
                <c:v>42088</c:v>
              </c:pt>
              <c:pt idx="2229">
                <c:v>42089</c:v>
              </c:pt>
              <c:pt idx="2230">
                <c:v>42090</c:v>
              </c:pt>
              <c:pt idx="2231">
                <c:v>42093</c:v>
              </c:pt>
              <c:pt idx="2232">
                <c:v>42094</c:v>
              </c:pt>
              <c:pt idx="2233">
                <c:v>42095</c:v>
              </c:pt>
              <c:pt idx="2234">
                <c:v>42096</c:v>
              </c:pt>
              <c:pt idx="2235">
                <c:v>42101</c:v>
              </c:pt>
              <c:pt idx="2236">
                <c:v>42102</c:v>
              </c:pt>
              <c:pt idx="2237">
                <c:v>42103</c:v>
              </c:pt>
              <c:pt idx="2238">
                <c:v>42104</c:v>
              </c:pt>
              <c:pt idx="2239">
                <c:v>42107</c:v>
              </c:pt>
              <c:pt idx="2240">
                <c:v>42108</c:v>
              </c:pt>
              <c:pt idx="2241">
                <c:v>42109</c:v>
              </c:pt>
              <c:pt idx="2242">
                <c:v>42110</c:v>
              </c:pt>
              <c:pt idx="2243">
                <c:v>42111</c:v>
              </c:pt>
              <c:pt idx="2244">
                <c:v>42114</c:v>
              </c:pt>
              <c:pt idx="2245">
                <c:v>42115</c:v>
              </c:pt>
              <c:pt idx="2246">
                <c:v>42116</c:v>
              </c:pt>
              <c:pt idx="2247">
                <c:v>42117</c:v>
              </c:pt>
              <c:pt idx="2248">
                <c:v>42118</c:v>
              </c:pt>
              <c:pt idx="2249">
                <c:v>42121</c:v>
              </c:pt>
              <c:pt idx="2250">
                <c:v>42122</c:v>
              </c:pt>
              <c:pt idx="2251">
                <c:v>42123</c:v>
              </c:pt>
              <c:pt idx="2252">
                <c:v>42124</c:v>
              </c:pt>
              <c:pt idx="2253">
                <c:v>42125</c:v>
              </c:pt>
              <c:pt idx="2254">
                <c:v>42128</c:v>
              </c:pt>
              <c:pt idx="2255">
                <c:v>42129</c:v>
              </c:pt>
              <c:pt idx="2256">
                <c:v>42130</c:v>
              </c:pt>
              <c:pt idx="2257">
                <c:v>42131</c:v>
              </c:pt>
              <c:pt idx="2258">
                <c:v>42132</c:v>
              </c:pt>
              <c:pt idx="2259">
                <c:v>42135</c:v>
              </c:pt>
              <c:pt idx="2260">
                <c:v>42136</c:v>
              </c:pt>
              <c:pt idx="2261">
                <c:v>42137</c:v>
              </c:pt>
              <c:pt idx="2262">
                <c:v>42138</c:v>
              </c:pt>
              <c:pt idx="2263">
                <c:v>42139</c:v>
              </c:pt>
              <c:pt idx="2264">
                <c:v>42142</c:v>
              </c:pt>
              <c:pt idx="2265">
                <c:v>42143</c:v>
              </c:pt>
              <c:pt idx="2266">
                <c:v>42144</c:v>
              </c:pt>
              <c:pt idx="2267">
                <c:v>42145</c:v>
              </c:pt>
              <c:pt idx="2268">
                <c:v>42146</c:v>
              </c:pt>
              <c:pt idx="2269">
                <c:v>42149</c:v>
              </c:pt>
              <c:pt idx="2270">
                <c:v>42150</c:v>
              </c:pt>
              <c:pt idx="2271">
                <c:v>42151</c:v>
              </c:pt>
              <c:pt idx="2272">
                <c:v>42152</c:v>
              </c:pt>
              <c:pt idx="2273">
                <c:v>42153</c:v>
              </c:pt>
              <c:pt idx="2274">
                <c:v>42156</c:v>
              </c:pt>
              <c:pt idx="2275">
                <c:v>42157</c:v>
              </c:pt>
              <c:pt idx="2276">
                <c:v>42158</c:v>
              </c:pt>
              <c:pt idx="2277">
                <c:v>42159</c:v>
              </c:pt>
              <c:pt idx="2278">
                <c:v>42160</c:v>
              </c:pt>
              <c:pt idx="2279">
                <c:v>42164</c:v>
              </c:pt>
              <c:pt idx="2280">
                <c:v>42165</c:v>
              </c:pt>
              <c:pt idx="2281">
                <c:v>42166</c:v>
              </c:pt>
              <c:pt idx="2282">
                <c:v>42167</c:v>
              </c:pt>
              <c:pt idx="2283">
                <c:v>42170</c:v>
              </c:pt>
              <c:pt idx="2284">
                <c:v>42171</c:v>
              </c:pt>
              <c:pt idx="2285">
                <c:v>42172</c:v>
              </c:pt>
              <c:pt idx="2286">
                <c:v>42173</c:v>
              </c:pt>
              <c:pt idx="2287">
                <c:v>42174</c:v>
              </c:pt>
              <c:pt idx="2288">
                <c:v>42177</c:v>
              </c:pt>
              <c:pt idx="2289">
                <c:v>42178</c:v>
              </c:pt>
              <c:pt idx="2290">
                <c:v>42179</c:v>
              </c:pt>
              <c:pt idx="2291">
                <c:v>42180</c:v>
              </c:pt>
              <c:pt idx="2292">
                <c:v>42181</c:v>
              </c:pt>
              <c:pt idx="2293">
                <c:v>42184</c:v>
              </c:pt>
              <c:pt idx="2294">
                <c:v>42185</c:v>
              </c:pt>
              <c:pt idx="2295">
                <c:v>42186</c:v>
              </c:pt>
              <c:pt idx="2296">
                <c:v>42187</c:v>
              </c:pt>
              <c:pt idx="2297">
                <c:v>42188</c:v>
              </c:pt>
              <c:pt idx="2298">
                <c:v>42191</c:v>
              </c:pt>
              <c:pt idx="2299">
                <c:v>42192</c:v>
              </c:pt>
              <c:pt idx="2300">
                <c:v>42193</c:v>
              </c:pt>
              <c:pt idx="2301">
                <c:v>42194</c:v>
              </c:pt>
              <c:pt idx="2302">
                <c:v>42195</c:v>
              </c:pt>
              <c:pt idx="2303">
                <c:v>42198</c:v>
              </c:pt>
              <c:pt idx="2304">
                <c:v>42199</c:v>
              </c:pt>
              <c:pt idx="2305">
                <c:v>42200</c:v>
              </c:pt>
              <c:pt idx="2306">
                <c:v>42201</c:v>
              </c:pt>
              <c:pt idx="2307">
                <c:v>42202</c:v>
              </c:pt>
              <c:pt idx="2308">
                <c:v>42205</c:v>
              </c:pt>
              <c:pt idx="2309">
                <c:v>42206</c:v>
              </c:pt>
              <c:pt idx="2310">
                <c:v>42207</c:v>
              </c:pt>
              <c:pt idx="2311">
                <c:v>42208</c:v>
              </c:pt>
              <c:pt idx="2312">
                <c:v>42209</c:v>
              </c:pt>
              <c:pt idx="2313">
                <c:v>42212</c:v>
              </c:pt>
              <c:pt idx="2314">
                <c:v>42213</c:v>
              </c:pt>
              <c:pt idx="2315">
                <c:v>42214</c:v>
              </c:pt>
              <c:pt idx="2316">
                <c:v>42215</c:v>
              </c:pt>
              <c:pt idx="2317">
                <c:v>42216</c:v>
              </c:pt>
              <c:pt idx="2318">
                <c:v>42220</c:v>
              </c:pt>
              <c:pt idx="2319">
                <c:v>42221</c:v>
              </c:pt>
              <c:pt idx="2320">
                <c:v>42222</c:v>
              </c:pt>
              <c:pt idx="2321">
                <c:v>42223</c:v>
              </c:pt>
              <c:pt idx="2322">
                <c:v>42226</c:v>
              </c:pt>
              <c:pt idx="2323">
                <c:v>42227</c:v>
              </c:pt>
              <c:pt idx="2324">
                <c:v>42228</c:v>
              </c:pt>
              <c:pt idx="2325">
                <c:v>42229</c:v>
              </c:pt>
              <c:pt idx="2326">
                <c:v>42230</c:v>
              </c:pt>
              <c:pt idx="2327">
                <c:v>42233</c:v>
              </c:pt>
              <c:pt idx="2328">
                <c:v>42234</c:v>
              </c:pt>
              <c:pt idx="2329">
                <c:v>42235</c:v>
              </c:pt>
              <c:pt idx="2330">
                <c:v>42236</c:v>
              </c:pt>
              <c:pt idx="2331">
                <c:v>42237</c:v>
              </c:pt>
              <c:pt idx="2332">
                <c:v>42240</c:v>
              </c:pt>
              <c:pt idx="2333">
                <c:v>42241</c:v>
              </c:pt>
              <c:pt idx="2334">
                <c:v>42242</c:v>
              </c:pt>
              <c:pt idx="2335">
                <c:v>42243</c:v>
              </c:pt>
              <c:pt idx="2336">
                <c:v>42244</c:v>
              </c:pt>
              <c:pt idx="2337">
                <c:v>42247</c:v>
              </c:pt>
              <c:pt idx="2338">
                <c:v>42248</c:v>
              </c:pt>
              <c:pt idx="2339">
                <c:v>42249</c:v>
              </c:pt>
              <c:pt idx="2340">
                <c:v>42250</c:v>
              </c:pt>
              <c:pt idx="2341">
                <c:v>42251</c:v>
              </c:pt>
              <c:pt idx="2342">
                <c:v>42254</c:v>
              </c:pt>
              <c:pt idx="2343">
                <c:v>42255</c:v>
              </c:pt>
              <c:pt idx="2344">
                <c:v>42256</c:v>
              </c:pt>
              <c:pt idx="2345">
                <c:v>42257</c:v>
              </c:pt>
              <c:pt idx="2346">
                <c:v>42258</c:v>
              </c:pt>
              <c:pt idx="2347">
                <c:v>42261</c:v>
              </c:pt>
              <c:pt idx="2348">
                <c:v>42262</c:v>
              </c:pt>
              <c:pt idx="2349">
                <c:v>42263</c:v>
              </c:pt>
              <c:pt idx="2350">
                <c:v>42264</c:v>
              </c:pt>
              <c:pt idx="2351">
                <c:v>42265</c:v>
              </c:pt>
              <c:pt idx="2352">
                <c:v>42268</c:v>
              </c:pt>
              <c:pt idx="2353">
                <c:v>42269</c:v>
              </c:pt>
              <c:pt idx="2354">
                <c:v>42270</c:v>
              </c:pt>
              <c:pt idx="2355">
                <c:v>42271</c:v>
              </c:pt>
              <c:pt idx="2356">
                <c:v>42272</c:v>
              </c:pt>
              <c:pt idx="2357">
                <c:v>42275</c:v>
              </c:pt>
              <c:pt idx="2358">
                <c:v>42276</c:v>
              </c:pt>
              <c:pt idx="2359">
                <c:v>42277</c:v>
              </c:pt>
              <c:pt idx="2360">
                <c:v>42278</c:v>
              </c:pt>
              <c:pt idx="2361">
                <c:v>42279</c:v>
              </c:pt>
              <c:pt idx="2362">
                <c:v>42283</c:v>
              </c:pt>
              <c:pt idx="2363">
                <c:v>42284</c:v>
              </c:pt>
              <c:pt idx="2364">
                <c:v>42285</c:v>
              </c:pt>
              <c:pt idx="2365">
                <c:v>42286</c:v>
              </c:pt>
              <c:pt idx="2366">
                <c:v>42289</c:v>
              </c:pt>
              <c:pt idx="2367">
                <c:v>42290</c:v>
              </c:pt>
              <c:pt idx="2368">
                <c:v>42291</c:v>
              </c:pt>
              <c:pt idx="2369">
                <c:v>42292</c:v>
              </c:pt>
              <c:pt idx="2370">
                <c:v>42293</c:v>
              </c:pt>
              <c:pt idx="2371">
                <c:v>42296</c:v>
              </c:pt>
              <c:pt idx="2372">
                <c:v>42297</c:v>
              </c:pt>
              <c:pt idx="2373">
                <c:v>42298</c:v>
              </c:pt>
              <c:pt idx="2374">
                <c:v>42299</c:v>
              </c:pt>
              <c:pt idx="2375">
                <c:v>42300</c:v>
              </c:pt>
              <c:pt idx="2376">
                <c:v>42303</c:v>
              </c:pt>
              <c:pt idx="2377">
                <c:v>42304</c:v>
              </c:pt>
              <c:pt idx="2378">
                <c:v>42305</c:v>
              </c:pt>
              <c:pt idx="2379">
                <c:v>42306</c:v>
              </c:pt>
              <c:pt idx="2380">
                <c:v>42307</c:v>
              </c:pt>
              <c:pt idx="2381">
                <c:v>42310</c:v>
              </c:pt>
              <c:pt idx="2382">
                <c:v>42311</c:v>
              </c:pt>
              <c:pt idx="2383">
                <c:v>42312</c:v>
              </c:pt>
              <c:pt idx="2384">
                <c:v>42313</c:v>
              </c:pt>
              <c:pt idx="2385">
                <c:v>42314</c:v>
              </c:pt>
              <c:pt idx="2386">
                <c:v>42317</c:v>
              </c:pt>
              <c:pt idx="2387">
                <c:v>42318</c:v>
              </c:pt>
              <c:pt idx="2388">
                <c:v>42319</c:v>
              </c:pt>
              <c:pt idx="2389">
                <c:v>42320</c:v>
              </c:pt>
              <c:pt idx="2390">
                <c:v>42321</c:v>
              </c:pt>
              <c:pt idx="2391">
                <c:v>42324</c:v>
              </c:pt>
              <c:pt idx="2392">
                <c:v>42325</c:v>
              </c:pt>
              <c:pt idx="2393">
                <c:v>42326</c:v>
              </c:pt>
              <c:pt idx="2394">
                <c:v>42327</c:v>
              </c:pt>
              <c:pt idx="2395">
                <c:v>42328</c:v>
              </c:pt>
              <c:pt idx="2396">
                <c:v>42331</c:v>
              </c:pt>
              <c:pt idx="2397">
                <c:v>42332</c:v>
              </c:pt>
              <c:pt idx="2398">
                <c:v>42333</c:v>
              </c:pt>
              <c:pt idx="2399">
                <c:v>42334</c:v>
              </c:pt>
              <c:pt idx="2400">
                <c:v>42335</c:v>
              </c:pt>
              <c:pt idx="2401">
                <c:v>42338</c:v>
              </c:pt>
              <c:pt idx="2402">
                <c:v>42339</c:v>
              </c:pt>
              <c:pt idx="2403">
                <c:v>42340</c:v>
              </c:pt>
              <c:pt idx="2404">
                <c:v>42341</c:v>
              </c:pt>
              <c:pt idx="2405">
                <c:v>42342</c:v>
              </c:pt>
              <c:pt idx="2406">
                <c:v>42345</c:v>
              </c:pt>
              <c:pt idx="2407">
                <c:v>42346</c:v>
              </c:pt>
              <c:pt idx="2408">
                <c:v>42347</c:v>
              </c:pt>
              <c:pt idx="2409">
                <c:v>42348</c:v>
              </c:pt>
              <c:pt idx="2410">
                <c:v>42349</c:v>
              </c:pt>
              <c:pt idx="2411">
                <c:v>42352</c:v>
              </c:pt>
              <c:pt idx="2412">
                <c:v>42353</c:v>
              </c:pt>
              <c:pt idx="2413">
                <c:v>42354</c:v>
              </c:pt>
              <c:pt idx="2414">
                <c:v>42355</c:v>
              </c:pt>
              <c:pt idx="2415">
                <c:v>42356</c:v>
              </c:pt>
              <c:pt idx="2416">
                <c:v>42359</c:v>
              </c:pt>
              <c:pt idx="2417">
                <c:v>42360</c:v>
              </c:pt>
              <c:pt idx="2418">
                <c:v>42361</c:v>
              </c:pt>
              <c:pt idx="2419">
                <c:v>42362</c:v>
              </c:pt>
              <c:pt idx="2420">
                <c:v>42367</c:v>
              </c:pt>
              <c:pt idx="2421">
                <c:v>42368</c:v>
              </c:pt>
              <c:pt idx="2422">
                <c:v>42369</c:v>
              </c:pt>
              <c:pt idx="2423">
                <c:v>42373</c:v>
              </c:pt>
              <c:pt idx="2424">
                <c:v>42374</c:v>
              </c:pt>
              <c:pt idx="2425">
                <c:v>42375</c:v>
              </c:pt>
              <c:pt idx="2426">
                <c:v>42376</c:v>
              </c:pt>
              <c:pt idx="2427">
                <c:v>42377</c:v>
              </c:pt>
              <c:pt idx="2428">
                <c:v>42380</c:v>
              </c:pt>
              <c:pt idx="2429">
                <c:v>42381</c:v>
              </c:pt>
              <c:pt idx="2430">
                <c:v>42382</c:v>
              </c:pt>
              <c:pt idx="2431">
                <c:v>42383</c:v>
              </c:pt>
              <c:pt idx="2432">
                <c:v>42384</c:v>
              </c:pt>
              <c:pt idx="2433">
                <c:v>42387</c:v>
              </c:pt>
              <c:pt idx="2434">
                <c:v>42388</c:v>
              </c:pt>
              <c:pt idx="2435">
                <c:v>42389</c:v>
              </c:pt>
              <c:pt idx="2436">
                <c:v>42390</c:v>
              </c:pt>
              <c:pt idx="2437">
                <c:v>42391</c:v>
              </c:pt>
              <c:pt idx="2438">
                <c:v>42394</c:v>
              </c:pt>
              <c:pt idx="2439">
                <c:v>42396</c:v>
              </c:pt>
              <c:pt idx="2440">
                <c:v>42397</c:v>
              </c:pt>
              <c:pt idx="2441">
                <c:v>42398</c:v>
              </c:pt>
              <c:pt idx="2442">
                <c:v>42401</c:v>
              </c:pt>
              <c:pt idx="2443">
                <c:v>42402</c:v>
              </c:pt>
              <c:pt idx="2444">
                <c:v>42403</c:v>
              </c:pt>
              <c:pt idx="2445">
                <c:v>42404</c:v>
              </c:pt>
              <c:pt idx="2446">
                <c:v>42405</c:v>
              </c:pt>
              <c:pt idx="2447">
                <c:v>42408</c:v>
              </c:pt>
              <c:pt idx="2448">
                <c:v>42409</c:v>
              </c:pt>
              <c:pt idx="2449">
                <c:v>42410</c:v>
              </c:pt>
              <c:pt idx="2450">
                <c:v>42411</c:v>
              </c:pt>
              <c:pt idx="2451">
                <c:v>42412</c:v>
              </c:pt>
              <c:pt idx="2452">
                <c:v>42415</c:v>
              </c:pt>
              <c:pt idx="2453">
                <c:v>42416</c:v>
              </c:pt>
              <c:pt idx="2454">
                <c:v>42417</c:v>
              </c:pt>
              <c:pt idx="2455">
                <c:v>42418</c:v>
              </c:pt>
              <c:pt idx="2456">
                <c:v>42419</c:v>
              </c:pt>
              <c:pt idx="2457">
                <c:v>42422</c:v>
              </c:pt>
              <c:pt idx="2458">
                <c:v>42423</c:v>
              </c:pt>
              <c:pt idx="2459">
                <c:v>42424</c:v>
              </c:pt>
              <c:pt idx="2460">
                <c:v>42425</c:v>
              </c:pt>
              <c:pt idx="2461">
                <c:v>42426</c:v>
              </c:pt>
              <c:pt idx="2462">
                <c:v>42429</c:v>
              </c:pt>
              <c:pt idx="2463">
                <c:v>42430</c:v>
              </c:pt>
              <c:pt idx="2464">
                <c:v>42431</c:v>
              </c:pt>
              <c:pt idx="2465">
                <c:v>42432</c:v>
              </c:pt>
              <c:pt idx="2466">
                <c:v>42433</c:v>
              </c:pt>
              <c:pt idx="2467">
                <c:v>42436</c:v>
              </c:pt>
              <c:pt idx="2468">
                <c:v>42437</c:v>
              </c:pt>
              <c:pt idx="2469">
                <c:v>42438</c:v>
              </c:pt>
              <c:pt idx="2470">
                <c:v>42439</c:v>
              </c:pt>
              <c:pt idx="2471">
                <c:v>42440</c:v>
              </c:pt>
              <c:pt idx="2472">
                <c:v>42443</c:v>
              </c:pt>
              <c:pt idx="2473">
                <c:v>42444</c:v>
              </c:pt>
              <c:pt idx="2474">
                <c:v>42445</c:v>
              </c:pt>
              <c:pt idx="2475">
                <c:v>42446</c:v>
              </c:pt>
              <c:pt idx="2476">
                <c:v>42447</c:v>
              </c:pt>
              <c:pt idx="2477">
                <c:v>42450</c:v>
              </c:pt>
              <c:pt idx="2478">
                <c:v>42451</c:v>
              </c:pt>
              <c:pt idx="2479">
                <c:v>42452</c:v>
              </c:pt>
              <c:pt idx="2480">
                <c:v>42453</c:v>
              </c:pt>
              <c:pt idx="2481">
                <c:v>42458</c:v>
              </c:pt>
              <c:pt idx="2482">
                <c:v>42459</c:v>
              </c:pt>
              <c:pt idx="2483">
                <c:v>42460</c:v>
              </c:pt>
              <c:pt idx="2484">
                <c:v>42461</c:v>
              </c:pt>
              <c:pt idx="2485">
                <c:v>42464</c:v>
              </c:pt>
              <c:pt idx="2486">
                <c:v>42465</c:v>
              </c:pt>
              <c:pt idx="2487">
                <c:v>42466</c:v>
              </c:pt>
              <c:pt idx="2488">
                <c:v>42467</c:v>
              </c:pt>
              <c:pt idx="2489">
                <c:v>42468</c:v>
              </c:pt>
              <c:pt idx="2490">
                <c:v>42471</c:v>
              </c:pt>
              <c:pt idx="2491">
                <c:v>42472</c:v>
              </c:pt>
              <c:pt idx="2492">
                <c:v>42473</c:v>
              </c:pt>
              <c:pt idx="2493">
                <c:v>42474</c:v>
              </c:pt>
              <c:pt idx="2494">
                <c:v>42475</c:v>
              </c:pt>
              <c:pt idx="2495">
                <c:v>42478</c:v>
              </c:pt>
              <c:pt idx="2496">
                <c:v>42479</c:v>
              </c:pt>
              <c:pt idx="2497">
                <c:v>42480</c:v>
              </c:pt>
              <c:pt idx="2498">
                <c:v>42481</c:v>
              </c:pt>
              <c:pt idx="2499">
                <c:v>42482</c:v>
              </c:pt>
              <c:pt idx="2500">
                <c:v>42486</c:v>
              </c:pt>
              <c:pt idx="2501">
                <c:v>42487</c:v>
              </c:pt>
              <c:pt idx="2502">
                <c:v>42488</c:v>
              </c:pt>
              <c:pt idx="2503">
                <c:v>42489</c:v>
              </c:pt>
              <c:pt idx="2504">
                <c:v>42492</c:v>
              </c:pt>
              <c:pt idx="2505">
                <c:v>42493</c:v>
              </c:pt>
              <c:pt idx="2506">
                <c:v>42494</c:v>
              </c:pt>
              <c:pt idx="2507">
                <c:v>42495</c:v>
              </c:pt>
              <c:pt idx="2508">
                <c:v>42496</c:v>
              </c:pt>
              <c:pt idx="2509">
                <c:v>42499</c:v>
              </c:pt>
              <c:pt idx="2510">
                <c:v>42500</c:v>
              </c:pt>
              <c:pt idx="2511">
                <c:v>42501</c:v>
              </c:pt>
              <c:pt idx="2512">
                <c:v>42502</c:v>
              </c:pt>
              <c:pt idx="2513">
                <c:v>42503</c:v>
              </c:pt>
              <c:pt idx="2514">
                <c:v>42506</c:v>
              </c:pt>
              <c:pt idx="2515">
                <c:v>42507</c:v>
              </c:pt>
              <c:pt idx="2516">
                <c:v>42508</c:v>
              </c:pt>
              <c:pt idx="2517">
                <c:v>42509</c:v>
              </c:pt>
              <c:pt idx="2518">
                <c:v>42510</c:v>
              </c:pt>
              <c:pt idx="2519">
                <c:v>42513</c:v>
              </c:pt>
              <c:pt idx="2520">
                <c:v>42514</c:v>
              </c:pt>
              <c:pt idx="2521">
                <c:v>42515</c:v>
              </c:pt>
              <c:pt idx="2522">
                <c:v>42516</c:v>
              </c:pt>
              <c:pt idx="2523">
                <c:v>42517</c:v>
              </c:pt>
              <c:pt idx="2524">
                <c:v>42520</c:v>
              </c:pt>
              <c:pt idx="2525">
                <c:v>42521</c:v>
              </c:pt>
              <c:pt idx="2526">
                <c:v>42522</c:v>
              </c:pt>
              <c:pt idx="2527">
                <c:v>42523</c:v>
              </c:pt>
              <c:pt idx="2528">
                <c:v>42524</c:v>
              </c:pt>
              <c:pt idx="2529">
                <c:v>42527</c:v>
              </c:pt>
              <c:pt idx="2530">
                <c:v>42528</c:v>
              </c:pt>
              <c:pt idx="2531">
                <c:v>42529</c:v>
              </c:pt>
              <c:pt idx="2532">
                <c:v>42530</c:v>
              </c:pt>
              <c:pt idx="2533">
                <c:v>42531</c:v>
              </c:pt>
              <c:pt idx="2534">
                <c:v>42535</c:v>
              </c:pt>
              <c:pt idx="2535">
                <c:v>42536</c:v>
              </c:pt>
              <c:pt idx="2536">
                <c:v>42537</c:v>
              </c:pt>
              <c:pt idx="2537">
                <c:v>42538</c:v>
              </c:pt>
              <c:pt idx="2538">
                <c:v>42541</c:v>
              </c:pt>
              <c:pt idx="2539">
                <c:v>42542</c:v>
              </c:pt>
              <c:pt idx="2540">
                <c:v>42543</c:v>
              </c:pt>
              <c:pt idx="2541">
                <c:v>42544</c:v>
              </c:pt>
              <c:pt idx="2542">
                <c:v>42545</c:v>
              </c:pt>
              <c:pt idx="2543">
                <c:v>42548</c:v>
              </c:pt>
              <c:pt idx="2544">
                <c:v>42549</c:v>
              </c:pt>
              <c:pt idx="2545">
                <c:v>42550</c:v>
              </c:pt>
              <c:pt idx="2546">
                <c:v>42551</c:v>
              </c:pt>
              <c:pt idx="2547">
                <c:v>42552</c:v>
              </c:pt>
              <c:pt idx="2548">
                <c:v>42555</c:v>
              </c:pt>
              <c:pt idx="2549">
                <c:v>42556</c:v>
              </c:pt>
              <c:pt idx="2550">
                <c:v>42557</c:v>
              </c:pt>
              <c:pt idx="2551">
                <c:v>42558</c:v>
              </c:pt>
              <c:pt idx="2552">
                <c:v>42559</c:v>
              </c:pt>
              <c:pt idx="2553">
                <c:v>42562</c:v>
              </c:pt>
              <c:pt idx="2554">
                <c:v>42563</c:v>
              </c:pt>
              <c:pt idx="2555">
                <c:v>42564</c:v>
              </c:pt>
              <c:pt idx="2556">
                <c:v>42565</c:v>
              </c:pt>
              <c:pt idx="2557">
                <c:v>42566</c:v>
              </c:pt>
              <c:pt idx="2558">
                <c:v>42569</c:v>
              </c:pt>
              <c:pt idx="2559">
                <c:v>42570</c:v>
              </c:pt>
              <c:pt idx="2560">
                <c:v>42571</c:v>
              </c:pt>
              <c:pt idx="2561">
                <c:v>42572</c:v>
              </c:pt>
              <c:pt idx="2562">
                <c:v>42573</c:v>
              </c:pt>
              <c:pt idx="2563">
                <c:v>42576</c:v>
              </c:pt>
              <c:pt idx="2564">
                <c:v>42577</c:v>
              </c:pt>
              <c:pt idx="2565">
                <c:v>42578</c:v>
              </c:pt>
              <c:pt idx="2566">
                <c:v>42579</c:v>
              </c:pt>
              <c:pt idx="2567">
                <c:v>42580</c:v>
              </c:pt>
              <c:pt idx="2568">
                <c:v>42583</c:v>
              </c:pt>
              <c:pt idx="2569">
                <c:v>42584</c:v>
              </c:pt>
              <c:pt idx="2570">
                <c:v>42585</c:v>
              </c:pt>
              <c:pt idx="2571">
                <c:v>42586</c:v>
              </c:pt>
              <c:pt idx="2572">
                <c:v>42587</c:v>
              </c:pt>
              <c:pt idx="2573">
                <c:v>42590</c:v>
              </c:pt>
              <c:pt idx="2574">
                <c:v>42591</c:v>
              </c:pt>
              <c:pt idx="2575">
                <c:v>42592</c:v>
              </c:pt>
              <c:pt idx="2576">
                <c:v>42593</c:v>
              </c:pt>
              <c:pt idx="2577">
                <c:v>42594</c:v>
              </c:pt>
              <c:pt idx="2578">
                <c:v>42597</c:v>
              </c:pt>
              <c:pt idx="2579">
                <c:v>42598</c:v>
              </c:pt>
              <c:pt idx="2580">
                <c:v>42599</c:v>
              </c:pt>
              <c:pt idx="2581">
                <c:v>42600</c:v>
              </c:pt>
              <c:pt idx="2582">
                <c:v>42601</c:v>
              </c:pt>
              <c:pt idx="2583">
                <c:v>42604</c:v>
              </c:pt>
              <c:pt idx="2584">
                <c:v>42605</c:v>
              </c:pt>
              <c:pt idx="2585">
                <c:v>42606</c:v>
              </c:pt>
              <c:pt idx="2586">
                <c:v>42607</c:v>
              </c:pt>
              <c:pt idx="2587">
                <c:v>42608</c:v>
              </c:pt>
              <c:pt idx="2588">
                <c:v>42611</c:v>
              </c:pt>
              <c:pt idx="2589">
                <c:v>42612</c:v>
              </c:pt>
              <c:pt idx="2590">
                <c:v>42613</c:v>
              </c:pt>
              <c:pt idx="2591">
                <c:v>42614</c:v>
              </c:pt>
              <c:pt idx="2592">
                <c:v>42615</c:v>
              </c:pt>
              <c:pt idx="2593">
                <c:v>42618</c:v>
              </c:pt>
              <c:pt idx="2594">
                <c:v>42619</c:v>
              </c:pt>
              <c:pt idx="2595">
                <c:v>42620</c:v>
              </c:pt>
              <c:pt idx="2596">
                <c:v>42621</c:v>
              </c:pt>
              <c:pt idx="2597">
                <c:v>42622</c:v>
              </c:pt>
              <c:pt idx="2598">
                <c:v>42625</c:v>
              </c:pt>
              <c:pt idx="2599">
                <c:v>42626</c:v>
              </c:pt>
              <c:pt idx="2600">
                <c:v>42627</c:v>
              </c:pt>
              <c:pt idx="2601">
                <c:v>42628</c:v>
              </c:pt>
              <c:pt idx="2602">
                <c:v>42629</c:v>
              </c:pt>
              <c:pt idx="2603">
                <c:v>42632</c:v>
              </c:pt>
              <c:pt idx="2604">
                <c:v>42633</c:v>
              </c:pt>
              <c:pt idx="2605">
                <c:v>42634</c:v>
              </c:pt>
              <c:pt idx="2606">
                <c:v>42635</c:v>
              </c:pt>
              <c:pt idx="2607">
                <c:v>42636</c:v>
              </c:pt>
              <c:pt idx="2608">
                <c:v>42639</c:v>
              </c:pt>
              <c:pt idx="2609">
                <c:v>42640</c:v>
              </c:pt>
              <c:pt idx="2610">
                <c:v>42641</c:v>
              </c:pt>
              <c:pt idx="2611">
                <c:v>42642</c:v>
              </c:pt>
              <c:pt idx="2612">
                <c:v>42643</c:v>
              </c:pt>
              <c:pt idx="2613">
                <c:v>42646</c:v>
              </c:pt>
              <c:pt idx="2614">
                <c:v>42647</c:v>
              </c:pt>
              <c:pt idx="2615">
                <c:v>42648</c:v>
              </c:pt>
              <c:pt idx="2616">
                <c:v>42649</c:v>
              </c:pt>
              <c:pt idx="2617">
                <c:v>42650</c:v>
              </c:pt>
              <c:pt idx="2618">
                <c:v>42653</c:v>
              </c:pt>
              <c:pt idx="2619">
                <c:v>42654</c:v>
              </c:pt>
              <c:pt idx="2620">
                <c:v>42655</c:v>
              </c:pt>
              <c:pt idx="2621">
                <c:v>42656</c:v>
              </c:pt>
              <c:pt idx="2622">
                <c:v>42657</c:v>
              </c:pt>
              <c:pt idx="2623">
                <c:v>42660</c:v>
              </c:pt>
              <c:pt idx="2624">
                <c:v>42661</c:v>
              </c:pt>
              <c:pt idx="2625">
                <c:v>42662</c:v>
              </c:pt>
              <c:pt idx="2626">
                <c:v>42663</c:v>
              </c:pt>
              <c:pt idx="2627">
                <c:v>42664</c:v>
              </c:pt>
              <c:pt idx="2628">
                <c:v>42667</c:v>
              </c:pt>
              <c:pt idx="2629">
                <c:v>42668</c:v>
              </c:pt>
              <c:pt idx="2630">
                <c:v>42669</c:v>
              </c:pt>
              <c:pt idx="2631">
                <c:v>42670</c:v>
              </c:pt>
              <c:pt idx="2632">
                <c:v>42671</c:v>
              </c:pt>
              <c:pt idx="2633">
                <c:v>42674</c:v>
              </c:pt>
              <c:pt idx="2634">
                <c:v>42675</c:v>
              </c:pt>
              <c:pt idx="2635">
                <c:v>42676</c:v>
              </c:pt>
              <c:pt idx="2636">
                <c:v>42677</c:v>
              </c:pt>
              <c:pt idx="2637">
                <c:v>42678</c:v>
              </c:pt>
              <c:pt idx="2638">
                <c:v>42681</c:v>
              </c:pt>
              <c:pt idx="2639">
                <c:v>42682</c:v>
              </c:pt>
              <c:pt idx="2640">
                <c:v>42683</c:v>
              </c:pt>
              <c:pt idx="2641">
                <c:v>42684</c:v>
              </c:pt>
              <c:pt idx="2642">
                <c:v>42685</c:v>
              </c:pt>
              <c:pt idx="2643">
                <c:v>42688</c:v>
              </c:pt>
              <c:pt idx="2644">
                <c:v>42689</c:v>
              </c:pt>
              <c:pt idx="2645">
                <c:v>42690</c:v>
              </c:pt>
              <c:pt idx="2646">
                <c:v>42691</c:v>
              </c:pt>
              <c:pt idx="2647">
                <c:v>42692</c:v>
              </c:pt>
              <c:pt idx="2648">
                <c:v>42695</c:v>
              </c:pt>
              <c:pt idx="2649">
                <c:v>42696</c:v>
              </c:pt>
              <c:pt idx="2650">
                <c:v>42697</c:v>
              </c:pt>
              <c:pt idx="2651">
                <c:v>42698</c:v>
              </c:pt>
              <c:pt idx="2652">
                <c:v>42699</c:v>
              </c:pt>
              <c:pt idx="2653">
                <c:v>42702</c:v>
              </c:pt>
              <c:pt idx="2654">
                <c:v>42703</c:v>
              </c:pt>
              <c:pt idx="2655">
                <c:v>42704</c:v>
              </c:pt>
              <c:pt idx="2656">
                <c:v>42705</c:v>
              </c:pt>
              <c:pt idx="2657">
                <c:v>42706</c:v>
              </c:pt>
              <c:pt idx="2658">
                <c:v>42709</c:v>
              </c:pt>
              <c:pt idx="2659">
                <c:v>42710</c:v>
              </c:pt>
              <c:pt idx="2660">
                <c:v>42711</c:v>
              </c:pt>
              <c:pt idx="2661">
                <c:v>42712</c:v>
              </c:pt>
              <c:pt idx="2662">
                <c:v>42713</c:v>
              </c:pt>
              <c:pt idx="2663">
                <c:v>42716</c:v>
              </c:pt>
              <c:pt idx="2664">
                <c:v>42717</c:v>
              </c:pt>
              <c:pt idx="2665">
                <c:v>42718</c:v>
              </c:pt>
              <c:pt idx="2666">
                <c:v>42719</c:v>
              </c:pt>
              <c:pt idx="2667">
                <c:v>42720</c:v>
              </c:pt>
              <c:pt idx="2668">
                <c:v>42723</c:v>
              </c:pt>
              <c:pt idx="2669">
                <c:v>42724</c:v>
              </c:pt>
              <c:pt idx="2670">
                <c:v>42725</c:v>
              </c:pt>
              <c:pt idx="2671">
                <c:v>42726</c:v>
              </c:pt>
              <c:pt idx="2672">
                <c:v>42727</c:v>
              </c:pt>
              <c:pt idx="2673">
                <c:v>42732</c:v>
              </c:pt>
              <c:pt idx="2674">
                <c:v>42733</c:v>
              </c:pt>
              <c:pt idx="2675">
                <c:v>42734</c:v>
              </c:pt>
              <c:pt idx="2676">
                <c:v>42738</c:v>
              </c:pt>
              <c:pt idx="2677">
                <c:v>42739</c:v>
              </c:pt>
              <c:pt idx="2678">
                <c:v>42740</c:v>
              </c:pt>
              <c:pt idx="2679">
                <c:v>42741</c:v>
              </c:pt>
              <c:pt idx="2680">
                <c:v>42744</c:v>
              </c:pt>
              <c:pt idx="2681">
                <c:v>42745</c:v>
              </c:pt>
              <c:pt idx="2682">
                <c:v>42746</c:v>
              </c:pt>
              <c:pt idx="2683">
                <c:v>42747</c:v>
              </c:pt>
              <c:pt idx="2684">
                <c:v>42748</c:v>
              </c:pt>
              <c:pt idx="2685">
                <c:v>42751</c:v>
              </c:pt>
              <c:pt idx="2686">
                <c:v>42752</c:v>
              </c:pt>
              <c:pt idx="2687">
                <c:v>42753</c:v>
              </c:pt>
              <c:pt idx="2688">
                <c:v>42754</c:v>
              </c:pt>
              <c:pt idx="2689">
                <c:v>42755</c:v>
              </c:pt>
              <c:pt idx="2690">
                <c:v>42758</c:v>
              </c:pt>
              <c:pt idx="2691">
                <c:v>42759</c:v>
              </c:pt>
              <c:pt idx="2692">
                <c:v>42760</c:v>
              </c:pt>
              <c:pt idx="2693">
                <c:v>42762</c:v>
              </c:pt>
              <c:pt idx="2694">
                <c:v>42765</c:v>
              </c:pt>
              <c:pt idx="2695">
                <c:v>42766</c:v>
              </c:pt>
              <c:pt idx="2696">
                <c:v>42767</c:v>
              </c:pt>
              <c:pt idx="2697">
                <c:v>42768</c:v>
              </c:pt>
              <c:pt idx="2698">
                <c:v>42769</c:v>
              </c:pt>
              <c:pt idx="2699">
                <c:v>42772</c:v>
              </c:pt>
              <c:pt idx="2700">
                <c:v>42773</c:v>
              </c:pt>
              <c:pt idx="2701">
                <c:v>42774</c:v>
              </c:pt>
              <c:pt idx="2702">
                <c:v>42775</c:v>
              </c:pt>
              <c:pt idx="2703">
                <c:v>42776</c:v>
              </c:pt>
              <c:pt idx="2704">
                <c:v>42779</c:v>
              </c:pt>
              <c:pt idx="2705">
                <c:v>42780</c:v>
              </c:pt>
              <c:pt idx="2706">
                <c:v>42781</c:v>
              </c:pt>
              <c:pt idx="2707">
                <c:v>42782</c:v>
              </c:pt>
              <c:pt idx="2708">
                <c:v>42783</c:v>
              </c:pt>
              <c:pt idx="2709">
                <c:v>42786</c:v>
              </c:pt>
              <c:pt idx="2710">
                <c:v>42787</c:v>
              </c:pt>
              <c:pt idx="2711">
                <c:v>42788</c:v>
              </c:pt>
              <c:pt idx="2712">
                <c:v>42789</c:v>
              </c:pt>
              <c:pt idx="2713">
                <c:v>42790</c:v>
              </c:pt>
              <c:pt idx="2714">
                <c:v>42793</c:v>
              </c:pt>
              <c:pt idx="2715">
                <c:v>42794</c:v>
              </c:pt>
              <c:pt idx="2716">
                <c:v>42795</c:v>
              </c:pt>
              <c:pt idx="2717">
                <c:v>42796</c:v>
              </c:pt>
              <c:pt idx="2718">
                <c:v>42797</c:v>
              </c:pt>
              <c:pt idx="2719">
                <c:v>42800</c:v>
              </c:pt>
              <c:pt idx="2720">
                <c:v>42801</c:v>
              </c:pt>
              <c:pt idx="2721">
                <c:v>42802</c:v>
              </c:pt>
              <c:pt idx="2722">
                <c:v>42803</c:v>
              </c:pt>
              <c:pt idx="2723">
                <c:v>42804</c:v>
              </c:pt>
              <c:pt idx="2724">
                <c:v>42807</c:v>
              </c:pt>
              <c:pt idx="2725">
                <c:v>42808</c:v>
              </c:pt>
              <c:pt idx="2726">
                <c:v>42809</c:v>
              </c:pt>
              <c:pt idx="2727">
                <c:v>42810</c:v>
              </c:pt>
              <c:pt idx="2728">
                <c:v>42811</c:v>
              </c:pt>
              <c:pt idx="2729">
                <c:v>42814</c:v>
              </c:pt>
              <c:pt idx="2730">
                <c:v>42815</c:v>
              </c:pt>
              <c:pt idx="2731">
                <c:v>42816</c:v>
              </c:pt>
              <c:pt idx="2732">
                <c:v>42817</c:v>
              </c:pt>
              <c:pt idx="2733">
                <c:v>42818</c:v>
              </c:pt>
              <c:pt idx="2734">
                <c:v>42821</c:v>
              </c:pt>
              <c:pt idx="2735">
                <c:v>42822</c:v>
              </c:pt>
              <c:pt idx="2736">
                <c:v>42823</c:v>
              </c:pt>
              <c:pt idx="2737">
                <c:v>42824</c:v>
              </c:pt>
              <c:pt idx="2738">
                <c:v>42825</c:v>
              </c:pt>
              <c:pt idx="2739">
                <c:v>42828</c:v>
              </c:pt>
              <c:pt idx="2740">
                <c:v>42829</c:v>
              </c:pt>
              <c:pt idx="2741">
                <c:v>42830</c:v>
              </c:pt>
              <c:pt idx="2742">
                <c:v>42831</c:v>
              </c:pt>
              <c:pt idx="2743">
                <c:v>42832</c:v>
              </c:pt>
              <c:pt idx="2744">
                <c:v>42835</c:v>
              </c:pt>
              <c:pt idx="2745">
                <c:v>42836</c:v>
              </c:pt>
              <c:pt idx="2746">
                <c:v>42837</c:v>
              </c:pt>
              <c:pt idx="2747">
                <c:v>42838</c:v>
              </c:pt>
              <c:pt idx="2748">
                <c:v>42843</c:v>
              </c:pt>
              <c:pt idx="2749">
                <c:v>42844</c:v>
              </c:pt>
              <c:pt idx="2750">
                <c:v>42845</c:v>
              </c:pt>
              <c:pt idx="2751">
                <c:v>42846</c:v>
              </c:pt>
              <c:pt idx="2752">
                <c:v>42849</c:v>
              </c:pt>
              <c:pt idx="2753">
                <c:v>42851</c:v>
              </c:pt>
              <c:pt idx="2754">
                <c:v>42852</c:v>
              </c:pt>
              <c:pt idx="2755">
                <c:v>42853</c:v>
              </c:pt>
              <c:pt idx="2756">
                <c:v>42856</c:v>
              </c:pt>
              <c:pt idx="2757">
                <c:v>42857</c:v>
              </c:pt>
              <c:pt idx="2758">
                <c:v>42858</c:v>
              </c:pt>
              <c:pt idx="2759">
                <c:v>42859</c:v>
              </c:pt>
              <c:pt idx="2760">
                <c:v>42860</c:v>
              </c:pt>
              <c:pt idx="2761">
                <c:v>42863</c:v>
              </c:pt>
              <c:pt idx="2762">
                <c:v>42864</c:v>
              </c:pt>
              <c:pt idx="2763">
                <c:v>42865</c:v>
              </c:pt>
              <c:pt idx="2764">
                <c:v>42866</c:v>
              </c:pt>
              <c:pt idx="2765">
                <c:v>42867</c:v>
              </c:pt>
              <c:pt idx="2766">
                <c:v>42870</c:v>
              </c:pt>
              <c:pt idx="2767">
                <c:v>42871</c:v>
              </c:pt>
              <c:pt idx="2768">
                <c:v>42872</c:v>
              </c:pt>
              <c:pt idx="2769">
                <c:v>42873</c:v>
              </c:pt>
              <c:pt idx="2770">
                <c:v>42874</c:v>
              </c:pt>
              <c:pt idx="2771">
                <c:v>42877</c:v>
              </c:pt>
              <c:pt idx="2772">
                <c:v>42878</c:v>
              </c:pt>
              <c:pt idx="2773">
                <c:v>42879</c:v>
              </c:pt>
              <c:pt idx="2774">
                <c:v>42880</c:v>
              </c:pt>
              <c:pt idx="2775">
                <c:v>42881</c:v>
              </c:pt>
              <c:pt idx="2776">
                <c:v>42884</c:v>
              </c:pt>
              <c:pt idx="2777">
                <c:v>42885</c:v>
              </c:pt>
              <c:pt idx="2778">
                <c:v>42886</c:v>
              </c:pt>
              <c:pt idx="2779">
                <c:v>42887</c:v>
              </c:pt>
              <c:pt idx="2780">
                <c:v>42888</c:v>
              </c:pt>
              <c:pt idx="2781">
                <c:v>42891</c:v>
              </c:pt>
              <c:pt idx="2782">
                <c:v>42892</c:v>
              </c:pt>
              <c:pt idx="2783">
                <c:v>42893</c:v>
              </c:pt>
              <c:pt idx="2784">
                <c:v>42894</c:v>
              </c:pt>
              <c:pt idx="2785">
                <c:v>42895</c:v>
              </c:pt>
              <c:pt idx="2786">
                <c:v>42899</c:v>
              </c:pt>
              <c:pt idx="2787">
                <c:v>42900</c:v>
              </c:pt>
              <c:pt idx="2788">
                <c:v>42901</c:v>
              </c:pt>
              <c:pt idx="2789">
                <c:v>42902</c:v>
              </c:pt>
              <c:pt idx="2790">
                <c:v>42905</c:v>
              </c:pt>
              <c:pt idx="2791">
                <c:v>42906</c:v>
              </c:pt>
              <c:pt idx="2792">
                <c:v>42907</c:v>
              </c:pt>
              <c:pt idx="2793">
                <c:v>42908</c:v>
              </c:pt>
              <c:pt idx="2794">
                <c:v>42909</c:v>
              </c:pt>
              <c:pt idx="2795">
                <c:v>42912</c:v>
              </c:pt>
              <c:pt idx="2796">
                <c:v>42913</c:v>
              </c:pt>
              <c:pt idx="2797">
                <c:v>42914</c:v>
              </c:pt>
              <c:pt idx="2798">
                <c:v>42915</c:v>
              </c:pt>
              <c:pt idx="2799">
                <c:v>42916</c:v>
              </c:pt>
              <c:pt idx="2800">
                <c:v>42919</c:v>
              </c:pt>
              <c:pt idx="2801">
                <c:v>42920</c:v>
              </c:pt>
              <c:pt idx="2802">
                <c:v>42921</c:v>
              </c:pt>
              <c:pt idx="2803">
                <c:v>42922</c:v>
              </c:pt>
              <c:pt idx="2804">
                <c:v>42923</c:v>
              </c:pt>
              <c:pt idx="2805">
                <c:v>42926</c:v>
              </c:pt>
              <c:pt idx="2806">
                <c:v>42927</c:v>
              </c:pt>
              <c:pt idx="2807">
                <c:v>42928</c:v>
              </c:pt>
              <c:pt idx="2808">
                <c:v>42929</c:v>
              </c:pt>
              <c:pt idx="2809">
                <c:v>42930</c:v>
              </c:pt>
              <c:pt idx="2810">
                <c:v>42933</c:v>
              </c:pt>
              <c:pt idx="2811">
                <c:v>42934</c:v>
              </c:pt>
              <c:pt idx="2812">
                <c:v>42935</c:v>
              </c:pt>
              <c:pt idx="2813">
                <c:v>42936</c:v>
              </c:pt>
              <c:pt idx="2814">
                <c:v>42937</c:v>
              </c:pt>
              <c:pt idx="2815">
                <c:v>42940</c:v>
              </c:pt>
              <c:pt idx="2816">
                <c:v>42941</c:v>
              </c:pt>
              <c:pt idx="2817">
                <c:v>42942</c:v>
              </c:pt>
              <c:pt idx="2818">
                <c:v>42943</c:v>
              </c:pt>
              <c:pt idx="2819">
                <c:v>42944</c:v>
              </c:pt>
              <c:pt idx="2820">
                <c:v>42947</c:v>
              </c:pt>
              <c:pt idx="2821">
                <c:v>42948</c:v>
              </c:pt>
              <c:pt idx="2822">
                <c:v>42949</c:v>
              </c:pt>
              <c:pt idx="2823">
                <c:v>42950</c:v>
              </c:pt>
              <c:pt idx="2824">
                <c:v>42951</c:v>
              </c:pt>
              <c:pt idx="2825">
                <c:v>42954</c:v>
              </c:pt>
              <c:pt idx="2826">
                <c:v>42955</c:v>
              </c:pt>
              <c:pt idx="2827">
                <c:v>42956</c:v>
              </c:pt>
              <c:pt idx="2828">
                <c:v>42957</c:v>
              </c:pt>
              <c:pt idx="2829">
                <c:v>42958</c:v>
              </c:pt>
              <c:pt idx="2830">
                <c:v>42961</c:v>
              </c:pt>
              <c:pt idx="2831">
                <c:v>42962</c:v>
              </c:pt>
              <c:pt idx="2832">
                <c:v>42963</c:v>
              </c:pt>
              <c:pt idx="2833">
                <c:v>42964</c:v>
              </c:pt>
              <c:pt idx="2834">
                <c:v>42965</c:v>
              </c:pt>
              <c:pt idx="2835">
                <c:v>42968</c:v>
              </c:pt>
              <c:pt idx="2836">
                <c:v>42969</c:v>
              </c:pt>
              <c:pt idx="2837">
                <c:v>42970</c:v>
              </c:pt>
              <c:pt idx="2838">
                <c:v>42971</c:v>
              </c:pt>
              <c:pt idx="2839">
                <c:v>42972</c:v>
              </c:pt>
              <c:pt idx="2840">
                <c:v>42975</c:v>
              </c:pt>
              <c:pt idx="2841">
                <c:v>42976</c:v>
              </c:pt>
              <c:pt idx="2842">
                <c:v>42977</c:v>
              </c:pt>
              <c:pt idx="2843">
                <c:v>42978</c:v>
              </c:pt>
              <c:pt idx="2844">
                <c:v>42979</c:v>
              </c:pt>
              <c:pt idx="2845">
                <c:v>42982</c:v>
              </c:pt>
              <c:pt idx="2846">
                <c:v>42983</c:v>
              </c:pt>
              <c:pt idx="2847">
                <c:v>42984</c:v>
              </c:pt>
              <c:pt idx="2848">
                <c:v>42985</c:v>
              </c:pt>
              <c:pt idx="2849">
                <c:v>42986</c:v>
              </c:pt>
              <c:pt idx="2850">
                <c:v>42989</c:v>
              </c:pt>
              <c:pt idx="2851">
                <c:v>42990</c:v>
              </c:pt>
              <c:pt idx="2852">
                <c:v>42991</c:v>
              </c:pt>
              <c:pt idx="2853">
                <c:v>42992</c:v>
              </c:pt>
              <c:pt idx="2854">
                <c:v>42993</c:v>
              </c:pt>
              <c:pt idx="2855">
                <c:v>42996</c:v>
              </c:pt>
              <c:pt idx="2856">
                <c:v>42997</c:v>
              </c:pt>
              <c:pt idx="2857">
                <c:v>42998</c:v>
              </c:pt>
              <c:pt idx="2858">
                <c:v>42999</c:v>
              </c:pt>
              <c:pt idx="2859">
                <c:v>43000</c:v>
              </c:pt>
              <c:pt idx="2860">
                <c:v>43003</c:v>
              </c:pt>
              <c:pt idx="2861">
                <c:v>43004</c:v>
              </c:pt>
              <c:pt idx="2862">
                <c:v>43005</c:v>
              </c:pt>
              <c:pt idx="2863">
                <c:v>43006</c:v>
              </c:pt>
              <c:pt idx="2864">
                <c:v>43007</c:v>
              </c:pt>
              <c:pt idx="2865">
                <c:v>43010</c:v>
              </c:pt>
              <c:pt idx="2866">
                <c:v>43011</c:v>
              </c:pt>
              <c:pt idx="2867">
                <c:v>43012</c:v>
              </c:pt>
              <c:pt idx="2868">
                <c:v>43013</c:v>
              </c:pt>
              <c:pt idx="2869">
                <c:v>43014</c:v>
              </c:pt>
              <c:pt idx="2870">
                <c:v>43017</c:v>
              </c:pt>
              <c:pt idx="2871">
                <c:v>43018</c:v>
              </c:pt>
              <c:pt idx="2872">
                <c:v>43019</c:v>
              </c:pt>
              <c:pt idx="2873">
                <c:v>43020</c:v>
              </c:pt>
              <c:pt idx="2874">
                <c:v>43021</c:v>
              </c:pt>
              <c:pt idx="2875">
                <c:v>43024</c:v>
              </c:pt>
              <c:pt idx="2876">
                <c:v>43025</c:v>
              </c:pt>
              <c:pt idx="2877">
                <c:v>43026</c:v>
              </c:pt>
              <c:pt idx="2878">
                <c:v>43027</c:v>
              </c:pt>
              <c:pt idx="2879">
                <c:v>43028</c:v>
              </c:pt>
              <c:pt idx="2880">
                <c:v>43031</c:v>
              </c:pt>
              <c:pt idx="2881">
                <c:v>43032</c:v>
              </c:pt>
              <c:pt idx="2882">
                <c:v>43033</c:v>
              </c:pt>
              <c:pt idx="2883">
                <c:v>43034</c:v>
              </c:pt>
              <c:pt idx="2884">
                <c:v>43035</c:v>
              </c:pt>
              <c:pt idx="2885">
                <c:v>43038</c:v>
              </c:pt>
              <c:pt idx="2886">
                <c:v>43039</c:v>
              </c:pt>
            </c:numLit>
          </c:cat>
          <c:val>
            <c:numLit>
              <c:formatCode>General</c:formatCode>
              <c:ptCount val="2887"/>
              <c:pt idx="2043">
                <c:v>8.0537525995466215</c:v>
              </c:pt>
              <c:pt idx="2044">
                <c:v>8.0527384082225222</c:v>
              </c:pt>
              <c:pt idx="2045">
                <c:v>8.0517105302250851</c:v>
              </c:pt>
              <c:pt idx="2046">
                <c:v>8.050702257286769</c:v>
              </c:pt>
              <c:pt idx="2047">
                <c:v>8.0496842313649353</c:v>
              </c:pt>
              <c:pt idx="2048">
                <c:v>8.0486525419712756</c:v>
              </c:pt>
              <c:pt idx="2049">
                <c:v>8.0475918857314817</c:v>
              </c:pt>
              <c:pt idx="2050">
                <c:v>8.046499768566564</c:v>
              </c:pt>
              <c:pt idx="2051">
                <c:v>8.0453768197909756</c:v>
              </c:pt>
              <c:pt idx="2052">
                <c:v>8.0442570217434159</c:v>
              </c:pt>
              <c:pt idx="2053">
                <c:v>8.0431313603528878</c:v>
              </c:pt>
              <c:pt idx="2054">
                <c:v>8.041996700357485</c:v>
              </c:pt>
              <c:pt idx="2055">
                <c:v>8.0408511053740028</c:v>
              </c:pt>
              <c:pt idx="2056">
                <c:v>8.0396850418974388</c:v>
              </c:pt>
              <c:pt idx="2057">
                <c:v>8.0385164469841435</c:v>
              </c:pt>
              <c:pt idx="2058">
                <c:v>8.0373318957046198</c:v>
              </c:pt>
              <c:pt idx="2059">
                <c:v>8.0361643911475138</c:v>
              </c:pt>
              <c:pt idx="2060">
                <c:v>8.0350012313015498</c:v>
              </c:pt>
              <c:pt idx="2061">
                <c:v>8.0338417506120905</c:v>
              </c:pt>
              <c:pt idx="2062">
                <c:v>8.0326625938738498</c:v>
              </c:pt>
              <c:pt idx="2063">
                <c:v>8.0315029775259497</c:v>
              </c:pt>
              <c:pt idx="2064">
                <c:v>8.030315468728503</c:v>
              </c:pt>
              <c:pt idx="2065">
                <c:v>8.0291677425098875</c:v>
              </c:pt>
              <c:pt idx="2066">
                <c:v>8.0280265476494446</c:v>
              </c:pt>
              <c:pt idx="2067">
                <c:v>8.0268626077638423</c:v>
              </c:pt>
              <c:pt idx="2068">
                <c:v>8.0257229000519779</c:v>
              </c:pt>
              <c:pt idx="2069">
                <c:v>8.0245391896646563</c:v>
              </c:pt>
              <c:pt idx="2070">
                <c:v>8.0232871273182251</c:v>
              </c:pt>
              <c:pt idx="2071">
                <c:v>8.0220996044340342</c:v>
              </c:pt>
              <c:pt idx="2072">
                <c:v>8.0209219289063522</c:v>
              </c:pt>
              <c:pt idx="2073">
                <c:v>8.0197608758380543</c:v>
              </c:pt>
              <c:pt idx="2074">
                <c:v>8.0185685655116359</c:v>
              </c:pt>
              <c:pt idx="2075">
                <c:v>8.0173794856694443</c:v>
              </c:pt>
              <c:pt idx="2076">
                <c:v>8.0161699902780779</c:v>
              </c:pt>
              <c:pt idx="2077">
                <c:v>8.0149921836819598</c:v>
              </c:pt>
              <c:pt idx="2078">
                <c:v>8.0138259226295681</c:v>
              </c:pt>
              <c:pt idx="2079">
                <c:v>8.0126887884012366</c:v>
              </c:pt>
              <c:pt idx="2080">
                <c:v>8.0115531045184945</c:v>
              </c:pt>
              <c:pt idx="2081">
                <c:v>8.0103969826899757</c:v>
              </c:pt>
              <c:pt idx="2082">
                <c:v>8.009202192583265</c:v>
              </c:pt>
              <c:pt idx="2083">
                <c:v>8.0079963759364059</c:v>
              </c:pt>
              <c:pt idx="2084">
                <c:v>8.0067886828987742</c:v>
              </c:pt>
              <c:pt idx="2085">
                <c:v>8.0055674807107113</c:v>
              </c:pt>
              <c:pt idx="2086">
                <c:v>8.0043640073931765</c:v>
              </c:pt>
              <c:pt idx="2087">
                <c:v>8.0031750427276211</c:v>
              </c:pt>
              <c:pt idx="2088">
                <c:v>8.0020280859702702</c:v>
              </c:pt>
              <c:pt idx="2089">
                <c:v>8.0008830769037225</c:v>
              </c:pt>
              <c:pt idx="2090">
                <c:v>7.9997575147583833</c:v>
              </c:pt>
              <c:pt idx="2091">
                <c:v>7.9986280789407012</c:v>
              </c:pt>
              <c:pt idx="2092">
                <c:v>7.9975580592656206</c:v>
              </c:pt>
              <c:pt idx="2093">
                <c:v>7.9964924105366428</c:v>
              </c:pt>
              <c:pt idx="2094">
                <c:v>7.9954471009425987</c:v>
              </c:pt>
              <c:pt idx="2095">
                <c:v>7.9944051569683854</c:v>
              </c:pt>
              <c:pt idx="2096">
                <c:v>7.9933842359495024</c:v>
              </c:pt>
              <c:pt idx="2097">
                <c:v>7.9923501559818337</c:v>
              </c:pt>
              <c:pt idx="2098">
                <c:v>7.9913328819285088</c:v>
              </c:pt>
              <c:pt idx="2099">
                <c:v>7.990347369528239</c:v>
              </c:pt>
              <c:pt idx="2100">
                <c:v>7.9893761190886057</c:v>
              </c:pt>
              <c:pt idx="2101">
                <c:v>7.9883694879215801</c:v>
              </c:pt>
              <c:pt idx="2102">
                <c:v>7.9873162942669618</c:v>
              </c:pt>
              <c:pt idx="2103">
                <c:v>7.9862923214938117</c:v>
              </c:pt>
              <c:pt idx="2104">
                <c:v>7.9852516830561013</c:v>
              </c:pt>
              <c:pt idx="2105">
                <c:v>7.9841681416565153</c:v>
              </c:pt>
              <c:pt idx="2106">
                <c:v>7.9830931051208456</c:v>
              </c:pt>
              <c:pt idx="2107">
                <c:v>7.9820135815583324</c:v>
              </c:pt>
              <c:pt idx="2108">
                <c:v>7.9809389402737327</c:v>
              </c:pt>
              <c:pt idx="2109">
                <c:v>7.9798344739452478</c:v>
              </c:pt>
              <c:pt idx="2110">
                <c:v>7.9787497697655345</c:v>
              </c:pt>
              <c:pt idx="2111">
                <c:v>7.9776382676317015</c:v>
              </c:pt>
              <c:pt idx="2112">
                <c:v>7.9765168189251483</c:v>
              </c:pt>
              <c:pt idx="2113">
                <c:v>7.975368144230039</c:v>
              </c:pt>
              <c:pt idx="2114">
                <c:v>7.9742342702614355</c:v>
              </c:pt>
              <c:pt idx="2115">
                <c:v>7.9730907545947343</c:v>
              </c:pt>
              <c:pt idx="2116">
                <c:v>7.9719546186057872</c:v>
              </c:pt>
              <c:pt idx="2117">
                <c:v>7.97083691526095</c:v>
              </c:pt>
              <c:pt idx="2118">
                <c:v>7.9696465177975773</c:v>
              </c:pt>
              <c:pt idx="2119">
                <c:v>7.9684746282107985</c:v>
              </c:pt>
              <c:pt idx="2120">
                <c:v>7.9673485243036559</c:v>
              </c:pt>
              <c:pt idx="2121">
                <c:v>7.9661670267348637</c:v>
              </c:pt>
              <c:pt idx="2122">
                <c:v>7.9650248737969314</c:v>
              </c:pt>
              <c:pt idx="2123">
                <c:v>7.9638826918254653</c:v>
              </c:pt>
              <c:pt idx="2124">
                <c:v>7.9627503096653349</c:v>
              </c:pt>
              <c:pt idx="2125">
                <c:v>7.9616353339477195</c:v>
              </c:pt>
              <c:pt idx="2126">
                <c:v>7.960490842809687</c:v>
              </c:pt>
              <c:pt idx="2127">
                <c:v>7.9593769407254777</c:v>
              </c:pt>
              <c:pt idx="2128">
                <c:v>7.9582863517311129</c:v>
              </c:pt>
              <c:pt idx="2129">
                <c:v>7.9571736098013437</c:v>
              </c:pt>
              <c:pt idx="2130">
                <c:v>7.9560601590971212</c:v>
              </c:pt>
              <c:pt idx="2131">
                <c:v>7.9549727985853877</c:v>
              </c:pt>
              <c:pt idx="2132">
                <c:v>7.9538711710929961</c:v>
              </c:pt>
              <c:pt idx="2133">
                <c:v>7.9527528550861923</c:v>
              </c:pt>
              <c:pt idx="2134">
                <c:v>7.9516912777010242</c:v>
              </c:pt>
              <c:pt idx="2135">
                <c:v>7.9506009267920064</c:v>
              </c:pt>
              <c:pt idx="2136">
                <c:v>7.9495354635631816</c:v>
              </c:pt>
              <c:pt idx="2137">
                <c:v>7.9484801923289234</c:v>
              </c:pt>
              <c:pt idx="2138">
                <c:v>7.9474302121575846</c:v>
              </c:pt>
              <c:pt idx="2139">
                <c:v>7.9463781876389525</c:v>
              </c:pt>
              <c:pt idx="2140">
                <c:v>7.9452961123713468</c:v>
              </c:pt>
              <c:pt idx="2141">
                <c:v>7.9442276895646362</c:v>
              </c:pt>
              <c:pt idx="2142">
                <c:v>7.9431586539127901</c:v>
              </c:pt>
              <c:pt idx="2143">
                <c:v>7.9420900345064176</c:v>
              </c:pt>
              <c:pt idx="2144">
                <c:v>7.9410193953546155</c:v>
              </c:pt>
              <c:pt idx="2145">
                <c:v>7.9399504475240548</c:v>
              </c:pt>
              <c:pt idx="2146">
                <c:v>7.938857591860093</c:v>
              </c:pt>
              <c:pt idx="2147">
                <c:v>7.9377350451017898</c:v>
              </c:pt>
              <c:pt idx="2148">
                <c:v>7.9366042258587717</c:v>
              </c:pt>
              <c:pt idx="2149">
                <c:v>7.935438969255399</c:v>
              </c:pt>
              <c:pt idx="2150">
                <c:v>7.9342600948619468</c:v>
              </c:pt>
              <c:pt idx="2151">
                <c:v>7.933132677752269</c:v>
              </c:pt>
              <c:pt idx="2152">
                <c:v>7.9319990864181289</c:v>
              </c:pt>
              <c:pt idx="2153">
                <c:v>7.9308481532614801</c:v>
              </c:pt>
              <c:pt idx="2154">
                <c:v>7.9296814189931304</c:v>
              </c:pt>
              <c:pt idx="2155">
                <c:v>7.9285259632026897</c:v>
              </c:pt>
              <c:pt idx="2156">
                <c:v>7.9273387239947715</c:v>
              </c:pt>
              <c:pt idx="2157">
                <c:v>7.9261004621288649</c:v>
              </c:pt>
              <c:pt idx="2158">
                <c:v>7.9248257549432983</c:v>
              </c:pt>
              <c:pt idx="2159">
                <c:v>7.9235676540855833</c:v>
              </c:pt>
              <c:pt idx="2160">
                <c:v>7.9222943733934938</c:v>
              </c:pt>
              <c:pt idx="2161">
                <c:v>7.9210024183069043</c:v>
              </c:pt>
              <c:pt idx="2162">
                <c:v>7.9196693574623502</c:v>
              </c:pt>
              <c:pt idx="2163">
                <c:v>7.9183673175905698</c:v>
              </c:pt>
              <c:pt idx="2164">
                <c:v>7.9171058912436427</c:v>
              </c:pt>
              <c:pt idx="2165">
                <c:v>7.9157956836111119</c:v>
              </c:pt>
              <c:pt idx="2166">
                <c:v>7.9144708528492238</c:v>
              </c:pt>
              <c:pt idx="2167">
                <c:v>7.9131649935569071</c:v>
              </c:pt>
              <c:pt idx="2168">
                <c:v>7.9118267931767585</c:v>
              </c:pt>
              <c:pt idx="2169">
                <c:v>7.9104429009994881</c:v>
              </c:pt>
              <c:pt idx="2170">
                <c:v>7.9090485546834897</c:v>
              </c:pt>
              <c:pt idx="2171">
                <c:v>7.9076795880757951</c:v>
              </c:pt>
              <c:pt idx="2172">
                <c:v>7.9062507324258977</c:v>
              </c:pt>
              <c:pt idx="2173">
                <c:v>7.9047994145703901</c:v>
              </c:pt>
              <c:pt idx="2174">
                <c:v>7.9033335058730936</c:v>
              </c:pt>
              <c:pt idx="2175">
                <c:v>7.9018904710195761</c:v>
              </c:pt>
              <c:pt idx="2176">
                <c:v>7.9004423578898804</c:v>
              </c:pt>
              <c:pt idx="2177">
                <c:v>7.8989743596698352</c:v>
              </c:pt>
              <c:pt idx="2178">
                <c:v>7.8974679848563136</c:v>
              </c:pt>
              <c:pt idx="2179">
                <c:v>7.8959399282193719</c:v>
              </c:pt>
              <c:pt idx="2180">
                <c:v>7.894460212601083</c:v>
              </c:pt>
              <c:pt idx="2181">
                <c:v>7.892925555566876</c:v>
              </c:pt>
              <c:pt idx="2182">
                <c:v>7.8914209437132472</c:v>
              </c:pt>
              <c:pt idx="2183">
                <c:v>7.8899314106356071</c:v>
              </c:pt>
              <c:pt idx="2184">
                <c:v>7.888407739684447</c:v>
              </c:pt>
              <c:pt idx="2185">
                <c:v>7.8868855257371546</c:v>
              </c:pt>
              <c:pt idx="2186">
                <c:v>7.8853771798405248</c:v>
              </c:pt>
              <c:pt idx="2187">
                <c:v>7.8838296593226591</c:v>
              </c:pt>
              <c:pt idx="2188">
                <c:v>7.8823001719025489</c:v>
              </c:pt>
              <c:pt idx="2189">
                <c:v>7.8807107034109034</c:v>
              </c:pt>
              <c:pt idx="2190">
                <c:v>7.8791009831875307</c:v>
              </c:pt>
              <c:pt idx="2191">
                <c:v>7.8791028416157651</c:v>
              </c:pt>
              <c:pt idx="2192">
                <c:v>7.8779867347148356</c:v>
              </c:pt>
              <c:pt idx="2193">
                <c:v>7.8769655931628426</c:v>
              </c:pt>
              <c:pt idx="2194">
                <c:v>7.8753403896482741</c:v>
              </c:pt>
              <c:pt idx="2195">
                <c:v>7.8737412047492183</c:v>
              </c:pt>
              <c:pt idx="2196">
                <c:v>7.8740462857527111</c:v>
              </c:pt>
              <c:pt idx="2197">
                <c:v>7.8731573200822167</c:v>
              </c:pt>
              <c:pt idx="2198">
                <c:v>7.8722659221502891</c:v>
              </c:pt>
              <c:pt idx="2199">
                <c:v>7.8707127856832297</c:v>
              </c:pt>
              <c:pt idx="2200">
                <c:v>7.8691454859001855</c:v>
              </c:pt>
              <c:pt idx="2201">
                <c:v>7.8695530431328082</c:v>
              </c:pt>
              <c:pt idx="2202">
                <c:v>7.8686545676132829</c:v>
              </c:pt>
              <c:pt idx="2203">
                <c:v>7.8678115691160935</c:v>
              </c:pt>
              <c:pt idx="2204">
                <c:v>7.8662718454943867</c:v>
              </c:pt>
              <c:pt idx="2205">
                <c:v>7.8647459022860629</c:v>
              </c:pt>
              <c:pt idx="2206">
                <c:v>7.8652604217372337</c:v>
              </c:pt>
              <c:pt idx="2207">
                <c:v>7.8644196849785377</c:v>
              </c:pt>
              <c:pt idx="2208">
                <c:v>7.8635486271928601</c:v>
              </c:pt>
              <c:pt idx="2209">
                <c:v>7.8619581001214485</c:v>
              </c:pt>
              <c:pt idx="2210">
                <c:v>7.860388861519148</c:v>
              </c:pt>
              <c:pt idx="2211">
                <c:v>7.8595315126785259</c:v>
              </c:pt>
              <c:pt idx="2212">
                <c:v>7.8580209390656002</c:v>
              </c:pt>
              <c:pt idx="2213">
                <c:v>7.8565563605093276</c:v>
              </c:pt>
              <c:pt idx="2214">
                <c:v>7.8550928571909493</c:v>
              </c:pt>
              <c:pt idx="2215">
                <c:v>7.8536398710935522</c:v>
              </c:pt>
              <c:pt idx="2216">
                <c:v>7.8522488191912423</c:v>
              </c:pt>
              <c:pt idx="2217">
                <c:v>7.850835163049827</c:v>
              </c:pt>
              <c:pt idx="2218">
                <c:v>7.8493871597035465</c:v>
              </c:pt>
              <c:pt idx="2219">
                <c:v>7.8479074985367765</c:v>
              </c:pt>
              <c:pt idx="2220">
                <c:v>7.8464522073559664</c:v>
              </c:pt>
              <c:pt idx="2221">
                <c:v>7.8449786472072365</c:v>
              </c:pt>
              <c:pt idx="2222">
                <c:v>7.8435066209450142</c:v>
              </c:pt>
              <c:pt idx="2223">
                <c:v>7.8420309638431078</c:v>
              </c:pt>
              <c:pt idx="2224">
                <c:v>7.840511992939561</c:v>
              </c:pt>
              <c:pt idx="2225">
                <c:v>7.8390171727639624</c:v>
              </c:pt>
              <c:pt idx="2226">
                <c:v>7.8375371876648199</c:v>
              </c:pt>
              <c:pt idx="2227">
                <c:v>7.8360559341080442</c:v>
              </c:pt>
              <c:pt idx="2228">
                <c:v>7.8345591864835544</c:v>
              </c:pt>
              <c:pt idx="2229">
                <c:v>7.8330685521663996</c:v>
              </c:pt>
              <c:pt idx="2230">
                <c:v>7.8316211350056513</c:v>
              </c:pt>
              <c:pt idx="2231">
                <c:v>7.830167331560614</c:v>
              </c:pt>
              <c:pt idx="2232">
                <c:v>7.8286981943582745</c:v>
              </c:pt>
              <c:pt idx="2233">
                <c:v>7.827238058879483</c:v>
              </c:pt>
              <c:pt idx="2234">
                <c:v>7.8257636850223662</c:v>
              </c:pt>
              <c:pt idx="2235">
                <c:v>7.8243180628457338</c:v>
              </c:pt>
              <c:pt idx="2236">
                <c:v>7.8228674467413564</c:v>
              </c:pt>
              <c:pt idx="2237">
                <c:v>7.8214259353101427</c:v>
              </c:pt>
              <c:pt idx="2238">
                <c:v>7.8199958506973646</c:v>
              </c:pt>
              <c:pt idx="2239">
                <c:v>7.8185577775057267</c:v>
              </c:pt>
              <c:pt idx="2240">
                <c:v>7.8171054812583005</c:v>
              </c:pt>
              <c:pt idx="2241">
                <c:v>7.8156436812444507</c:v>
              </c:pt>
              <c:pt idx="2242">
                <c:v>7.8142235325842462</c:v>
              </c:pt>
              <c:pt idx="2243">
                <c:v>7.8127984702692581</c:v>
              </c:pt>
              <c:pt idx="2244">
                <c:v>7.8113980138178043</c:v>
              </c:pt>
              <c:pt idx="2245">
                <c:v>7.8099972816530396</c:v>
              </c:pt>
              <c:pt idx="2246">
                <c:v>7.8086195303428809</c:v>
              </c:pt>
              <c:pt idx="2247">
                <c:v>7.8072833569829161</c:v>
              </c:pt>
              <c:pt idx="2248">
                <c:v>7.8059538221836764</c:v>
              </c:pt>
              <c:pt idx="2249">
                <c:v>7.8046138819184945</c:v>
              </c:pt>
              <c:pt idx="2250">
                <c:v>7.8033015019679404</c:v>
              </c:pt>
              <c:pt idx="2251">
                <c:v>7.8020096828300245</c:v>
              </c:pt>
              <c:pt idx="2252">
                <c:v>7.800743112788318</c:v>
              </c:pt>
              <c:pt idx="2253">
                <c:v>7.7994927919449903</c:v>
              </c:pt>
              <c:pt idx="2254">
                <c:v>7.7982447617039679</c:v>
              </c:pt>
              <c:pt idx="2255">
                <c:v>7.7970432685475961</c:v>
              </c:pt>
              <c:pt idx="2256">
                <c:v>7.7959045030757403</c:v>
              </c:pt>
              <c:pt idx="2257">
                <c:v>7.79479585883991</c:v>
              </c:pt>
              <c:pt idx="2258">
                <c:v>7.7936172938297998</c:v>
              </c:pt>
              <c:pt idx="2259">
                <c:v>7.7924432967432891</c:v>
              </c:pt>
              <c:pt idx="2260">
                <c:v>7.7913575067191463</c:v>
              </c:pt>
              <c:pt idx="2261">
                <c:v>7.7902297025569753</c:v>
              </c:pt>
              <c:pt idx="2262">
                <c:v>7.7891204799075915</c:v>
              </c:pt>
              <c:pt idx="2263">
                <c:v>7.7879646903684234</c:v>
              </c:pt>
              <c:pt idx="2264">
                <c:v>7.7867949138969594</c:v>
              </c:pt>
              <c:pt idx="2265">
                <c:v>7.7856576615069351</c:v>
              </c:pt>
              <c:pt idx="2266">
                <c:v>7.7845340084589232</c:v>
              </c:pt>
              <c:pt idx="2267">
                <c:v>7.7833965054645899</c:v>
              </c:pt>
              <c:pt idx="2268">
                <c:v>7.7822473059973953</c:v>
              </c:pt>
              <c:pt idx="2269">
                <c:v>7.7810934150548565</c:v>
              </c:pt>
              <c:pt idx="2270">
                <c:v>7.7799417294155022</c:v>
              </c:pt>
              <c:pt idx="2271">
                <c:v>7.7787527391807707</c:v>
              </c:pt>
              <c:pt idx="2272">
                <c:v>7.7775382804865627</c:v>
              </c:pt>
              <c:pt idx="2273">
                <c:v>7.7762986415841935</c:v>
              </c:pt>
              <c:pt idx="2274">
                <c:v>7.7750493551615243</c:v>
              </c:pt>
              <c:pt idx="2275">
                <c:v>7.7738180231021792</c:v>
              </c:pt>
              <c:pt idx="2276">
                <c:v>7.7726576275773205</c:v>
              </c:pt>
              <c:pt idx="2277">
                <c:v>7.7715661481257374</c:v>
              </c:pt>
              <c:pt idx="2278">
                <c:v>7.7704783911144268</c:v>
              </c:pt>
              <c:pt idx="2279">
                <c:v>7.7693602331241465</c:v>
              </c:pt>
              <c:pt idx="2280">
                <c:v>7.7682826560273295</c:v>
              </c:pt>
              <c:pt idx="2281">
                <c:v>7.7672528680332613</c:v>
              </c:pt>
              <c:pt idx="2282">
                <c:v>7.7661625056939627</c:v>
              </c:pt>
              <c:pt idx="2283">
                <c:v>7.7650726339934106</c:v>
              </c:pt>
              <c:pt idx="2284">
                <c:v>7.763982496066153</c:v>
              </c:pt>
              <c:pt idx="2285">
                <c:v>7.7628875065486174</c:v>
              </c:pt>
              <c:pt idx="2286">
                <c:v>7.7617295474998755</c:v>
              </c:pt>
              <c:pt idx="2287">
                <c:v>7.7605874695284154</c:v>
              </c:pt>
              <c:pt idx="2288">
                <c:v>7.7594807086412523</c:v>
              </c:pt>
              <c:pt idx="2289">
                <c:v>7.758426153141083</c:v>
              </c:pt>
              <c:pt idx="2290">
                <c:v>7.7573682624347988</c:v>
              </c:pt>
              <c:pt idx="2291">
                <c:v>7.7563170240195998</c:v>
              </c:pt>
              <c:pt idx="2292">
                <c:v>7.7552651460735218</c:v>
              </c:pt>
              <c:pt idx="2293">
                <c:v>7.7541701147953184</c:v>
              </c:pt>
              <c:pt idx="2294">
                <c:v>7.7536139913698783</c:v>
              </c:pt>
              <c:pt idx="2295">
                <c:v>7.7530906022371537</c:v>
              </c:pt>
              <c:pt idx="2296">
                <c:v>7.7520710481951527</c:v>
              </c:pt>
              <c:pt idx="2297">
                <c:v>7.7510331505927139</c:v>
              </c:pt>
              <c:pt idx="2298">
                <c:v>7.7514610155521826</c:v>
              </c:pt>
              <c:pt idx="2299">
                <c:v>7.7508605746143813</c:v>
              </c:pt>
              <c:pt idx="2300">
                <c:v>7.7502152514841587</c:v>
              </c:pt>
              <c:pt idx="2301">
                <c:v>7.7490642648761909</c:v>
              </c:pt>
              <c:pt idx="2302">
                <c:v>7.7479769654135913</c:v>
              </c:pt>
              <c:pt idx="2303">
                <c:v>7.7484481374462462</c:v>
              </c:pt>
              <c:pt idx="2304">
                <c:v>7.7479119250604347</c:v>
              </c:pt>
              <c:pt idx="2305">
                <c:v>7.7473884806054407</c:v>
              </c:pt>
              <c:pt idx="2306">
                <c:v>7.7463213073784578</c:v>
              </c:pt>
              <c:pt idx="2307">
                <c:v>7.745246308131021</c:v>
              </c:pt>
              <c:pt idx="2308">
                <c:v>7.7457287536709565</c:v>
              </c:pt>
              <c:pt idx="2309">
                <c:v>7.7451886590507133</c:v>
              </c:pt>
              <c:pt idx="2310">
                <c:v>7.744595116848866</c:v>
              </c:pt>
              <c:pt idx="2311">
                <c:v>7.7434825047971554</c:v>
              </c:pt>
              <c:pt idx="2312">
                <c:v>7.7423535106631149</c:v>
              </c:pt>
              <c:pt idx="2313">
                <c:v>7.742898570673086</c:v>
              </c:pt>
              <c:pt idx="2314">
                <c:v>7.7423314376399288</c:v>
              </c:pt>
              <c:pt idx="2315">
                <c:v>7.7418088283123492</c:v>
              </c:pt>
              <c:pt idx="2316">
                <c:v>7.74069772276754</c:v>
              </c:pt>
              <c:pt idx="2317">
                <c:v>7.7395496736530989</c:v>
              </c:pt>
              <c:pt idx="2318">
                <c:v>7.7384028464404686</c:v>
              </c:pt>
              <c:pt idx="2319">
                <c:v>7.737291487777842</c:v>
              </c:pt>
              <c:pt idx="2320">
                <c:v>7.7361927323965096</c:v>
              </c:pt>
              <c:pt idx="2321">
                <c:v>7.7351065660890121</c:v>
              </c:pt>
              <c:pt idx="2322">
                <c:v>7.733996886803947</c:v>
              </c:pt>
              <c:pt idx="2323">
                <c:v>7.732890670868561</c:v>
              </c:pt>
              <c:pt idx="2324">
                <c:v>7.7317362325894967</c:v>
              </c:pt>
              <c:pt idx="2325">
                <c:v>7.7306194432792097</c:v>
              </c:pt>
              <c:pt idx="2326">
                <c:v>7.7295266154011939</c:v>
              </c:pt>
              <c:pt idx="2327">
                <c:v>7.7284414861267887</c:v>
              </c:pt>
              <c:pt idx="2328">
                <c:v>7.7273415916662183</c:v>
              </c:pt>
              <c:pt idx="2329">
                <c:v>7.7262451430026617</c:v>
              </c:pt>
              <c:pt idx="2330">
                <c:v>7.7251173050728434</c:v>
              </c:pt>
              <c:pt idx="2331">
                <c:v>7.7239573790857232</c:v>
              </c:pt>
              <c:pt idx="2332">
                <c:v>7.7227643305344698</c:v>
              </c:pt>
              <c:pt idx="2333">
                <c:v>7.7216186224937369</c:v>
              </c:pt>
              <c:pt idx="2334">
                <c:v>7.7205050666136348</c:v>
              </c:pt>
              <c:pt idx="2335">
                <c:v>7.7194176206492191</c:v>
              </c:pt>
              <c:pt idx="2336">
                <c:v>7.7183449266091797</c:v>
              </c:pt>
              <c:pt idx="2337">
                <c:v>7.7172488605471257</c:v>
              </c:pt>
              <c:pt idx="2338">
                <c:v>7.7161478855640802</c:v>
              </c:pt>
              <c:pt idx="2339">
                <c:v>7.7150753364001785</c:v>
              </c:pt>
              <c:pt idx="2340">
                <c:v>7.7140054706788508</c:v>
              </c:pt>
              <c:pt idx="2341">
                <c:v>7.7129134147765894</c:v>
              </c:pt>
              <c:pt idx="2342">
                <c:v>7.71185015354488</c:v>
              </c:pt>
              <c:pt idx="2343">
                <c:v>7.710794083687591</c:v>
              </c:pt>
              <c:pt idx="2344">
                <c:v>7.7097745711540995</c:v>
              </c:pt>
              <c:pt idx="2345">
                <c:v>7.7087486541553076</c:v>
              </c:pt>
              <c:pt idx="2346">
                <c:v>7.707738038229361</c:v>
              </c:pt>
              <c:pt idx="2347">
                <c:v>7.7067222304563128</c:v>
              </c:pt>
              <c:pt idx="2348">
                <c:v>7.7057045305984504</c:v>
              </c:pt>
              <c:pt idx="2349">
                <c:v>7.70474451250222</c:v>
              </c:pt>
              <c:pt idx="2350">
                <c:v>7.7038209293091837</c:v>
              </c:pt>
              <c:pt idx="2351">
                <c:v>7.702859277547212</c:v>
              </c:pt>
              <c:pt idx="2352">
                <c:v>7.7018856546826697</c:v>
              </c:pt>
              <c:pt idx="2353">
                <c:v>7.7009326377051446</c:v>
              </c:pt>
              <c:pt idx="2354">
                <c:v>7.6999461651439951</c:v>
              </c:pt>
              <c:pt idx="2355">
                <c:v>7.6989600364307114</c:v>
              </c:pt>
              <c:pt idx="2356">
                <c:v>7.6979944898066277</c:v>
              </c:pt>
              <c:pt idx="2357">
                <c:v>7.6970394907396864</c:v>
              </c:pt>
              <c:pt idx="2358">
                <c:v>7.6960431180919331</c:v>
              </c:pt>
              <c:pt idx="2359">
                <c:v>7.6955732389255278</c:v>
              </c:pt>
              <c:pt idx="2360">
                <c:v>7.6945985796373675</c:v>
              </c:pt>
              <c:pt idx="2361">
                <c:v>7.6936244612065341</c:v>
              </c:pt>
              <c:pt idx="2362">
                <c:v>7.6946479048761409</c:v>
              </c:pt>
              <c:pt idx="2363">
                <c:v>7.6941901539769502</c:v>
              </c:pt>
              <c:pt idx="2364">
                <c:v>7.6932135686090595</c:v>
              </c:pt>
              <c:pt idx="2365">
                <c:v>7.6922757106082127</c:v>
              </c:pt>
              <c:pt idx="2366">
                <c:v>7.6928821459787891</c:v>
              </c:pt>
              <c:pt idx="2367">
                <c:v>7.6924121089462227</c:v>
              </c:pt>
              <c:pt idx="2368">
                <c:v>7.6918927841963329</c:v>
              </c:pt>
              <c:pt idx="2369">
                <c:v>7.6908870540150405</c:v>
              </c:pt>
              <c:pt idx="2370">
                <c:v>7.6898975949361796</c:v>
              </c:pt>
              <c:pt idx="2371">
                <c:v>7.6903190232713552</c:v>
              </c:pt>
              <c:pt idx="2372">
                <c:v>7.689818894363099</c:v>
              </c:pt>
              <c:pt idx="2373">
                <c:v>7.6893562794936861</c:v>
              </c:pt>
              <c:pt idx="2374">
                <c:v>7.6883786904317883</c:v>
              </c:pt>
              <c:pt idx="2375">
                <c:v>7.6873949037743925</c:v>
              </c:pt>
              <c:pt idx="2376">
                <c:v>7.6878686690612783</c:v>
              </c:pt>
              <c:pt idx="2377">
                <c:v>7.6873425429879099</c:v>
              </c:pt>
              <c:pt idx="2378">
                <c:v>7.6868094440407955</c:v>
              </c:pt>
              <c:pt idx="2379">
                <c:v>7.6858105985933838</c:v>
              </c:pt>
              <c:pt idx="2380">
                <c:v>7.6848245951654075</c:v>
              </c:pt>
              <c:pt idx="2381">
                <c:v>7.6851945354296793</c:v>
              </c:pt>
              <c:pt idx="2382">
                <c:v>7.6846658276831397</c:v>
              </c:pt>
              <c:pt idx="2383">
                <c:v>7.6841309480804734</c:v>
              </c:pt>
              <c:pt idx="2384">
                <c:v>7.6832138213876773</c:v>
              </c:pt>
              <c:pt idx="2385">
                <c:v>7.6822967574341581</c:v>
              </c:pt>
              <c:pt idx="2386">
                <c:v>7.6826717964944917</c:v>
              </c:pt>
              <c:pt idx="2387">
                <c:v>7.6822088166209967</c:v>
              </c:pt>
              <c:pt idx="2388">
                <c:v>7.6817714462434443</c:v>
              </c:pt>
              <c:pt idx="2389">
                <c:v>7.6809159293317286</c:v>
              </c:pt>
              <c:pt idx="2390">
                <c:v>7.6800614466652561</c:v>
              </c:pt>
              <c:pt idx="2391">
                <c:v>7.6805517242205221</c:v>
              </c:pt>
              <c:pt idx="2392">
                <c:v>7.6801680594485831</c:v>
              </c:pt>
              <c:pt idx="2393">
                <c:v>7.6797733670301405</c:v>
              </c:pt>
              <c:pt idx="2394">
                <c:v>7.6788892519206584</c:v>
              </c:pt>
              <c:pt idx="2395">
                <c:v>7.6779971933077658</c:v>
              </c:pt>
              <c:pt idx="2396">
                <c:v>7.6785802471066278</c:v>
              </c:pt>
              <c:pt idx="2397">
                <c:v>7.678159303429668</c:v>
              </c:pt>
              <c:pt idx="2398">
                <c:v>7.677721525705655</c:v>
              </c:pt>
              <c:pt idx="2399">
                <c:v>7.6767827491391785</c:v>
              </c:pt>
              <c:pt idx="2400">
                <c:v>7.6758518162744851</c:v>
              </c:pt>
              <c:pt idx="2401">
                <c:v>7.6763934688200042</c:v>
              </c:pt>
              <c:pt idx="2402">
                <c:v>7.6759341897905076</c:v>
              </c:pt>
              <c:pt idx="2403">
                <c:v>7.6754683339450116</c:v>
              </c:pt>
              <c:pt idx="2404">
                <c:v>7.6745286536018238</c:v>
              </c:pt>
              <c:pt idx="2405">
                <c:v>7.6736390159241274</c:v>
              </c:pt>
              <c:pt idx="2406">
                <c:v>7.6740954450336156</c:v>
              </c:pt>
              <c:pt idx="2407">
                <c:v>7.6736039070950657</c:v>
              </c:pt>
              <c:pt idx="2408">
                <c:v>7.6731354198398583</c:v>
              </c:pt>
              <c:pt idx="2409">
                <c:v>7.6721994264431999</c:v>
              </c:pt>
              <c:pt idx="2410">
                <c:v>7.6712654227725308</c:v>
              </c:pt>
              <c:pt idx="2411">
                <c:v>7.6716960487944874</c:v>
              </c:pt>
              <c:pt idx="2412">
                <c:v>7.671256550717831</c:v>
              </c:pt>
              <c:pt idx="2413">
                <c:v>7.6708533591752195</c:v>
              </c:pt>
              <c:pt idx="2414">
                <c:v>7.669912033048722</c:v>
              </c:pt>
              <c:pt idx="2415">
                <c:v>7.6689330542585967</c:v>
              </c:pt>
              <c:pt idx="2416">
                <c:v>7.6695090752791417</c:v>
              </c:pt>
              <c:pt idx="2417">
                <c:v>7.6690381237851852</c:v>
              </c:pt>
              <c:pt idx="2418">
                <c:v>7.6686216921067363</c:v>
              </c:pt>
              <c:pt idx="2419">
                <c:v>7.6676457839280694</c:v>
              </c:pt>
              <c:pt idx="2420">
                <c:v>7.6677684458337891</c:v>
              </c:pt>
              <c:pt idx="2421">
                <c:v>7.6673507429992727</c:v>
              </c:pt>
              <c:pt idx="2422">
                <c:v>7.6663976110399412</c:v>
              </c:pt>
              <c:pt idx="2423">
                <c:v>7.6665627785310102</c:v>
              </c:pt>
              <c:pt idx="2424">
                <c:v>7.6661715476450256</c:v>
              </c:pt>
              <c:pt idx="2425">
                <c:v>7.6657718276053108</c:v>
              </c:pt>
              <c:pt idx="2426">
                <c:v>7.664781992516426</c:v>
              </c:pt>
              <c:pt idx="2427">
                <c:v>7.663827584806941</c:v>
              </c:pt>
              <c:pt idx="2428">
                <c:v>7.6645543076649112</c:v>
              </c:pt>
              <c:pt idx="2429">
                <c:v>7.6641699851684777</c:v>
              </c:pt>
              <c:pt idx="2430">
                <c:v>7.6638032274912948</c:v>
              </c:pt>
              <c:pt idx="2431">
                <c:v>7.6628384215895755</c:v>
              </c:pt>
              <c:pt idx="2432">
                <c:v>7.6618859726012403</c:v>
              </c:pt>
              <c:pt idx="2433">
                <c:v>7.6626745182090605</c:v>
              </c:pt>
              <c:pt idx="2434">
                <c:v>7.6623240535990025</c:v>
              </c:pt>
              <c:pt idx="2435">
                <c:v>7.6619354628223046</c:v>
              </c:pt>
              <c:pt idx="2436">
                <c:v>7.6610147658766721</c:v>
              </c:pt>
              <c:pt idx="2437">
                <c:v>7.6601170818088855</c:v>
              </c:pt>
              <c:pt idx="2438">
                <c:v>7.6608831052066897</c:v>
              </c:pt>
              <c:pt idx="2439">
                <c:v>7.6604516254301318</c:v>
              </c:pt>
              <c:pt idx="2440">
                <c:v>7.6595681162442331</c:v>
              </c:pt>
              <c:pt idx="2441">
                <c:v>7.6586655315371734</c:v>
              </c:pt>
              <c:pt idx="2442">
                <c:v>7.6591506002821088</c:v>
              </c:pt>
              <c:pt idx="2443">
                <c:v>7.6586997327357222</c:v>
              </c:pt>
              <c:pt idx="2444">
                <c:v>7.6582243828904621</c:v>
              </c:pt>
              <c:pt idx="2445">
                <c:v>7.6573190854738726</c:v>
              </c:pt>
              <c:pt idx="2446">
                <c:v>7.6564070997569207</c:v>
              </c:pt>
              <c:pt idx="2447">
                <c:v>7.6569792533809267</c:v>
              </c:pt>
              <c:pt idx="2448">
                <c:v>7.656531436947537</c:v>
              </c:pt>
              <c:pt idx="2449">
                <c:v>7.6560932609213346</c:v>
              </c:pt>
              <c:pt idx="2450">
                <c:v>7.6551276423188801</c:v>
              </c:pt>
              <c:pt idx="2451">
                <c:v>7.6541867937081021</c:v>
              </c:pt>
              <c:pt idx="2452">
                <c:v>7.6548060126875557</c:v>
              </c:pt>
              <c:pt idx="2453">
                <c:v>7.6544331995186008</c:v>
              </c:pt>
              <c:pt idx="2454">
                <c:v>7.6540651354474356</c:v>
              </c:pt>
              <c:pt idx="2455">
                <c:v>7.6531989178870194</c:v>
              </c:pt>
              <c:pt idx="2456">
                <c:v>7.6522881861997334</c:v>
              </c:pt>
              <c:pt idx="2457">
                <c:v>7.6530271328730919</c:v>
              </c:pt>
              <c:pt idx="2458">
                <c:v>7.6526815849667225</c:v>
              </c:pt>
              <c:pt idx="2459">
                <c:v>7.6523142686270758</c:v>
              </c:pt>
              <c:pt idx="2460">
                <c:v>7.6514141018493156</c:v>
              </c:pt>
              <c:pt idx="2461">
                <c:v>7.6505117380986984</c:v>
              </c:pt>
              <c:pt idx="2462">
                <c:v>7.6506415490891015</c:v>
              </c:pt>
              <c:pt idx="2463">
                <c:v>7.6502574781880206</c:v>
              </c:pt>
              <c:pt idx="2464">
                <c:v>7.6499008602959124</c:v>
              </c:pt>
              <c:pt idx="2465">
                <c:v>7.6495622694642904</c:v>
              </c:pt>
              <c:pt idx="2466">
                <c:v>7.6487236622041239</c:v>
              </c:pt>
              <c:pt idx="2467">
                <c:v>7.6488081401720764</c:v>
              </c:pt>
              <c:pt idx="2468">
                <c:v>7.6484172916570783</c:v>
              </c:pt>
              <c:pt idx="2469">
                <c:v>7.6480063779076621</c:v>
              </c:pt>
              <c:pt idx="2470">
                <c:v>7.6476128558169307</c:v>
              </c:pt>
              <c:pt idx="2471">
                <c:v>7.6467938601712788</c:v>
              </c:pt>
              <c:pt idx="2472">
                <c:v>7.646823070259309</c:v>
              </c:pt>
              <c:pt idx="2473">
                <c:v>7.6464510353174999</c:v>
              </c:pt>
              <c:pt idx="2474">
                <c:v>7.6460434669266908</c:v>
              </c:pt>
              <c:pt idx="2475">
                <c:v>7.6456413965962389</c:v>
              </c:pt>
              <c:pt idx="2476">
                <c:v>7.644725176069934</c:v>
              </c:pt>
              <c:pt idx="2477">
                <c:v>7.6447929004135045</c:v>
              </c:pt>
              <c:pt idx="2478">
                <c:v>7.6443451278385597</c:v>
              </c:pt>
              <c:pt idx="2479">
                <c:v>7.6439226542042578</c:v>
              </c:pt>
              <c:pt idx="2480">
                <c:v>7.6434497947763083</c:v>
              </c:pt>
              <c:pt idx="2481">
                <c:v>7.6439102090790527</c:v>
              </c:pt>
              <c:pt idx="2482">
                <c:v>7.643343790235698</c:v>
              </c:pt>
              <c:pt idx="2483">
                <c:v>7.6427538991107635</c:v>
              </c:pt>
              <c:pt idx="2484">
                <c:v>7.6417500343789806</c:v>
              </c:pt>
              <c:pt idx="2485">
                <c:v>7.6415390790159297</c:v>
              </c:pt>
              <c:pt idx="2486">
                <c:v>7.6408955759345529</c:v>
              </c:pt>
              <c:pt idx="2487">
                <c:v>7.640213118720836</c:v>
              </c:pt>
              <c:pt idx="2488">
                <c:v>7.6395200401331849</c:v>
              </c:pt>
              <c:pt idx="2489">
                <c:v>7.6384402174939705</c:v>
              </c:pt>
              <c:pt idx="2490">
                <c:v>7.6380304924965134</c:v>
              </c:pt>
              <c:pt idx="2491">
                <c:v>7.6373110822141914</c:v>
              </c:pt>
              <c:pt idx="2492">
                <c:v>7.636591022955975</c:v>
              </c:pt>
              <c:pt idx="2493">
                <c:v>7.6355461211728599</c:v>
              </c:pt>
              <c:pt idx="2494">
                <c:v>7.6345122187630654</c:v>
              </c:pt>
              <c:pt idx="2495">
                <c:v>7.6337539654880393</c:v>
              </c:pt>
              <c:pt idx="2496">
                <c:v>7.6330271169726949</c:v>
              </c:pt>
              <c:pt idx="2497">
                <c:v>7.6322615455729634</c:v>
              </c:pt>
              <c:pt idx="2498">
                <c:v>7.6315136395874008</c:v>
              </c:pt>
              <c:pt idx="2499">
                <c:v>7.6304920670372525</c:v>
              </c:pt>
              <c:pt idx="2500">
                <c:v>7.6300234059294239</c:v>
              </c:pt>
              <c:pt idx="2501">
                <c:v>7.6292247412218197</c:v>
              </c:pt>
              <c:pt idx="2502">
                <c:v>7.6283893653519881</c:v>
              </c:pt>
              <c:pt idx="2503">
                <c:v>7.6272942197271139</c:v>
              </c:pt>
              <c:pt idx="2504">
                <c:v>7.6266963576772815</c:v>
              </c:pt>
              <c:pt idx="2505">
                <c:v>7.6258054815859833</c:v>
              </c:pt>
              <c:pt idx="2506">
                <c:v>7.6248901872043762</c:v>
              </c:pt>
              <c:pt idx="2507">
                <c:v>7.6239653985439073</c:v>
              </c:pt>
              <c:pt idx="2508">
                <c:v>7.6227704205244278</c:v>
              </c:pt>
              <c:pt idx="2509">
                <c:v>7.6220741336182796</c:v>
              </c:pt>
              <c:pt idx="2510">
                <c:v>7.6211099006508016</c:v>
              </c:pt>
              <c:pt idx="2511">
                <c:v>7.6201485356614649</c:v>
              </c:pt>
              <c:pt idx="2512">
                <c:v>7.619185386790555</c:v>
              </c:pt>
              <c:pt idx="2513">
                <c:v>7.6179886282446665</c:v>
              </c:pt>
              <c:pt idx="2514">
                <c:v>7.6172560524010446</c:v>
              </c:pt>
              <c:pt idx="2515">
                <c:v>7.6163341777903</c:v>
              </c:pt>
              <c:pt idx="2516">
                <c:v>7.615387434187892</c:v>
              </c:pt>
              <c:pt idx="2517">
                <c:v>7.614509338515572</c:v>
              </c:pt>
              <c:pt idx="2518">
                <c:v>7.6133306012034119</c:v>
              </c:pt>
              <c:pt idx="2519">
                <c:v>7.6127617878073472</c:v>
              </c:pt>
              <c:pt idx="2520">
                <c:v>7.6118867604086322</c:v>
              </c:pt>
              <c:pt idx="2521">
                <c:v>7.6110166834345279</c:v>
              </c:pt>
              <c:pt idx="2522">
                <c:v>7.6101267543452238</c:v>
              </c:pt>
              <c:pt idx="2523">
                <c:v>7.6089305052702603</c:v>
              </c:pt>
              <c:pt idx="2524">
                <c:v>7.6083428687792303</c:v>
              </c:pt>
              <c:pt idx="2525">
                <c:v>7.6074804090313481</c:v>
              </c:pt>
              <c:pt idx="2526">
                <c:v>7.6066006793878147</c:v>
              </c:pt>
              <c:pt idx="2527">
                <c:v>7.6057182622873514</c:v>
              </c:pt>
              <c:pt idx="2528">
                <c:v>7.6045252868922377</c:v>
              </c:pt>
              <c:pt idx="2529">
                <c:v>7.6039859149044728</c:v>
              </c:pt>
              <c:pt idx="2530">
                <c:v>7.6031152726738007</c:v>
              </c:pt>
              <c:pt idx="2531">
                <c:v>7.6022053507601255</c:v>
              </c:pt>
              <c:pt idx="2532">
                <c:v>7.601287970593825</c:v>
              </c:pt>
              <c:pt idx="2533">
                <c:v>7.6000644147771093</c:v>
              </c:pt>
              <c:pt idx="2534">
                <c:v>7.5994585977687006</c:v>
              </c:pt>
              <c:pt idx="2535">
                <c:v>7.5985236117531434</c:v>
              </c:pt>
              <c:pt idx="2536">
                <c:v>7.5975372165597967</c:v>
              </c:pt>
              <c:pt idx="2537">
                <c:v>7.5963293379743702</c:v>
              </c:pt>
              <c:pt idx="2538">
                <c:v>7.5956157847887411</c:v>
              </c:pt>
              <c:pt idx="2539">
                <c:v>7.5946874805250904</c:v>
              </c:pt>
              <c:pt idx="2540">
                <c:v>7.5937739449570483</c:v>
              </c:pt>
              <c:pt idx="2541">
                <c:v>7.5928564099691496</c:v>
              </c:pt>
              <c:pt idx="2542">
                <c:v>7.5916470649403296</c:v>
              </c:pt>
              <c:pt idx="2543">
                <c:v>7.5908198679003309</c:v>
              </c:pt>
              <c:pt idx="2544">
                <c:v>7.589793241194708</c:v>
              </c:pt>
              <c:pt idx="2545">
                <c:v>7.5887540495839607</c:v>
              </c:pt>
              <c:pt idx="2546">
                <c:v>7.5877490796346674</c:v>
              </c:pt>
              <c:pt idx="2547">
                <c:v>7.5865346911484481</c:v>
              </c:pt>
              <c:pt idx="2548">
                <c:v>7.5857333626235448</c:v>
              </c:pt>
              <c:pt idx="2549">
                <c:v>7.5846877231768444</c:v>
              </c:pt>
              <c:pt idx="2550">
                <c:v>7.5835738664081811</c:v>
              </c:pt>
              <c:pt idx="2551">
                <c:v>7.5824583709258127</c:v>
              </c:pt>
              <c:pt idx="2552">
                <c:v>7.5811837341670119</c:v>
              </c:pt>
              <c:pt idx="2553">
                <c:v>7.5802754597193198</c:v>
              </c:pt>
              <c:pt idx="2554">
                <c:v>7.5791869195282286</c:v>
              </c:pt>
              <c:pt idx="2555">
                <c:v>7.5780805588403908</c:v>
              </c:pt>
              <c:pt idx="2556">
                <c:v>7.5769799488829017</c:v>
              </c:pt>
              <c:pt idx="2557">
                <c:v>7.5757199044718302</c:v>
              </c:pt>
              <c:pt idx="2558">
                <c:v>7.5747527528718459</c:v>
              </c:pt>
              <c:pt idx="2559">
                <c:v>7.5735899890597294</c:v>
              </c:pt>
              <c:pt idx="2560">
                <c:v>7.5724509777381277</c:v>
              </c:pt>
              <c:pt idx="2561">
                <c:v>7.5713297759547862</c:v>
              </c:pt>
              <c:pt idx="2562">
                <c:v>7.5700129346425635</c:v>
              </c:pt>
              <c:pt idx="2563">
                <c:v>7.5689973422490056</c:v>
              </c:pt>
              <c:pt idx="2564">
                <c:v>7.5677938181091688</c:v>
              </c:pt>
              <c:pt idx="2565">
                <c:v>7.5666169068921958</c:v>
              </c:pt>
              <c:pt idx="2566">
                <c:v>7.5653816845612294</c:v>
              </c:pt>
              <c:pt idx="2567">
                <c:v>7.564024387818888</c:v>
              </c:pt>
              <c:pt idx="2568">
                <c:v>7.5629464037506349</c:v>
              </c:pt>
              <c:pt idx="2569">
                <c:v>7.5617026575355748</c:v>
              </c:pt>
              <c:pt idx="2570">
                <c:v>7.5605349118137157</c:v>
              </c:pt>
              <c:pt idx="2571">
                <c:v>7.5593595449212261</c:v>
              </c:pt>
              <c:pt idx="2572">
                <c:v>7.5579881911664897</c:v>
              </c:pt>
              <c:pt idx="2573">
                <c:v>7.557052681144766</c:v>
              </c:pt>
              <c:pt idx="2574">
                <c:v>7.5558966044644738</c:v>
              </c:pt>
              <c:pt idx="2575">
                <c:v>7.5546780681610262</c:v>
              </c:pt>
              <c:pt idx="2576">
                <c:v>7.5534454405051719</c:v>
              </c:pt>
              <c:pt idx="2577">
                <c:v>7.5520827922583873</c:v>
              </c:pt>
              <c:pt idx="2578">
                <c:v>7.5509552200472747</c:v>
              </c:pt>
              <c:pt idx="2579">
                <c:v>7.5497191566783037</c:v>
              </c:pt>
              <c:pt idx="2580">
                <c:v>7.5485396078186024</c:v>
              </c:pt>
              <c:pt idx="2581">
                <c:v>7.5473590498967198</c:v>
              </c:pt>
              <c:pt idx="2582">
                <c:v>7.5459695731611491</c:v>
              </c:pt>
              <c:pt idx="2583">
                <c:v>7.5450461418777648</c:v>
              </c:pt>
              <c:pt idx="2584">
                <c:v>7.5438783921399981</c:v>
              </c:pt>
              <c:pt idx="2585">
                <c:v>7.5427078254875273</c:v>
              </c:pt>
              <c:pt idx="2586">
                <c:v>7.5415701978626624</c:v>
              </c:pt>
              <c:pt idx="2587">
                <c:v>7.5401715707144801</c:v>
              </c:pt>
              <c:pt idx="2588">
                <c:v>7.5392876415470225</c:v>
              </c:pt>
              <c:pt idx="2589">
                <c:v>7.5381387986536321</c:v>
              </c:pt>
              <c:pt idx="2590">
                <c:v>7.5369848657236975</c:v>
              </c:pt>
              <c:pt idx="2591">
                <c:v>7.5358597921727251</c:v>
              </c:pt>
              <c:pt idx="2592">
                <c:v>7.5344555050352504</c:v>
              </c:pt>
              <c:pt idx="2593">
                <c:v>7.5336274425564786</c:v>
              </c:pt>
              <c:pt idx="2594">
                <c:v>7.5325114893241718</c:v>
              </c:pt>
              <c:pt idx="2595">
                <c:v>7.5313646260576412</c:v>
              </c:pt>
              <c:pt idx="2596">
                <c:v>7.5302423973477755</c:v>
              </c:pt>
              <c:pt idx="2597">
                <c:v>7.5288946309771649</c:v>
              </c:pt>
              <c:pt idx="2598">
                <c:v>7.5281300983942039</c:v>
              </c:pt>
              <c:pt idx="2599">
                <c:v>7.5271146580326382</c:v>
              </c:pt>
              <c:pt idx="2600">
                <c:v>7.5261173887366741</c:v>
              </c:pt>
              <c:pt idx="2601">
                <c:v>7.5250931809730979</c:v>
              </c:pt>
              <c:pt idx="2602">
                <c:v>7.5238120401126958</c:v>
              </c:pt>
              <c:pt idx="2603">
                <c:v>7.5230227005767212</c:v>
              </c:pt>
              <c:pt idx="2604">
                <c:v>7.5220350734839601</c:v>
              </c:pt>
              <c:pt idx="2605">
                <c:v>7.5210512858760845</c:v>
              </c:pt>
              <c:pt idx="2606">
                <c:v>7.5200638469508645</c:v>
              </c:pt>
              <c:pt idx="2607">
                <c:v>7.5187387102296963</c:v>
              </c:pt>
              <c:pt idx="2608">
                <c:v>7.51810330433376</c:v>
              </c:pt>
              <c:pt idx="2609">
                <c:v>7.5171056429431635</c:v>
              </c:pt>
              <c:pt idx="2610">
                <c:v>7.516098548150949</c:v>
              </c:pt>
              <c:pt idx="2611">
                <c:v>7.5151010360436175</c:v>
              </c:pt>
              <c:pt idx="2612">
                <c:v>7.5137408267927288</c:v>
              </c:pt>
              <c:pt idx="2613">
                <c:v>7.5130657104123353</c:v>
              </c:pt>
              <c:pt idx="2614">
                <c:v>7.5120729727339368</c:v>
              </c:pt>
              <c:pt idx="2615">
                <c:v>7.5111126796341905</c:v>
              </c:pt>
              <c:pt idx="2616">
                <c:v>7.5101542770049958</c:v>
              </c:pt>
              <c:pt idx="2617">
                <c:v>7.5088814595991087</c:v>
              </c:pt>
              <c:pt idx="2618">
                <c:v>7.5081194165824341</c:v>
              </c:pt>
              <c:pt idx="2619">
                <c:v>7.5071227234535707</c:v>
              </c:pt>
              <c:pt idx="2620">
                <c:v>7.5061133886099967</c:v>
              </c:pt>
              <c:pt idx="2621">
                <c:v>7.5050680915178001</c:v>
              </c:pt>
              <c:pt idx="2622">
                <c:v>7.503827241686281</c:v>
              </c:pt>
              <c:pt idx="2623">
                <c:v>7.5029696880157868</c:v>
              </c:pt>
              <c:pt idx="2624">
                <c:v>7.5019326304593168</c:v>
              </c:pt>
              <c:pt idx="2625">
                <c:v>7.5008787910297094</c:v>
              </c:pt>
              <c:pt idx="2626">
                <c:v>7.4997987014646617</c:v>
              </c:pt>
              <c:pt idx="2627">
                <c:v>7.498559698480566</c:v>
              </c:pt>
              <c:pt idx="2628">
                <c:v>7.4975414668770695</c:v>
              </c:pt>
              <c:pt idx="2629">
                <c:v>7.4964152844997241</c:v>
              </c:pt>
              <c:pt idx="2630">
                <c:v>7.495311047079575</c:v>
              </c:pt>
              <c:pt idx="2631">
                <c:v>7.4942492800673994</c:v>
              </c:pt>
              <c:pt idx="2632">
                <c:v>7.4930423503930648</c:v>
              </c:pt>
              <c:pt idx="2633">
                <c:v>7.4921484524199746</c:v>
              </c:pt>
              <c:pt idx="2634">
                <c:v>7.4911137342221394</c:v>
              </c:pt>
              <c:pt idx="2635">
                <c:v>7.4900742644876068</c:v>
              </c:pt>
              <c:pt idx="2636">
                <c:v>7.4890106911069587</c:v>
              </c:pt>
              <c:pt idx="2637">
                <c:v>7.4877842414775841</c:v>
              </c:pt>
              <c:pt idx="2638">
                <c:v>7.4868180822561063</c:v>
              </c:pt>
              <c:pt idx="2639">
                <c:v>7.4857695643750217</c:v>
              </c:pt>
              <c:pt idx="2640">
                <c:v>7.4846823575532913</c:v>
              </c:pt>
              <c:pt idx="2641">
                <c:v>7.4837127671217853</c:v>
              </c:pt>
              <c:pt idx="2642">
                <c:v>7.4826064769593215</c:v>
              </c:pt>
              <c:pt idx="2643">
                <c:v>7.4819079662303762</c:v>
              </c:pt>
              <c:pt idx="2644">
                <c:v>7.4810353307175017</c:v>
              </c:pt>
              <c:pt idx="2645">
                <c:v>7.4801440731858131</c:v>
              </c:pt>
              <c:pt idx="2646">
                <c:v>7.4792047382944338</c:v>
              </c:pt>
              <c:pt idx="2647">
                <c:v>7.4781804990042255</c:v>
              </c:pt>
              <c:pt idx="2648">
                <c:v>7.4774939692627918</c:v>
              </c:pt>
              <c:pt idx="2649">
                <c:v>7.4766310262593647</c:v>
              </c:pt>
              <c:pt idx="2650">
                <c:v>7.4757903607627645</c:v>
              </c:pt>
              <c:pt idx="2651">
                <c:v>7.4749678689697019</c:v>
              </c:pt>
              <c:pt idx="2652">
                <c:v>7.4739741466806606</c:v>
              </c:pt>
              <c:pt idx="2653">
                <c:v>7.4733120897213707</c:v>
              </c:pt>
              <c:pt idx="2654">
                <c:v>7.4724723217521589</c:v>
              </c:pt>
              <c:pt idx="2655">
                <c:v>7.4716271609951992</c:v>
              </c:pt>
              <c:pt idx="2656">
                <c:v>7.470829749415631</c:v>
              </c:pt>
              <c:pt idx="2657">
                <c:v>7.4698911828735906</c:v>
              </c:pt>
              <c:pt idx="2658">
                <c:v>7.4693233555366181</c:v>
              </c:pt>
              <c:pt idx="2659">
                <c:v>7.4685548969082038</c:v>
              </c:pt>
              <c:pt idx="2660">
                <c:v>7.4677406168230878</c:v>
              </c:pt>
              <c:pt idx="2661">
                <c:v>7.4668943620715655</c:v>
              </c:pt>
              <c:pt idx="2662">
                <c:v>7.4659292489132625</c:v>
              </c:pt>
              <c:pt idx="2663">
                <c:v>7.4652520574602876</c:v>
              </c:pt>
              <c:pt idx="2664">
                <c:v>7.4644288587461753</c:v>
              </c:pt>
              <c:pt idx="2665">
                <c:v>7.4635503300791299</c:v>
              </c:pt>
              <c:pt idx="2666">
                <c:v>7.4626953318352998</c:v>
              </c:pt>
              <c:pt idx="2667">
                <c:v>7.4617304762555232</c:v>
              </c:pt>
              <c:pt idx="2668">
                <c:v>7.4609446322492348</c:v>
              </c:pt>
              <c:pt idx="2669">
                <c:v>7.4600637510018393</c:v>
              </c:pt>
              <c:pt idx="2670">
                <c:v>7.4591627209997471</c:v>
              </c:pt>
              <c:pt idx="2671">
                <c:v>7.4582708726146372</c:v>
              </c:pt>
              <c:pt idx="2672">
                <c:v>7.4573184163539121</c:v>
              </c:pt>
              <c:pt idx="2673">
                <c:v>7.4564662606251062</c:v>
              </c:pt>
              <c:pt idx="2674">
                <c:v>7.4555113739473864</c:v>
              </c:pt>
              <c:pt idx="2675">
                <c:v>7.454503267698426</c:v>
              </c:pt>
              <c:pt idx="2676">
                <c:v>7.4535630605412591</c:v>
              </c:pt>
              <c:pt idx="2677">
                <c:v>7.4526234546721115</c:v>
              </c:pt>
              <c:pt idx="2678">
                <c:v>7.4516715974136636</c:v>
              </c:pt>
              <c:pt idx="2679">
                <c:v>7.4506257313325763</c:v>
              </c:pt>
              <c:pt idx="2680">
                <c:v>7.4496832994689628</c:v>
              </c:pt>
              <c:pt idx="2681">
                <c:v>7.4486761739606822</c:v>
              </c:pt>
              <c:pt idx="2682">
                <c:v>7.4476606443323208</c:v>
              </c:pt>
              <c:pt idx="2683">
                <c:v>7.4466060445758355</c:v>
              </c:pt>
              <c:pt idx="2684">
                <c:v>7.4455633529106917</c:v>
              </c:pt>
              <c:pt idx="2685">
                <c:v>7.4444940596389886</c:v>
              </c:pt>
              <c:pt idx="2686">
                <c:v>7.4434532229571513</c:v>
              </c:pt>
              <c:pt idx="2687">
                <c:v>7.4423928218115076</c:v>
              </c:pt>
              <c:pt idx="2688">
                <c:v>7.441359507058074</c:v>
              </c:pt>
              <c:pt idx="2689">
                <c:v>7.4403588311358986</c:v>
              </c:pt>
              <c:pt idx="2690">
                <c:v>7.4392457732014954</c:v>
              </c:pt>
              <c:pt idx="2691">
                <c:v>7.4381929320238021</c:v>
              </c:pt>
              <c:pt idx="2692">
                <c:v>7.4371590768306461</c:v>
              </c:pt>
              <c:pt idx="2693">
                <c:v>7.4361551204414909</c:v>
              </c:pt>
              <c:pt idx="2694">
                <c:v>7.4350014881067157</c:v>
              </c:pt>
              <c:pt idx="2695">
                <c:v>7.4338833693869679</c:v>
              </c:pt>
              <c:pt idx="2696">
                <c:v>7.4327892804476408</c:v>
              </c:pt>
              <c:pt idx="2697">
                <c:v>7.4316936714066744</c:v>
              </c:pt>
              <c:pt idx="2698">
                <c:v>7.4306880592718469</c:v>
              </c:pt>
              <c:pt idx="2699">
                <c:v>7.4296109894892757</c:v>
              </c:pt>
              <c:pt idx="2700">
                <c:v>7.4285551020997858</c:v>
              </c:pt>
              <c:pt idx="2701">
                <c:v>7.4274958046991371</c:v>
              </c:pt>
              <c:pt idx="2702">
                <c:v>7.4264337978837558</c:v>
              </c:pt>
              <c:pt idx="2703">
                <c:v>7.4253659367608043</c:v>
              </c:pt>
              <c:pt idx="2704">
                <c:v>7.4243180430339883</c:v>
              </c:pt>
              <c:pt idx="2705">
                <c:v>7.4232706061623333</c:v>
              </c:pt>
              <c:pt idx="2706">
                <c:v>7.4222652230182149</c:v>
              </c:pt>
              <c:pt idx="2707">
                <c:v>7.4212747179149581</c:v>
              </c:pt>
              <c:pt idx="2708">
                <c:v>7.4202386279391828</c:v>
              </c:pt>
              <c:pt idx="2709">
                <c:v>7.419312327166903</c:v>
              </c:pt>
              <c:pt idx="2710">
                <c:v>7.4183231107441827</c:v>
              </c:pt>
              <c:pt idx="2711">
                <c:v>7.4173507649756836</c:v>
              </c:pt>
              <c:pt idx="2712">
                <c:v>7.4163341616218164</c:v>
              </c:pt>
              <c:pt idx="2713">
                <c:v>7.415246734713639</c:v>
              </c:pt>
              <c:pt idx="2714">
                <c:v>7.4143449029296367</c:v>
              </c:pt>
              <c:pt idx="2715">
                <c:v>7.4133790377016853</c:v>
              </c:pt>
              <c:pt idx="2716">
                <c:v>7.412460517145905</c:v>
              </c:pt>
              <c:pt idx="2717">
                <c:v>7.4115306670695711</c:v>
              </c:pt>
              <c:pt idx="2718">
                <c:v>7.4104680621897341</c:v>
              </c:pt>
              <c:pt idx="2719">
                <c:v>7.4097389708343542</c:v>
              </c:pt>
              <c:pt idx="2720">
                <c:v>7.4088340279875631</c:v>
              </c:pt>
              <c:pt idx="2721">
                <c:v>7.4079538652617281</c:v>
              </c:pt>
              <c:pt idx="2722">
                <c:v>7.4070917251416626</c:v>
              </c:pt>
              <c:pt idx="2723">
                <c:v>7.4061111884896427</c:v>
              </c:pt>
              <c:pt idx="2724">
                <c:v>7.4053543772452377</c:v>
              </c:pt>
              <c:pt idx="2725">
                <c:v>7.4045105223382341</c:v>
              </c:pt>
              <c:pt idx="2726">
                <c:v>7.4036247790015679</c:v>
              </c:pt>
              <c:pt idx="2727">
                <c:v>7.4026623431762921</c:v>
              </c:pt>
              <c:pt idx="2728">
                <c:v>7.4016310515188781</c:v>
              </c:pt>
              <c:pt idx="2729">
                <c:v>7.4007523632658003</c:v>
              </c:pt>
              <c:pt idx="2730">
                <c:v>7.3997739773754194</c:v>
              </c:pt>
              <c:pt idx="2731">
                <c:v>7.3987754768489564</c:v>
              </c:pt>
              <c:pt idx="2732">
                <c:v>7.3977584499988156</c:v>
              </c:pt>
              <c:pt idx="2733">
                <c:v>7.3966839076694759</c:v>
              </c:pt>
              <c:pt idx="2734">
                <c:v>7.3957038499300207</c:v>
              </c:pt>
              <c:pt idx="2735">
                <c:v>7.394662458820159</c:v>
              </c:pt>
              <c:pt idx="2736">
                <c:v>7.393623076047481</c:v>
              </c:pt>
              <c:pt idx="2737">
                <c:v>7.3925542072000532</c:v>
              </c:pt>
              <c:pt idx="2738">
                <c:v>7.3914568694053617</c:v>
              </c:pt>
              <c:pt idx="2739">
                <c:v>7.3904042270108929</c:v>
              </c:pt>
              <c:pt idx="2740">
                <c:v>7.3893047802771239</c:v>
              </c:pt>
              <c:pt idx="2741">
                <c:v>7.3881995072634368</c:v>
              </c:pt>
              <c:pt idx="2742">
                <c:v>7.387052959128634</c:v>
              </c:pt>
              <c:pt idx="2743">
                <c:v>7.3858941369572353</c:v>
              </c:pt>
              <c:pt idx="2744">
                <c:v>7.3847780887468044</c:v>
              </c:pt>
              <c:pt idx="2745">
                <c:v>7.383647751065781</c:v>
              </c:pt>
              <c:pt idx="2746">
                <c:v>7.3824913096560509</c:v>
              </c:pt>
              <c:pt idx="2747">
                <c:v>7.3813137162172957</c:v>
              </c:pt>
              <c:pt idx="2748">
                <c:v>7.3801656555054524</c:v>
              </c:pt>
              <c:pt idx="2749">
                <c:v>7.3790014127606938</c:v>
              </c:pt>
              <c:pt idx="2750">
                <c:v>7.3778375384499997</c:v>
              </c:pt>
              <c:pt idx="2751">
                <c:v>7.3766785392011096</c:v>
              </c:pt>
              <c:pt idx="2752">
                <c:v>7.3756434857077346</c:v>
              </c:pt>
              <c:pt idx="2753">
                <c:v>7.3745778257265</c:v>
              </c:pt>
              <c:pt idx="2754">
                <c:v>7.3734997546240555</c:v>
              </c:pt>
              <c:pt idx="2755">
                <c:v>7.372359213975562</c:v>
              </c:pt>
              <c:pt idx="2756">
                <c:v>7.3713662820719899</c:v>
              </c:pt>
              <c:pt idx="2757">
                <c:v>7.370322746517636</c:v>
              </c:pt>
              <c:pt idx="2758">
                <c:v>7.3692751617651453</c:v>
              </c:pt>
              <c:pt idx="2759">
                <c:v>7.3682387677355283</c:v>
              </c:pt>
              <c:pt idx="2760">
                <c:v>7.3671343799697047</c:v>
              </c:pt>
              <c:pt idx="2761">
                <c:v>7.366174995783104</c:v>
              </c:pt>
              <c:pt idx="2762">
                <c:v>7.3651606508598269</c:v>
              </c:pt>
              <c:pt idx="2763">
                <c:v>7.3640964093871712</c:v>
              </c:pt>
              <c:pt idx="2764">
                <c:v>7.3630535697655413</c:v>
              </c:pt>
              <c:pt idx="2765">
                <c:v>7.361942536997506</c:v>
              </c:pt>
              <c:pt idx="2766">
                <c:v>7.3609137093045147</c:v>
              </c:pt>
              <c:pt idx="2767">
                <c:v>7.3598318927890451</c:v>
              </c:pt>
              <c:pt idx="2768">
                <c:v>7.3587143213443378</c:v>
              </c:pt>
              <c:pt idx="2769">
                <c:v>7.3575741389608593</c:v>
              </c:pt>
              <c:pt idx="2770">
                <c:v>7.3563962113215036</c:v>
              </c:pt>
              <c:pt idx="2771">
                <c:v>7.3552552794024004</c:v>
              </c:pt>
              <c:pt idx="2772">
                <c:v>7.3540695844523496</c:v>
              </c:pt>
              <c:pt idx="2773">
                <c:v>7.3528991930885033</c:v>
              </c:pt>
              <c:pt idx="2774">
                <c:v>7.3517228566096158</c:v>
              </c:pt>
              <c:pt idx="2775">
                <c:v>7.3505181160999085</c:v>
              </c:pt>
              <c:pt idx="2776">
                <c:v>7.3493162166346915</c:v>
              </c:pt>
              <c:pt idx="2777">
                <c:v>7.3480966682692461</c:v>
              </c:pt>
              <c:pt idx="2778">
                <c:v>7.3468775532747044</c:v>
              </c:pt>
              <c:pt idx="2779">
                <c:v>7.3456470905951115</c:v>
              </c:pt>
              <c:pt idx="2780">
                <c:v>7.3444432277925147</c:v>
              </c:pt>
              <c:pt idx="2781">
                <c:v>7.3431255167202121</c:v>
              </c:pt>
              <c:pt idx="2782">
                <c:v>7.3418304725919405</c:v>
              </c:pt>
              <c:pt idx="2783">
                <c:v>7.3405284590819901</c:v>
              </c:pt>
              <c:pt idx="2784">
                <c:v>7.3391723279841772</c:v>
              </c:pt>
              <c:pt idx="2785">
                <c:v>7.3379587248707532</c:v>
              </c:pt>
              <c:pt idx="2786">
                <c:v>7.3364152470088548</c:v>
              </c:pt>
              <c:pt idx="2787">
                <c:v>7.3350422047846058</c:v>
              </c:pt>
              <c:pt idx="2788">
                <c:v>7.3336279225288168</c:v>
              </c:pt>
              <c:pt idx="2789">
                <c:v>7.3324107313773883</c:v>
              </c:pt>
              <c:pt idx="2790">
                <c:v>7.3308392142575931</c:v>
              </c:pt>
              <c:pt idx="2791">
                <c:v>7.3294602226904546</c:v>
              </c:pt>
              <c:pt idx="2792">
                <c:v>7.3280376250960941</c:v>
              </c:pt>
              <c:pt idx="2793">
                <c:v>7.3266033524233034</c:v>
              </c:pt>
              <c:pt idx="2794">
                <c:v>7.3253652082465006</c:v>
              </c:pt>
              <c:pt idx="2795">
                <c:v>7.3237197752272749</c:v>
              </c:pt>
              <c:pt idx="2796">
                <c:v>7.3222830126161771</c:v>
              </c:pt>
              <c:pt idx="2797">
                <c:v>7.3208711162188607</c:v>
              </c:pt>
              <c:pt idx="2798">
                <c:v>7.3194679977434154</c:v>
              </c:pt>
              <c:pt idx="2799">
                <c:v>7.3183271598993711</c:v>
              </c:pt>
              <c:pt idx="2800">
                <c:v>7.3167891714271587</c:v>
              </c:pt>
              <c:pt idx="2801">
                <c:v>7.3154195650132161</c:v>
              </c:pt>
              <c:pt idx="2802">
                <c:v>7.3140292462942735</c:v>
              </c:pt>
              <c:pt idx="2803">
                <c:v>7.3126251435881438</c:v>
              </c:pt>
              <c:pt idx="2804">
                <c:v>7.3115146091748811</c:v>
              </c:pt>
              <c:pt idx="2805">
                <c:v>7.3098120344532624</c:v>
              </c:pt>
              <c:pt idx="2806">
                <c:v>7.3084607747149564</c:v>
              </c:pt>
              <c:pt idx="2807">
                <c:v>7.307067094154557</c:v>
              </c:pt>
              <c:pt idx="2808">
                <c:v>7.3056394647611347</c:v>
              </c:pt>
              <c:pt idx="2809">
                <c:v>7.3045203784580748</c:v>
              </c:pt>
              <c:pt idx="2810">
                <c:v>7.3028211542730341</c:v>
              </c:pt>
              <c:pt idx="2811">
                <c:v>7.3014215119797763</c:v>
              </c:pt>
              <c:pt idx="2812">
                <c:v>7.3000094226559549</c:v>
              </c:pt>
              <c:pt idx="2813">
                <c:v>7.2985996349354965</c:v>
              </c:pt>
              <c:pt idx="2814">
                <c:v>7.2974696380650999</c:v>
              </c:pt>
              <c:pt idx="2815">
                <c:v>7.2957395294554006</c:v>
              </c:pt>
              <c:pt idx="2816">
                <c:v>7.2942866659190235</c:v>
              </c:pt>
              <c:pt idx="2817">
                <c:v>7.2928376347950357</c:v>
              </c:pt>
              <c:pt idx="2818">
                <c:v>7.2914425525269149</c:v>
              </c:pt>
              <c:pt idx="2819">
                <c:v>7.290302576373068</c:v>
              </c:pt>
              <c:pt idx="2820">
                <c:v>7.2885593694775448</c:v>
              </c:pt>
              <c:pt idx="2821">
                <c:v>7.2871686072801536</c:v>
              </c:pt>
              <c:pt idx="2822">
                <c:v>7.285758737534942</c:v>
              </c:pt>
              <c:pt idx="2823">
                <c:v>7.2843289675121436</c:v>
              </c:pt>
              <c:pt idx="2824">
                <c:v>7.2831605128308077</c:v>
              </c:pt>
              <c:pt idx="2825">
                <c:v>7.2814470110537313</c:v>
              </c:pt>
              <c:pt idx="2826">
                <c:v>7.2799688906766553</c:v>
              </c:pt>
              <c:pt idx="2827">
                <c:v>7.2784776781461735</c:v>
              </c:pt>
              <c:pt idx="2828">
                <c:v>7.2770501624447936</c:v>
              </c:pt>
              <c:pt idx="2829">
                <c:v>7.275868850854958</c:v>
              </c:pt>
              <c:pt idx="2830">
                <c:v>7.2740813884303082</c:v>
              </c:pt>
              <c:pt idx="2831">
                <c:v>7.2726570483870914</c:v>
              </c:pt>
              <c:pt idx="2832">
                <c:v>7.2712478746208538</c:v>
              </c:pt>
              <c:pt idx="2833">
                <c:v>7.269868197965712</c:v>
              </c:pt>
              <c:pt idx="2834">
                <c:v>7.2687019043847272</c:v>
              </c:pt>
              <c:pt idx="2835">
                <c:v>7.2670362010376346</c:v>
              </c:pt>
              <c:pt idx="2836">
                <c:v>7.2656174496125931</c:v>
              </c:pt>
              <c:pt idx="2837">
                <c:v>7.2641818993880358</c:v>
              </c:pt>
              <c:pt idx="2838">
                <c:v>7.2627230544071582</c:v>
              </c:pt>
              <c:pt idx="2839">
                <c:v>7.2615695308335839</c:v>
              </c:pt>
              <c:pt idx="2840">
                <c:v>7.2598066016903529</c:v>
              </c:pt>
              <c:pt idx="2841">
                <c:v>7.2583814704907228</c:v>
              </c:pt>
              <c:pt idx="2842">
                <c:v>7.2569580251129917</c:v>
              </c:pt>
              <c:pt idx="2843">
                <c:v>7.2555430547029749</c:v>
              </c:pt>
              <c:pt idx="2844">
                <c:v>7.2543984678799305</c:v>
              </c:pt>
              <c:pt idx="2845">
                <c:v>7.2532371284201043</c:v>
              </c:pt>
              <c:pt idx="2846">
                <c:v>7.2520981503677557</c:v>
              </c:pt>
              <c:pt idx="2847">
                <c:v>7.2509256830101876</c:v>
              </c:pt>
              <c:pt idx="2848">
                <c:v>7.2497710977061995</c:v>
              </c:pt>
              <c:pt idx="2849">
                <c:v>7.2485897658222385</c:v>
              </c:pt>
              <c:pt idx="2850">
                <c:v>7.2474176599336424</c:v>
              </c:pt>
              <c:pt idx="2851">
                <c:v>7.246261183869585</c:v>
              </c:pt>
              <c:pt idx="2852">
                <c:v>7.2451180940054227</c:v>
              </c:pt>
              <c:pt idx="2853">
                <c:v>7.244001747906907</c:v>
              </c:pt>
              <c:pt idx="2854">
                <c:v>7.2428898400337944</c:v>
              </c:pt>
              <c:pt idx="2855">
                <c:v>7.2418026897292735</c:v>
              </c:pt>
              <c:pt idx="2856">
                <c:v>7.2407199514166178</c:v>
              </c:pt>
              <c:pt idx="2857">
                <c:v>7.2396438467088524</c:v>
              </c:pt>
              <c:pt idx="2858">
                <c:v>7.2385676894228625</c:v>
              </c:pt>
              <c:pt idx="2859">
                <c:v>7.237475907113315</c:v>
              </c:pt>
              <c:pt idx="2860">
                <c:v>7.2363865828857259</c:v>
              </c:pt>
              <c:pt idx="2861">
                <c:v>7.2352838846810501</c:v>
              </c:pt>
              <c:pt idx="2862">
                <c:v>7.2341878201318535</c:v>
              </c:pt>
              <c:pt idx="2863">
                <c:v>7.2331244753538302</c:v>
              </c:pt>
              <c:pt idx="2864">
                <c:v>7.2320521949652052</c:v>
              </c:pt>
              <c:pt idx="2865">
                <c:v>7.2309913821219824</c:v>
              </c:pt>
              <c:pt idx="2866">
                <c:v>7.2299177691470442</c:v>
              </c:pt>
              <c:pt idx="2867">
                <c:v>7.2288286415907708</c:v>
              </c:pt>
              <c:pt idx="2868">
                <c:v>7.2277284552107997</c:v>
              </c:pt>
              <c:pt idx="2869">
                <c:v>7.226643799468806</c:v>
              </c:pt>
              <c:pt idx="2870">
                <c:v>7.2255595504411225</c:v>
              </c:pt>
              <c:pt idx="2871">
                <c:v>7.2244797423897884</c:v>
              </c:pt>
              <c:pt idx="2872">
                <c:v>7.2233933082054449</c:v>
              </c:pt>
              <c:pt idx="2873">
                <c:v>7.2223002574744983</c:v>
              </c:pt>
              <c:pt idx="2874">
                <c:v>7.221202809326619</c:v>
              </c:pt>
              <c:pt idx="2875">
                <c:v>7.2200836959679489</c:v>
              </c:pt>
              <c:pt idx="2876">
                <c:v>7.218971608531576</c:v>
              </c:pt>
              <c:pt idx="2877">
                <c:v>7.2178419042304958</c:v>
              </c:pt>
              <c:pt idx="2878">
                <c:v>7.2167298804695008</c:v>
              </c:pt>
              <c:pt idx="2879">
                <c:v>7.2156244976575499</c:v>
              </c:pt>
              <c:pt idx="2880">
                <c:v>7.2145261175088642</c:v>
              </c:pt>
              <c:pt idx="2881">
                <c:v>7.2134167403020069</c:v>
              </c:pt>
              <c:pt idx="2882">
                <c:v>7.2123007850052057</c:v>
              </c:pt>
              <c:pt idx="2883">
                <c:v>7.2111826610032805</c:v>
              </c:pt>
              <c:pt idx="2884">
                <c:v>7.2100753101754878</c:v>
              </c:pt>
              <c:pt idx="2885">
                <c:v>7.2089464004285286</c:v>
              </c:pt>
              <c:pt idx="2886">
                <c:v>7.2077892107893442</c:v>
              </c:pt>
            </c:numLit>
          </c:val>
          <c:smooth val="0"/>
          <c:extLst>
            <c:ext xmlns:c16="http://schemas.microsoft.com/office/drawing/2014/chart" uri="{C3380CC4-5D6E-409C-BE32-E72D297353CC}">
              <c16:uniqueId val="{0000000A-4557-4156-8111-616AB5FB2C46}"/>
            </c:ext>
          </c:extLst>
        </c:ser>
        <c:dLbls>
          <c:showLegendKey val="0"/>
          <c:showVal val="0"/>
          <c:showCatName val="0"/>
          <c:showSerName val="0"/>
          <c:showPercent val="0"/>
          <c:showBubbleSize val="0"/>
        </c:dLbls>
        <c:smooth val="0"/>
        <c:axId val="167799040"/>
        <c:axId val="167829504"/>
      </c:lineChart>
      <c:catAx>
        <c:axId val="167799040"/>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67829504"/>
        <c:crosses val="autoZero"/>
        <c:auto val="1"/>
        <c:lblAlgn val="ctr"/>
        <c:lblOffset val="100"/>
        <c:tickLblSkip val="255"/>
        <c:noMultiLvlLbl val="0"/>
      </c:catAx>
      <c:valAx>
        <c:axId val="16782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AU" sz="1100" b="1">
                    <a:solidFill>
                      <a:schemeClr val="tx2"/>
                    </a:solidFill>
                  </a:rPr>
                  <a:t>Annualised</a:t>
                </a:r>
                <a:r>
                  <a:rPr lang="en-AU" sz="1100" b="1" baseline="0">
                    <a:solidFill>
                      <a:schemeClr val="tx2"/>
                    </a:solidFill>
                  </a:rPr>
                  <a:t> Yield (%)</a:t>
                </a:r>
                <a:endParaRPr lang="en-AU" sz="1100" b="1">
                  <a:solidFill>
                    <a:schemeClr val="tx2"/>
                  </a:solidFill>
                </a:endParaRPr>
              </a:p>
            </c:rich>
          </c:tx>
          <c:layout>
            <c:manualLayout>
              <c:xMode val="edge"/>
              <c:yMode val="edge"/>
              <c:x val="4.8721071863580996E-3"/>
              <c:y val="0.34180892388451445"/>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crossAx val="167799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Charts_Capex!$O$189</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1-EB97-4DBE-A9F2-96577B2987AC}"/>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3-EB97-4DBE-A9F2-96577B2987A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Charts_Capex!$P$189:$AE$189</c:f>
              <c:numCache>
                <c:formatCode>_(#,##0.0_);\(#,##0.0\);_("-"_)</c:formatCode>
                <c:ptCount val="16"/>
                <c:pt idx="0">
                  <c:v>19.109929613092337</c:v>
                </c:pt>
                <c:pt idx="1">
                  <c:v>10.859686563223205</c:v>
                </c:pt>
                <c:pt idx="2">
                  <c:v>13.464826517578205</c:v>
                </c:pt>
                <c:pt idx="3">
                  <c:v>15.330973907253373</c:v>
                </c:pt>
                <c:pt idx="4">
                  <c:v>16.904882541263301</c:v>
                </c:pt>
                <c:pt idx="5">
                  <c:v>16.020515282316069</c:v>
                </c:pt>
                <c:pt idx="6">
                  <c:v>18.034972361039578</c:v>
                </c:pt>
                <c:pt idx="7">
                  <c:v>14.731192292311784</c:v>
                </c:pt>
                <c:pt idx="8">
                  <c:v>12.309522059828577</c:v>
                </c:pt>
                <c:pt idx="9">
                  <c:v>11.071070222845824</c:v>
                </c:pt>
                <c:pt idx="10">
                  <c:v>11.582349621752176</c:v>
                </c:pt>
                <c:pt idx="11">
                  <c:v>#N/A</c:v>
                </c:pt>
                <c:pt idx="12">
                  <c:v>#N/A</c:v>
                </c:pt>
                <c:pt idx="13">
                  <c:v>#N/A</c:v>
                </c:pt>
                <c:pt idx="14">
                  <c:v>#N/A</c:v>
                </c:pt>
                <c:pt idx="15">
                  <c:v>#N/A</c:v>
                </c:pt>
              </c:numCache>
            </c:numRef>
          </c:val>
          <c:extLst>
            <c:ext xmlns:c16="http://schemas.microsoft.com/office/drawing/2014/chart" uri="{C3380CC4-5D6E-409C-BE32-E72D297353CC}">
              <c16:uniqueId val="{00000004-EB97-4DBE-A9F2-96577B2987AC}"/>
            </c:ext>
          </c:extLst>
        </c:ser>
        <c:ser>
          <c:idx val="3"/>
          <c:order val="1"/>
          <c:tx>
            <c:strRef>
              <c:f>Charts_Capex!$O$190</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Charts_Capex!$P$190:$AE$190</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12.647893670135225</c:v>
                </c:pt>
                <c:pt idx="12">
                  <c:v>13.378655156962429</c:v>
                </c:pt>
                <c:pt idx="13">
                  <c:v>13.564976556766927</c:v>
                </c:pt>
                <c:pt idx="14">
                  <c:v>11.49268757276556</c:v>
                </c:pt>
                <c:pt idx="15">
                  <c:v>11.589754799327023</c:v>
                </c:pt>
              </c:numCache>
            </c:numRef>
          </c:val>
          <c:extLst>
            <c:ext xmlns:c16="http://schemas.microsoft.com/office/drawing/2014/chart" uri="{C3380CC4-5D6E-409C-BE32-E72D297353CC}">
              <c16:uniqueId val="{00000005-EB97-4DBE-A9F2-96577B2987AC}"/>
            </c:ext>
          </c:extLst>
        </c:ser>
        <c:dLbls>
          <c:showLegendKey val="0"/>
          <c:showVal val="0"/>
          <c:showCatName val="0"/>
          <c:showSerName val="0"/>
          <c:showPercent val="0"/>
          <c:showBubbleSize val="0"/>
        </c:dLbls>
        <c:gapWidth val="20"/>
        <c:overlap val="100"/>
        <c:axId val="167931904"/>
        <c:axId val="167933440"/>
      </c:barChart>
      <c:catAx>
        <c:axId val="16793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7933440"/>
        <c:crosses val="autoZero"/>
        <c:auto val="1"/>
        <c:lblAlgn val="ctr"/>
        <c:lblOffset val="100"/>
        <c:noMultiLvlLbl val="0"/>
      </c:catAx>
      <c:valAx>
        <c:axId val="16793344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Charts_Capex!$P$197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7931904"/>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CUSTOMER_O!$D$36</c:f>
              <c:strCache>
                <c:ptCount val="1"/>
                <c:pt idx="0">
                  <c:v>Total Opex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1-03F3-4BB2-B957-C5CB065376E7}"/>
              </c:ext>
            </c:extLst>
          </c:dPt>
          <c:dPt>
            <c:idx val="1"/>
            <c:invertIfNegative val="0"/>
            <c:bubble3D val="0"/>
            <c:extLst>
              <c:ext xmlns:c16="http://schemas.microsoft.com/office/drawing/2014/chart" uri="{C3380CC4-5D6E-409C-BE32-E72D297353CC}">
                <c16:uniqueId val="{00000003-03F3-4BB2-B957-C5CB065376E7}"/>
              </c:ext>
            </c:extLst>
          </c:dPt>
          <c:dPt>
            <c:idx val="2"/>
            <c:invertIfNegative val="0"/>
            <c:bubble3D val="0"/>
            <c:extLst>
              <c:ext xmlns:c16="http://schemas.microsoft.com/office/drawing/2014/chart" uri="{C3380CC4-5D6E-409C-BE32-E72D297353CC}">
                <c16:uniqueId val="{00000005-03F3-4BB2-B957-C5CB065376E7}"/>
              </c:ext>
            </c:extLst>
          </c:dPt>
          <c:dPt>
            <c:idx val="3"/>
            <c:invertIfNegative val="0"/>
            <c:bubble3D val="0"/>
            <c:extLst>
              <c:ext xmlns:c16="http://schemas.microsoft.com/office/drawing/2014/chart" uri="{C3380CC4-5D6E-409C-BE32-E72D297353CC}">
                <c16:uniqueId val="{00000007-03F3-4BB2-B957-C5CB065376E7}"/>
              </c:ext>
            </c:extLst>
          </c:dPt>
          <c:dPt>
            <c:idx val="4"/>
            <c:invertIfNegative val="0"/>
            <c:bubble3D val="0"/>
            <c:extLst>
              <c:ext xmlns:c16="http://schemas.microsoft.com/office/drawing/2014/chart" uri="{C3380CC4-5D6E-409C-BE32-E72D297353CC}">
                <c16:uniqueId val="{00000009-03F3-4BB2-B957-C5CB065376E7}"/>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B-03F3-4BB2-B957-C5CB065376E7}"/>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D-03F3-4BB2-B957-C5CB065376E7}"/>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F-03F3-4BB2-B957-C5CB065376E7}"/>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11-03F3-4BB2-B957-C5CB065376E7}"/>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13-03F3-4BB2-B957-C5CB065376E7}"/>
              </c:ext>
            </c:extLst>
          </c:dPt>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CUSTOMER_O!$E$36:$N$36</c:f>
              <c:numCache>
                <c:formatCode>_-* #,##0.0_-;\-* #,##0.0_-;_-* "-"??_-;_-@_-</c:formatCode>
                <c:ptCount val="10"/>
                <c:pt idx="0">
                  <c:v>80.833403341474423</c:v>
                </c:pt>
                <c:pt idx="1">
                  <c:v>85.9020533380328</c:v>
                </c:pt>
                <c:pt idx="2">
                  <c:v>70.912937930713994</c:v>
                </c:pt>
                <c:pt idx="3">
                  <c:v>75.793555074662947</c:v>
                </c:pt>
                <c:pt idx="4">
                  <c:v>75.793555074662947</c:v>
                </c:pt>
                <c:pt idx="5">
                  <c:v>66.045886352030877</c:v>
                </c:pt>
                <c:pt idx="6">
                  <c:v>66.948958828524951</c:v>
                </c:pt>
                <c:pt idx="7">
                  <c:v>67.954893904293939</c:v>
                </c:pt>
                <c:pt idx="8">
                  <c:v>68.783794117626343</c:v>
                </c:pt>
                <c:pt idx="9">
                  <c:v>69.517568954487444</c:v>
                </c:pt>
              </c:numCache>
            </c:numRef>
          </c:val>
          <c:extLst>
            <c:ext xmlns:c16="http://schemas.microsoft.com/office/drawing/2014/chart" uri="{C3380CC4-5D6E-409C-BE32-E72D297353CC}">
              <c16:uniqueId val="{00000014-03F3-4BB2-B957-C5CB065376E7}"/>
            </c:ext>
          </c:extLst>
        </c:ser>
        <c:dLbls>
          <c:showLegendKey val="0"/>
          <c:showVal val="0"/>
          <c:showCatName val="0"/>
          <c:showSerName val="0"/>
          <c:showPercent val="0"/>
          <c:showBubbleSize val="0"/>
        </c:dLbls>
        <c:gapWidth val="20"/>
        <c:axId val="169124608"/>
        <c:axId val="169126144"/>
      </c:barChart>
      <c:lineChart>
        <c:grouping val="standard"/>
        <c:varyColors val="0"/>
        <c:ser>
          <c:idx val="1"/>
          <c:order val="1"/>
          <c:tx>
            <c:strRef>
              <c:f>CUSTOMER_O!$D$37</c:f>
              <c:strCache>
                <c:ptCount val="1"/>
                <c:pt idx="0">
                  <c:v>Opex per Customer ($)</c:v>
                </c:pt>
              </c:strCache>
            </c:strRef>
          </c:tx>
          <c:spPr>
            <a:ln w="28575" cap="rnd">
              <a:solidFill>
                <a:srgbClr val="FFD339"/>
              </a:solidFill>
              <a:round/>
            </a:ln>
            <a:effectLst/>
          </c:spPr>
          <c:marker>
            <c:symbol val="none"/>
          </c:marker>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CUSTOMER_O!$E$37:$N$37</c:f>
              <c:numCache>
                <c:formatCode>_-* #,##0.0_-;\-* #,##0.0_-;_-* "-"??_-;_-@_-</c:formatCode>
                <c:ptCount val="10"/>
                <c:pt idx="0">
                  <c:v>996.57757075457619</c:v>
                </c:pt>
                <c:pt idx="1">
                  <c:v>1036.0254880061846</c:v>
                </c:pt>
                <c:pt idx="2">
                  <c:v>848.37280833998102</c:v>
                </c:pt>
                <c:pt idx="3">
                  <c:v>902.74485254306217</c:v>
                </c:pt>
                <c:pt idx="4">
                  <c:v>897.81515132270738</c:v>
                </c:pt>
                <c:pt idx="5">
                  <c:v>776.35281117207626</c:v>
                </c:pt>
                <c:pt idx="6">
                  <c:v>779.85461313629855</c:v>
                </c:pt>
                <c:pt idx="7">
                  <c:v>784.32721118516565</c:v>
                </c:pt>
                <c:pt idx="8">
                  <c:v>790.36395318318637</c:v>
                </c:pt>
                <c:pt idx="9">
                  <c:v>795.22265130563653</c:v>
                </c:pt>
              </c:numCache>
            </c:numRef>
          </c:val>
          <c:smooth val="1"/>
          <c:extLst>
            <c:ext xmlns:c16="http://schemas.microsoft.com/office/drawing/2014/chart" uri="{C3380CC4-5D6E-409C-BE32-E72D297353CC}">
              <c16:uniqueId val="{00000015-03F3-4BB2-B957-C5CB065376E7}"/>
            </c:ext>
          </c:extLst>
        </c:ser>
        <c:ser>
          <c:idx val="2"/>
          <c:order val="2"/>
          <c:tx>
            <c:strRef>
              <c:f>CUSTOMER_O!$D$38</c:f>
              <c:strCache>
                <c:ptCount val="1"/>
                <c:pt idx="0">
                  <c:v>Opex per Cust. (w/out efficiency) ($)</c:v>
                </c:pt>
              </c:strCache>
            </c:strRef>
          </c:tx>
          <c:spPr>
            <a:ln w="28575" cap="rnd">
              <a:solidFill>
                <a:srgbClr val="FFD339"/>
              </a:solidFill>
              <a:prstDash val="dash"/>
              <a:round/>
            </a:ln>
            <a:effectLst/>
          </c:spPr>
          <c:marker>
            <c:symbol val="none"/>
          </c:marker>
          <c:val>
            <c:numRef>
              <c:f>CUSTOMER_O!$E$38:$N$38</c:f>
              <c:numCache>
                <c:formatCode>_-* #,##0.0_-;\-* #,##0.0_-;_-* "-"??_-;_-@_-</c:formatCode>
                <c:ptCount val="10"/>
                <c:pt idx="0">
                  <c:v>996.57757075457619</c:v>
                </c:pt>
                <c:pt idx="1">
                  <c:v>1036.0254880061846</c:v>
                </c:pt>
                <c:pt idx="2">
                  <c:v>848.37280833998102</c:v>
                </c:pt>
                <c:pt idx="3">
                  <c:v>902.74485254306217</c:v>
                </c:pt>
                <c:pt idx="4">
                  <c:v>897.81515132270738</c:v>
                </c:pt>
                <c:pt idx="5">
                  <c:v>859.0182410791549</c:v>
                </c:pt>
                <c:pt idx="6">
                  <c:v>861.77281103322082</c:v>
                </c:pt>
                <c:pt idx="7">
                  <c:v>865.49563552300799</c:v>
                </c:pt>
                <c:pt idx="8">
                  <c:v>871.17143414396901</c:v>
                </c:pt>
                <c:pt idx="9">
                  <c:v>875.66870368618311</c:v>
                </c:pt>
              </c:numCache>
            </c:numRef>
          </c:val>
          <c:smooth val="1"/>
          <c:extLst>
            <c:ext xmlns:c16="http://schemas.microsoft.com/office/drawing/2014/chart" uri="{C3380CC4-5D6E-409C-BE32-E72D297353CC}">
              <c16:uniqueId val="{00000016-03F3-4BB2-B957-C5CB065376E7}"/>
            </c:ext>
          </c:extLst>
        </c:ser>
        <c:dLbls>
          <c:showLegendKey val="0"/>
          <c:showVal val="0"/>
          <c:showCatName val="0"/>
          <c:showSerName val="0"/>
          <c:showPercent val="0"/>
          <c:showBubbleSize val="0"/>
        </c:dLbls>
        <c:marker val="1"/>
        <c:smooth val="0"/>
        <c:axId val="169138432"/>
        <c:axId val="169136512"/>
      </c:lineChart>
      <c:catAx>
        <c:axId val="16912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26144"/>
        <c:crosses val="autoZero"/>
        <c:auto val="1"/>
        <c:lblAlgn val="ctr"/>
        <c:lblOffset val="100"/>
        <c:noMultiLvlLbl val="0"/>
      </c:catAx>
      <c:valAx>
        <c:axId val="169126144"/>
        <c:scaling>
          <c:orientation val="minMax"/>
        </c:scaling>
        <c:delete val="0"/>
        <c:axPos val="l"/>
        <c:majorGridlines>
          <c:spPr>
            <a:ln w="9525" cap="flat" cmpd="sng" algn="ctr">
              <a:solidFill>
                <a:schemeClr val="tx1">
                  <a:lumMod val="15000"/>
                  <a:lumOff val="85000"/>
                </a:schemeClr>
              </a:solidFill>
              <a:round/>
            </a:ln>
            <a:effectLst/>
          </c:spPr>
        </c:majorGridlines>
        <c:title>
          <c:tx>
            <c:strRef>
              <c:f>CUSTOMER_O!$D$36</c:f>
              <c:strCache>
                <c:ptCount val="1"/>
                <c:pt idx="0">
                  <c:v>Total Opex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124608"/>
        <c:crosses val="autoZero"/>
        <c:crossBetween val="between"/>
      </c:valAx>
      <c:valAx>
        <c:axId val="169136512"/>
        <c:scaling>
          <c:orientation val="minMax"/>
        </c:scaling>
        <c:delete val="0"/>
        <c:axPos val="r"/>
        <c:title>
          <c:tx>
            <c:strRef>
              <c:f>CUSTOMER_O!$D$37</c:f>
              <c:strCache>
                <c:ptCount val="1"/>
                <c:pt idx="0">
                  <c:v>Opex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138432"/>
        <c:crosses val="max"/>
        <c:crossBetween val="between"/>
      </c:valAx>
      <c:catAx>
        <c:axId val="169138432"/>
        <c:scaling>
          <c:orientation val="minMax"/>
        </c:scaling>
        <c:delete val="1"/>
        <c:axPos val="b"/>
        <c:numFmt formatCode="General" sourceLinked="1"/>
        <c:majorTickMark val="out"/>
        <c:minorTickMark val="none"/>
        <c:tickLblPos val="nextTo"/>
        <c:crossAx val="169136512"/>
        <c:crosses val="autoZero"/>
        <c:auto val="1"/>
        <c:lblAlgn val="ctr"/>
        <c:lblOffset val="100"/>
        <c:noMultiLvlLbl val="0"/>
      </c:catAx>
      <c:spPr>
        <a:noFill/>
        <a:ln>
          <a:noFill/>
        </a:ln>
        <a:effectLst/>
      </c:spPr>
    </c:plotArea>
    <c:legend>
      <c:legendPos val="b"/>
      <c:layout>
        <c:manualLayout>
          <c:xMode val="edge"/>
          <c:yMode val="edge"/>
          <c:x val="1.3464348206474191E-2"/>
          <c:y val="0.82812335958005245"/>
          <c:w val="0.98140463692038493"/>
          <c:h val="0.144098862642169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CUSTOMER_O!$D$85</c:f>
              <c:strCache>
                <c:ptCount val="1"/>
                <c:pt idx="0">
                  <c:v>Gross Capex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1-F5F5-4613-8D1F-B56BFB331EBD}"/>
              </c:ext>
            </c:extLst>
          </c:dPt>
          <c:dPt>
            <c:idx val="1"/>
            <c:invertIfNegative val="0"/>
            <c:bubble3D val="0"/>
            <c:extLst>
              <c:ext xmlns:c16="http://schemas.microsoft.com/office/drawing/2014/chart" uri="{C3380CC4-5D6E-409C-BE32-E72D297353CC}">
                <c16:uniqueId val="{00000003-F5F5-4613-8D1F-B56BFB331EBD}"/>
              </c:ext>
            </c:extLst>
          </c:dPt>
          <c:dPt>
            <c:idx val="2"/>
            <c:invertIfNegative val="0"/>
            <c:bubble3D val="0"/>
            <c:extLst>
              <c:ext xmlns:c16="http://schemas.microsoft.com/office/drawing/2014/chart" uri="{C3380CC4-5D6E-409C-BE32-E72D297353CC}">
                <c16:uniqueId val="{00000005-F5F5-4613-8D1F-B56BFB331EBD}"/>
              </c:ext>
            </c:extLst>
          </c:dPt>
          <c:dPt>
            <c:idx val="3"/>
            <c:invertIfNegative val="0"/>
            <c:bubble3D val="0"/>
            <c:extLst>
              <c:ext xmlns:c16="http://schemas.microsoft.com/office/drawing/2014/chart" uri="{C3380CC4-5D6E-409C-BE32-E72D297353CC}">
                <c16:uniqueId val="{00000007-F5F5-4613-8D1F-B56BFB331EBD}"/>
              </c:ext>
            </c:extLst>
          </c:dPt>
          <c:dPt>
            <c:idx val="4"/>
            <c:invertIfNegative val="0"/>
            <c:bubble3D val="0"/>
            <c:extLst>
              <c:ext xmlns:c16="http://schemas.microsoft.com/office/drawing/2014/chart" uri="{C3380CC4-5D6E-409C-BE32-E72D297353CC}">
                <c16:uniqueId val="{00000009-F5F5-4613-8D1F-B56BFB331EBD}"/>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B-F5F5-4613-8D1F-B56BFB331EBD}"/>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D-F5F5-4613-8D1F-B56BFB331EBD}"/>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F-F5F5-4613-8D1F-B56BFB331EBD}"/>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11-F5F5-4613-8D1F-B56BFB331EBD}"/>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13-F5F5-4613-8D1F-B56BFB331EBD}"/>
              </c:ext>
            </c:extLst>
          </c:dPt>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CUSTOMER_O!$E$85:$N$85</c:f>
              <c:numCache>
                <c:formatCode>_-* #,##0.0_-;\-* #,##0.0_-;_-* "-"??_-;_-@_-</c:formatCode>
                <c:ptCount val="10"/>
                <c:pt idx="0">
                  <c:v>93.127177435620766</c:v>
                </c:pt>
                <c:pt idx="1">
                  <c:v>80.360469791588031</c:v>
                </c:pt>
                <c:pt idx="2">
                  <c:v>59.085274133730124</c:v>
                </c:pt>
                <c:pt idx="3">
                  <c:v>51.984323017251796</c:v>
                </c:pt>
                <c:pt idx="4">
                  <c:v>71.799968066820824</c:v>
                </c:pt>
                <c:pt idx="5">
                  <c:v>106.62847438601433</c:v>
                </c:pt>
                <c:pt idx="6">
                  <c:v>85.838024351250866</c:v>
                </c:pt>
                <c:pt idx="7">
                  <c:v>108.18031417197174</c:v>
                </c:pt>
                <c:pt idx="8">
                  <c:v>75.193635822841031</c:v>
                </c:pt>
                <c:pt idx="9">
                  <c:v>69.804533180258048</c:v>
                </c:pt>
              </c:numCache>
            </c:numRef>
          </c:val>
          <c:extLst>
            <c:ext xmlns:c16="http://schemas.microsoft.com/office/drawing/2014/chart" uri="{C3380CC4-5D6E-409C-BE32-E72D297353CC}">
              <c16:uniqueId val="{00000014-F5F5-4613-8D1F-B56BFB331EBD}"/>
            </c:ext>
          </c:extLst>
        </c:ser>
        <c:dLbls>
          <c:showLegendKey val="0"/>
          <c:showVal val="0"/>
          <c:showCatName val="0"/>
          <c:showSerName val="0"/>
          <c:showPercent val="0"/>
          <c:showBubbleSize val="0"/>
        </c:dLbls>
        <c:gapWidth val="20"/>
        <c:axId val="169180160"/>
        <c:axId val="169190144"/>
      </c:barChart>
      <c:lineChart>
        <c:grouping val="standard"/>
        <c:varyColors val="0"/>
        <c:ser>
          <c:idx val="1"/>
          <c:order val="1"/>
          <c:tx>
            <c:strRef>
              <c:f>CUSTOMER_O!$D$86</c:f>
              <c:strCache>
                <c:ptCount val="1"/>
                <c:pt idx="0">
                  <c:v>Capex per Customer ($)</c:v>
                </c:pt>
              </c:strCache>
            </c:strRef>
          </c:tx>
          <c:spPr>
            <a:ln w="28575" cap="rnd">
              <a:solidFill>
                <a:srgbClr val="FFD339"/>
              </a:solidFill>
              <a:round/>
            </a:ln>
            <a:effectLst/>
          </c:spPr>
          <c:marker>
            <c:symbol val="none"/>
          </c:marker>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CUSTOMER_O!$E$86:$N$86</c:f>
              <c:numCache>
                <c:formatCode>_-* #,##0.0_-;\-* #,##0.0_-;_-* "-"??_-;_-@_-</c:formatCode>
                <c:ptCount val="10"/>
                <c:pt idx="0">
                  <c:v>1148.1448562540318</c:v>
                </c:pt>
                <c:pt idx="1">
                  <c:v>969.19097619957836</c:v>
                </c:pt>
                <c:pt idx="2">
                  <c:v>706.8715725379559</c:v>
                </c:pt>
                <c:pt idx="3">
                  <c:v>619.16319890960824</c:v>
                </c:pt>
                <c:pt idx="4">
                  <c:v>850.50897970647748</c:v>
                </c:pt>
                <c:pt idx="5">
                  <c:v>1253.390943977035</c:v>
                </c:pt>
                <c:pt idx="6">
                  <c:v>999.8837987052799</c:v>
                </c:pt>
                <c:pt idx="7">
                  <c:v>1248.6041732202045</c:v>
                </c:pt>
                <c:pt idx="8">
                  <c:v>864.01659032542443</c:v>
                </c:pt>
                <c:pt idx="9">
                  <c:v>798.50528123472077</c:v>
                </c:pt>
              </c:numCache>
            </c:numRef>
          </c:val>
          <c:smooth val="1"/>
          <c:extLst>
            <c:ext xmlns:c16="http://schemas.microsoft.com/office/drawing/2014/chart" uri="{C3380CC4-5D6E-409C-BE32-E72D297353CC}">
              <c16:uniqueId val="{00000015-F5F5-4613-8D1F-B56BFB331EBD}"/>
            </c:ext>
          </c:extLst>
        </c:ser>
        <c:dLbls>
          <c:showLegendKey val="0"/>
          <c:showVal val="0"/>
          <c:showCatName val="0"/>
          <c:showSerName val="0"/>
          <c:showPercent val="0"/>
          <c:showBubbleSize val="0"/>
        </c:dLbls>
        <c:marker val="1"/>
        <c:smooth val="0"/>
        <c:axId val="169206528"/>
        <c:axId val="169192064"/>
      </c:lineChart>
      <c:catAx>
        <c:axId val="16918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190144"/>
        <c:crosses val="autoZero"/>
        <c:auto val="1"/>
        <c:lblAlgn val="ctr"/>
        <c:lblOffset val="100"/>
        <c:noMultiLvlLbl val="0"/>
      </c:catAx>
      <c:valAx>
        <c:axId val="169190144"/>
        <c:scaling>
          <c:orientation val="minMax"/>
          <c:max val="120"/>
        </c:scaling>
        <c:delete val="0"/>
        <c:axPos val="l"/>
        <c:majorGridlines>
          <c:spPr>
            <a:ln w="9525" cap="flat" cmpd="sng" algn="ctr">
              <a:solidFill>
                <a:schemeClr val="tx1">
                  <a:lumMod val="15000"/>
                  <a:lumOff val="85000"/>
                </a:schemeClr>
              </a:solidFill>
              <a:round/>
            </a:ln>
            <a:effectLst/>
          </c:spPr>
        </c:majorGridlines>
        <c:title>
          <c:tx>
            <c:strRef>
              <c:f>CUSTOMER_O!$D$85</c:f>
              <c:strCache>
                <c:ptCount val="1"/>
                <c:pt idx="0">
                  <c:v>Gross Capex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180160"/>
        <c:crosses val="autoZero"/>
        <c:crossBetween val="between"/>
      </c:valAx>
      <c:valAx>
        <c:axId val="169192064"/>
        <c:scaling>
          <c:orientation val="minMax"/>
        </c:scaling>
        <c:delete val="0"/>
        <c:axPos val="r"/>
        <c:title>
          <c:tx>
            <c:strRef>
              <c:f>CUSTOMER_O!$D$86</c:f>
              <c:strCache>
                <c:ptCount val="1"/>
                <c:pt idx="0">
                  <c:v>Capex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206528"/>
        <c:crosses val="max"/>
        <c:crossBetween val="between"/>
      </c:valAx>
      <c:catAx>
        <c:axId val="169206528"/>
        <c:scaling>
          <c:orientation val="minMax"/>
        </c:scaling>
        <c:delete val="1"/>
        <c:axPos val="b"/>
        <c:numFmt formatCode="General" sourceLinked="1"/>
        <c:majorTickMark val="out"/>
        <c:minorTickMark val="none"/>
        <c:tickLblPos val="nextTo"/>
        <c:crossAx val="1691920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Charts_Capex!$P$47</c:f>
          <c:strCache>
            <c:ptCount val="1"/>
            <c:pt idx="0">
              <c:v>Capex Summary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Charts_Capex!$O$36</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D999-4EB4-A45E-9E66BABD96B7}"/>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D999-4EB4-A45E-9E66BABD96B7}"/>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Charts_Capex!$P$36:$AE$36</c:f>
              <c:numCache>
                <c:formatCode>_(#,##0.0_);\(#,##0.0\);_("-"_)</c:formatCode>
                <c:ptCount val="16"/>
                <c:pt idx="0">
                  <c:v>68.33406059115292</c:v>
                </c:pt>
                <c:pt idx="1">
                  <c:v>96.265048242818324</c:v>
                </c:pt>
                <c:pt idx="2">
                  <c:v>106.97675762651191</c:v>
                </c:pt>
                <c:pt idx="3">
                  <c:v>97.934090214394317</c:v>
                </c:pt>
                <c:pt idx="4">
                  <c:v>132.64420365450627</c:v>
                </c:pt>
                <c:pt idx="5">
                  <c:v>99.572784621888644</c:v>
                </c:pt>
                <c:pt idx="6">
                  <c:v>93.127177435620766</c:v>
                </c:pt>
                <c:pt idx="7">
                  <c:v>80.360469791588031</c:v>
                </c:pt>
                <c:pt idx="8">
                  <c:v>59.085274133730124</c:v>
                </c:pt>
                <c:pt idx="9">
                  <c:v>51.984323017251796</c:v>
                </c:pt>
                <c:pt idx="10">
                  <c:v>71.799968066820824</c:v>
                </c:pt>
                <c:pt idx="11">
                  <c:v>#N/A</c:v>
                </c:pt>
                <c:pt idx="12">
                  <c:v>#N/A</c:v>
                </c:pt>
                <c:pt idx="13">
                  <c:v>#N/A</c:v>
                </c:pt>
                <c:pt idx="14">
                  <c:v>#N/A</c:v>
                </c:pt>
                <c:pt idx="15">
                  <c:v>#N/A</c:v>
                </c:pt>
              </c:numCache>
            </c:numRef>
          </c:val>
          <c:extLst>
            <c:ext xmlns:c16="http://schemas.microsoft.com/office/drawing/2014/chart" uri="{C3380CC4-5D6E-409C-BE32-E72D297353CC}">
              <c16:uniqueId val="{00000000-D452-4235-B94F-EF39337FD61C}"/>
            </c:ext>
          </c:extLst>
        </c:ser>
        <c:ser>
          <c:idx val="3"/>
          <c:order val="2"/>
          <c:tx>
            <c:strRef>
              <c:f>Charts_Capex!$O$39</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Charts_Capex!$P$39:$AE$39</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106.62847438601433</c:v>
                </c:pt>
                <c:pt idx="12">
                  <c:v>85.838024351250866</c:v>
                </c:pt>
                <c:pt idx="13">
                  <c:v>108.18031417197174</c:v>
                </c:pt>
                <c:pt idx="14">
                  <c:v>75.193635822841031</c:v>
                </c:pt>
                <c:pt idx="15">
                  <c:v>69.804533180258048</c:v>
                </c:pt>
              </c:numCache>
            </c:numRef>
          </c:val>
          <c:extLst>
            <c:ext xmlns:c16="http://schemas.microsoft.com/office/drawing/2014/chart" uri="{C3380CC4-5D6E-409C-BE32-E72D297353CC}">
              <c16:uniqueId val="{00000001-D452-4235-B94F-EF39337FD61C}"/>
            </c:ext>
          </c:extLst>
        </c:ser>
        <c:dLbls>
          <c:showLegendKey val="0"/>
          <c:showVal val="0"/>
          <c:showCatName val="0"/>
          <c:showSerName val="0"/>
          <c:showPercent val="0"/>
          <c:showBubbleSize val="0"/>
        </c:dLbls>
        <c:gapWidth val="20"/>
        <c:overlap val="100"/>
        <c:axId val="161826304"/>
        <c:axId val="161834496"/>
      </c:barChart>
      <c:lineChart>
        <c:grouping val="standard"/>
        <c:varyColors val="0"/>
        <c:ser>
          <c:idx val="1"/>
          <c:order val="1"/>
          <c:tx>
            <c:strRef>
              <c:f>Charts_Capex!$O$37</c:f>
              <c:strCache>
                <c:ptCount val="1"/>
                <c:pt idx="0">
                  <c:v>UC Allowance</c:v>
                </c:pt>
              </c:strCache>
            </c:strRef>
          </c:tx>
          <c:spPr>
            <a:ln w="28575" cap="rnd">
              <a:solidFill>
                <a:srgbClr val="8C1B10"/>
              </a:solidFill>
              <a:round/>
            </a:ln>
            <a:effectLst/>
          </c:spPr>
          <c:marker>
            <c:symbol val="none"/>
          </c:marker>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Charts_Capex!$P$37:$AE$37</c:f>
              <c:numCache>
                <c:formatCode>_(#,##0.0_);\(#,##0.0\);_("-"_)</c:formatCode>
                <c:ptCount val="16"/>
                <c:pt idx="0">
                  <c:v>#N/A</c:v>
                </c:pt>
                <c:pt idx="1">
                  <c:v>#N/A</c:v>
                </c:pt>
                <c:pt idx="2">
                  <c:v>#N/A</c:v>
                </c:pt>
                <c:pt idx="3">
                  <c:v>#N/A</c:v>
                </c:pt>
                <c:pt idx="4">
                  <c:v>#N/A</c:v>
                </c:pt>
                <c:pt idx="5">
                  <c:v>#N/A</c:v>
                </c:pt>
                <c:pt idx="6">
                  <c:v>89.99607946450412</c:v>
                </c:pt>
                <c:pt idx="7">
                  <c:v>64.132469213872696</c:v>
                </c:pt>
                <c:pt idx="8">
                  <c:v>51.104004725386105</c:v>
                </c:pt>
                <c:pt idx="9">
                  <c:v>60.356324448774217</c:v>
                </c:pt>
                <c:pt idx="10">
                  <c:v>71.772290124575647</c:v>
                </c:pt>
                <c:pt idx="11">
                  <c:v>#N/A</c:v>
                </c:pt>
                <c:pt idx="12">
                  <c:v>#N/A</c:v>
                </c:pt>
                <c:pt idx="13">
                  <c:v>#N/A</c:v>
                </c:pt>
                <c:pt idx="14">
                  <c:v>#N/A</c:v>
                </c:pt>
                <c:pt idx="15">
                  <c:v>#N/A</c:v>
                </c:pt>
              </c:numCache>
            </c:numRef>
          </c:val>
          <c:smooth val="0"/>
          <c:extLst>
            <c:ext xmlns:c16="http://schemas.microsoft.com/office/drawing/2014/chart" uri="{C3380CC4-5D6E-409C-BE32-E72D297353CC}">
              <c16:uniqueId val="{00000002-D452-4235-B94F-EF39337FD61C}"/>
            </c:ext>
          </c:extLst>
        </c:ser>
        <c:ser>
          <c:idx val="4"/>
          <c:order val="3"/>
          <c:tx>
            <c:strRef>
              <c:f>Charts_Capex!$O$40</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9-4EB4-A45E-9E66BABD96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Charts_Capex!$P$40:$AE$40</c:f>
              <c:numCache>
                <c:formatCode>_(#,##0.0_);\(#,##0.0\);_("-"_)</c:formatCode>
                <c:ptCount val="16"/>
                <c:pt idx="0">
                  <c:v>#N/A</c:v>
                </c:pt>
                <c:pt idx="1">
                  <c:v>106.67857687202388</c:v>
                </c:pt>
                <c:pt idx="2">
                  <c:v>106.67857687202388</c:v>
                </c:pt>
                <c:pt idx="3">
                  <c:v>106.67857687202388</c:v>
                </c:pt>
                <c:pt idx="4">
                  <c:v>106.67857687202388</c:v>
                </c:pt>
                <c:pt idx="5">
                  <c:v>106.67857687202388</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4-D452-4235-B94F-EF39337FD61C}"/>
            </c:ext>
          </c:extLst>
        </c:ser>
        <c:ser>
          <c:idx val="5"/>
          <c:order val="4"/>
          <c:tx>
            <c:strRef>
              <c:f>Charts_Capex!$O$41</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9-4EB4-A45E-9E66BABD96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Charts_Capex!$P$41:$AE$41</c:f>
              <c:numCache>
                <c:formatCode>_(#,##0.0_);\(#,##0.0\);_("-"_)</c:formatCode>
                <c:ptCount val="16"/>
                <c:pt idx="0">
                  <c:v>#N/A</c:v>
                </c:pt>
                <c:pt idx="1">
                  <c:v>#N/A</c:v>
                </c:pt>
                <c:pt idx="2">
                  <c:v>#N/A</c:v>
                </c:pt>
                <c:pt idx="3">
                  <c:v>#N/A</c:v>
                </c:pt>
                <c:pt idx="4">
                  <c:v>#N/A</c:v>
                </c:pt>
                <c:pt idx="5">
                  <c:v>#N/A</c:v>
                </c:pt>
                <c:pt idx="6">
                  <c:v>71.271442489002311</c:v>
                </c:pt>
                <c:pt idx="7">
                  <c:v>71.271442489002311</c:v>
                </c:pt>
                <c:pt idx="8">
                  <c:v>71.271442489002311</c:v>
                </c:pt>
                <c:pt idx="9">
                  <c:v>71.271442489002311</c:v>
                </c:pt>
                <c:pt idx="10">
                  <c:v>71.271442489002311</c:v>
                </c:pt>
                <c:pt idx="11">
                  <c:v>#N/A</c:v>
                </c:pt>
                <c:pt idx="12">
                  <c:v>#N/A</c:v>
                </c:pt>
                <c:pt idx="13">
                  <c:v>#N/A</c:v>
                </c:pt>
                <c:pt idx="14">
                  <c:v>#N/A</c:v>
                </c:pt>
                <c:pt idx="15">
                  <c:v>#N/A</c:v>
                </c:pt>
              </c:numCache>
            </c:numRef>
          </c:val>
          <c:smooth val="0"/>
          <c:extLst>
            <c:ext xmlns:c16="http://schemas.microsoft.com/office/drawing/2014/chart" uri="{C3380CC4-5D6E-409C-BE32-E72D297353CC}">
              <c16:uniqueId val="{00000005-D452-4235-B94F-EF39337FD61C}"/>
            </c:ext>
          </c:extLst>
        </c:ser>
        <c:ser>
          <c:idx val="6"/>
          <c:order val="5"/>
          <c:tx>
            <c:strRef>
              <c:f>Charts_Capex!$O$42</c:f>
              <c:strCache>
                <c:ptCount val="1"/>
                <c:pt idx="0">
                  <c:v>Avg: 20-24</c:v>
                </c:pt>
              </c:strCache>
            </c:strRef>
          </c:tx>
          <c:spPr>
            <a:ln w="28575" cap="rnd">
              <a:solidFill>
                <a:srgbClr val="EF7D17"/>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4-D999-4EB4-A45E-9E66BABD96B7}"/>
                </c:ext>
              </c:extLst>
            </c:dLbl>
            <c:dLbl>
              <c:idx val="13"/>
              <c:delete val="1"/>
              <c:extLst>
                <c:ext xmlns:c15="http://schemas.microsoft.com/office/drawing/2012/chart" uri="{CE6537A1-D6FC-4f65-9D91-7224C49458BB}"/>
                <c:ext xmlns:c16="http://schemas.microsoft.com/office/drawing/2014/chart" uri="{C3380CC4-5D6E-409C-BE32-E72D297353CC}">
                  <c16:uniqueId val="{00000005-D999-4EB4-A45E-9E66BABD96B7}"/>
                </c:ext>
              </c:extLst>
            </c:dLbl>
            <c:dLbl>
              <c:idx val="14"/>
              <c:delete val="1"/>
              <c:extLst>
                <c:ext xmlns:c15="http://schemas.microsoft.com/office/drawing/2012/chart" uri="{CE6537A1-D6FC-4f65-9D91-7224C49458BB}"/>
                <c:ext xmlns:c16="http://schemas.microsoft.com/office/drawing/2014/chart" uri="{C3380CC4-5D6E-409C-BE32-E72D297353CC}">
                  <c16:uniqueId val="{00000006-D999-4EB4-A45E-9E66BABD96B7}"/>
                </c:ext>
              </c:extLst>
            </c:dLbl>
            <c:dLbl>
              <c:idx val="15"/>
              <c:delete val="1"/>
              <c:extLst>
                <c:ext xmlns:c15="http://schemas.microsoft.com/office/drawing/2012/chart" uri="{CE6537A1-D6FC-4f65-9D91-7224C49458BB}"/>
                <c:ext xmlns:c16="http://schemas.microsoft.com/office/drawing/2014/chart" uri="{C3380CC4-5D6E-409C-BE32-E72D297353CC}">
                  <c16:uniqueId val="{00000007-D999-4EB4-A45E-9E66BABD96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Charts_Capex!$P$42:$AE$42</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89.128996382467193</c:v>
                </c:pt>
                <c:pt idx="12">
                  <c:v>89.128996382467193</c:v>
                </c:pt>
                <c:pt idx="13">
                  <c:v>89.128996382467193</c:v>
                </c:pt>
                <c:pt idx="14">
                  <c:v>89.128996382467193</c:v>
                </c:pt>
                <c:pt idx="15">
                  <c:v>89.128996382467193</c:v>
                </c:pt>
              </c:numCache>
            </c:numRef>
          </c:val>
          <c:smooth val="0"/>
          <c:extLst>
            <c:ext xmlns:c16="http://schemas.microsoft.com/office/drawing/2014/chart" uri="{C3380CC4-5D6E-409C-BE32-E72D297353CC}">
              <c16:uniqueId val="{00000006-D452-4235-B94F-EF39337FD61C}"/>
            </c:ext>
          </c:extLst>
        </c:ser>
        <c:dLbls>
          <c:showLegendKey val="0"/>
          <c:showVal val="0"/>
          <c:showCatName val="0"/>
          <c:showSerName val="0"/>
          <c:showPercent val="0"/>
          <c:showBubbleSize val="0"/>
        </c:dLbls>
        <c:marker val="1"/>
        <c:smooth val="0"/>
        <c:axId val="161826304"/>
        <c:axId val="161834496"/>
      </c:lineChart>
      <c:catAx>
        <c:axId val="1618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1834496"/>
        <c:crosses val="autoZero"/>
        <c:auto val="1"/>
        <c:lblAlgn val="ctr"/>
        <c:lblOffset val="100"/>
        <c:noMultiLvlLbl val="0"/>
      </c:catAx>
      <c:valAx>
        <c:axId val="161834496"/>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Charts_Capex!$P$46</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1826304"/>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25240594925636"/>
          <c:y val="5.1400554097404488E-2"/>
          <c:w val="0.63392585301837268"/>
          <c:h val="0.64673191892680082"/>
        </c:manualLayout>
      </c:layout>
      <c:barChart>
        <c:barDir val="col"/>
        <c:grouping val="clustered"/>
        <c:varyColors val="0"/>
        <c:ser>
          <c:idx val="0"/>
          <c:order val="0"/>
          <c:tx>
            <c:strRef>
              <c:f>CUSTOMER_O!$D$61</c:f>
              <c:strCache>
                <c:ptCount val="1"/>
                <c:pt idx="0">
                  <c:v>Number of Customers (#)</c:v>
                </c:pt>
              </c:strCache>
            </c:strRef>
          </c:tx>
          <c:spPr>
            <a:solidFill>
              <a:srgbClr val="2A3D6F"/>
            </a:solidFill>
            <a:ln>
              <a:solidFill>
                <a:schemeClr val="bg1"/>
              </a:solidFill>
            </a:ln>
            <a:effectLst/>
          </c:spPr>
          <c:invertIfNegative val="0"/>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1-8614-450A-81F3-4A914CA50467}"/>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3-8614-450A-81F3-4A914CA50467}"/>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5-8614-450A-81F3-4A914CA50467}"/>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07-8614-450A-81F3-4A914CA50467}"/>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09-8614-450A-81F3-4A914CA50467}"/>
              </c:ext>
            </c:extLst>
          </c:dPt>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CUSTOMER_O!$E$61:$N$61</c:f>
              <c:numCache>
                <c:formatCode>_-* #,##0_-;\-* #,##0_-;_-* "-"??_-;_-@_-</c:formatCode>
                <c:ptCount val="10"/>
                <c:pt idx="0">
                  <c:v>81111</c:v>
                </c:pt>
                <c:pt idx="1">
                  <c:v>82915</c:v>
                </c:pt>
                <c:pt idx="2">
                  <c:v>83587</c:v>
                </c:pt>
                <c:pt idx="3">
                  <c:v>83959</c:v>
                </c:pt>
                <c:pt idx="4">
                  <c:v>84420</c:v>
                </c:pt>
                <c:pt idx="5">
                  <c:v>85072</c:v>
                </c:pt>
                <c:pt idx="6">
                  <c:v>85848</c:v>
                </c:pt>
                <c:pt idx="7">
                  <c:v>86641</c:v>
                </c:pt>
                <c:pt idx="8">
                  <c:v>87028</c:v>
                </c:pt>
                <c:pt idx="9">
                  <c:v>87419</c:v>
                </c:pt>
              </c:numCache>
            </c:numRef>
          </c:val>
          <c:extLst>
            <c:ext xmlns:c16="http://schemas.microsoft.com/office/drawing/2014/chart" uri="{C3380CC4-5D6E-409C-BE32-E72D297353CC}">
              <c16:uniqueId val="{0000000A-8614-450A-81F3-4A914CA50467}"/>
            </c:ext>
          </c:extLst>
        </c:ser>
        <c:dLbls>
          <c:showLegendKey val="0"/>
          <c:showVal val="0"/>
          <c:showCatName val="0"/>
          <c:showSerName val="0"/>
          <c:showPercent val="0"/>
          <c:showBubbleSize val="0"/>
        </c:dLbls>
        <c:gapWidth val="20"/>
        <c:axId val="168811904"/>
        <c:axId val="168813696"/>
      </c:barChart>
      <c:lineChart>
        <c:grouping val="standard"/>
        <c:varyColors val="0"/>
        <c:ser>
          <c:idx val="1"/>
          <c:order val="1"/>
          <c:tx>
            <c:strRef>
              <c:f>CUSTOMER_O!$D$62</c:f>
              <c:strCache>
                <c:ptCount val="1"/>
                <c:pt idx="0">
                  <c:v>Peak demand (MW)</c:v>
                </c:pt>
              </c:strCache>
            </c:strRef>
          </c:tx>
          <c:spPr>
            <a:ln w="28575" cap="rnd">
              <a:solidFill>
                <a:srgbClr val="FFD339"/>
              </a:solidFill>
              <a:round/>
            </a:ln>
            <a:effectLst/>
          </c:spPr>
          <c:marker>
            <c:symbol val="none"/>
          </c:marker>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CUSTOMER_O!$E$62:$N$62</c:f>
              <c:numCache>
                <c:formatCode>_(* #,##0.00_);_(* \(#,##0.00\);_(* "-"??_);_(@_)</c:formatCode>
                <c:ptCount val="10"/>
                <c:pt idx="0">
                  <c:v>348.89</c:v>
                </c:pt>
                <c:pt idx="1">
                  <c:v>353.83000000000004</c:v>
                </c:pt>
                <c:pt idx="2">
                  <c:v>357.45929172399997</c:v>
                </c:pt>
                <c:pt idx="3">
                  <c:v>351.64025275700004</c:v>
                </c:pt>
                <c:pt idx="4">
                  <c:v>344.61873374300001</c:v>
                </c:pt>
                <c:pt idx="5">
                  <c:v>339.07925003499997</c:v>
                </c:pt>
                <c:pt idx="6">
                  <c:v>339.32073156500002</c:v>
                </c:pt>
                <c:pt idx="7">
                  <c:v>336.87572723300002</c:v>
                </c:pt>
                <c:pt idx="8">
                  <c:v>336.03994168899999</c:v>
                </c:pt>
                <c:pt idx="9">
                  <c:v>335.67859043299995</c:v>
                </c:pt>
              </c:numCache>
            </c:numRef>
          </c:val>
          <c:smooth val="1"/>
          <c:extLst>
            <c:ext xmlns:c16="http://schemas.microsoft.com/office/drawing/2014/chart" uri="{C3380CC4-5D6E-409C-BE32-E72D297353CC}">
              <c16:uniqueId val="{0000000B-8614-450A-81F3-4A914CA50467}"/>
            </c:ext>
          </c:extLst>
        </c:ser>
        <c:dLbls>
          <c:showLegendKey val="0"/>
          <c:showVal val="0"/>
          <c:showCatName val="0"/>
          <c:showSerName val="0"/>
          <c:showPercent val="0"/>
          <c:showBubbleSize val="0"/>
        </c:dLbls>
        <c:marker val="1"/>
        <c:smooth val="0"/>
        <c:axId val="168817792"/>
        <c:axId val="168815616"/>
      </c:lineChart>
      <c:catAx>
        <c:axId val="168811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813696"/>
        <c:crosses val="autoZero"/>
        <c:auto val="1"/>
        <c:lblAlgn val="ctr"/>
        <c:lblOffset val="100"/>
        <c:noMultiLvlLbl val="0"/>
      </c:catAx>
      <c:valAx>
        <c:axId val="168813696"/>
        <c:scaling>
          <c:orientation val="minMax"/>
          <c:min val="78000"/>
        </c:scaling>
        <c:delete val="0"/>
        <c:axPos val="l"/>
        <c:majorGridlines>
          <c:spPr>
            <a:ln w="9525" cap="flat" cmpd="sng" algn="ctr">
              <a:solidFill>
                <a:schemeClr val="tx1">
                  <a:lumMod val="15000"/>
                  <a:lumOff val="85000"/>
                </a:schemeClr>
              </a:solidFill>
              <a:round/>
            </a:ln>
            <a:effectLst/>
          </c:spPr>
        </c:majorGridlines>
        <c:title>
          <c:tx>
            <c:strRef>
              <c:f>CUSTOMER_O!$D$61</c:f>
              <c:strCache>
                <c:ptCount val="1"/>
                <c:pt idx="0">
                  <c:v>Number of Customers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8811904"/>
        <c:crosses val="autoZero"/>
        <c:crossBetween val="between"/>
        <c:majorUnit val="2000"/>
      </c:valAx>
      <c:valAx>
        <c:axId val="168815616"/>
        <c:scaling>
          <c:orientation val="minMax"/>
          <c:max val="370"/>
          <c:min val="320"/>
        </c:scaling>
        <c:delete val="0"/>
        <c:axPos val="r"/>
        <c:title>
          <c:tx>
            <c:strRef>
              <c:f>CUSTOMER_O!$D$62</c:f>
              <c:strCache>
                <c:ptCount val="1"/>
                <c:pt idx="0">
                  <c:v>Peak demand (MW)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8817792"/>
        <c:crosses val="max"/>
        <c:crossBetween val="between"/>
        <c:majorUnit val="10"/>
      </c:valAx>
      <c:catAx>
        <c:axId val="168817792"/>
        <c:scaling>
          <c:orientation val="minMax"/>
        </c:scaling>
        <c:delete val="1"/>
        <c:axPos val="b"/>
        <c:numFmt formatCode="General" sourceLinked="1"/>
        <c:majorTickMark val="out"/>
        <c:minorTickMark val="none"/>
        <c:tickLblPos val="nextTo"/>
        <c:crossAx val="1688156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15449278517604"/>
          <c:y val="5.0557922063020809E-2"/>
          <c:w val="0.70289989411147658"/>
          <c:h val="0.65252319894439426"/>
        </c:manualLayout>
      </c:layout>
      <c:lineChart>
        <c:grouping val="standard"/>
        <c:varyColors val="0"/>
        <c:ser>
          <c:idx val="1"/>
          <c:order val="1"/>
          <c:tx>
            <c:strRef>
              <c:f>CUSTOMER_O!$D$10</c:f>
              <c:strCache>
                <c:ptCount val="1"/>
                <c:pt idx="0">
                  <c:v>Rural Long</c:v>
                </c:pt>
              </c:strCache>
            </c:strRef>
          </c:tx>
          <c:spPr>
            <a:ln w="28575" cap="rnd">
              <a:solidFill>
                <a:srgbClr val="002060"/>
              </a:solidFill>
              <a:prstDash val="dash"/>
              <a:round/>
            </a:ln>
            <a:effectLst/>
          </c:spPr>
          <c:marker>
            <c:symbol val="circle"/>
            <c:size val="5"/>
            <c:spPr>
              <a:solidFill>
                <a:srgbClr val="2A3D6F"/>
              </a:solidFill>
              <a:ln w="9525">
                <a:solidFill>
                  <a:srgbClr val="002060"/>
                </a:solidFill>
              </a:ln>
              <a:effectLst/>
            </c:spPr>
          </c:marker>
          <c:cat>
            <c:strRef>
              <c:f>CUSTOMER_O!$E$8:$J$8</c:f>
              <c:strCache>
                <c:ptCount val="6"/>
                <c:pt idx="0">
                  <c:v>2010-11</c:v>
                </c:pt>
                <c:pt idx="1">
                  <c:v>2011-12</c:v>
                </c:pt>
                <c:pt idx="2">
                  <c:v>2012-13</c:v>
                </c:pt>
                <c:pt idx="3">
                  <c:v>2013-14</c:v>
                </c:pt>
                <c:pt idx="4">
                  <c:v>2014-15</c:v>
                </c:pt>
                <c:pt idx="5">
                  <c:v>2015-16</c:v>
                </c:pt>
              </c:strCache>
            </c:strRef>
          </c:cat>
          <c:val>
            <c:numRef>
              <c:f>CUSTOMER_O!$E$10:$J$10</c:f>
              <c:numCache>
                <c:formatCode>_-* #,##0.0_-;\-* #,##0.0_-;_-* "-"??_-;_-@_-</c:formatCode>
                <c:ptCount val="6"/>
                <c:pt idx="0">
                  <c:v>33.803738317757016</c:v>
                </c:pt>
                <c:pt idx="1">
                  <c:v>22.866828087167068</c:v>
                </c:pt>
                <c:pt idx="2">
                  <c:v>48.046370967741964</c:v>
                </c:pt>
                <c:pt idx="3">
                  <c:v>16.457434733257664</c:v>
                </c:pt>
                <c:pt idx="4">
                  <c:v>9.5970464135021061</c:v>
                </c:pt>
                <c:pt idx="5">
                  <c:v>11.071503680336493</c:v>
                </c:pt>
              </c:numCache>
            </c:numRef>
          </c:val>
          <c:smooth val="0"/>
          <c:extLst>
            <c:ext xmlns:c16="http://schemas.microsoft.com/office/drawing/2014/chart" uri="{C3380CC4-5D6E-409C-BE32-E72D297353CC}">
              <c16:uniqueId val="{00000010-728E-49A5-B4C7-43D84EF90A90}"/>
            </c:ext>
          </c:extLst>
        </c:ser>
        <c:dLbls>
          <c:showLegendKey val="0"/>
          <c:showVal val="0"/>
          <c:showCatName val="0"/>
          <c:showSerName val="0"/>
          <c:showPercent val="0"/>
          <c:showBubbleSize val="0"/>
        </c:dLbls>
        <c:marker val="1"/>
        <c:smooth val="0"/>
        <c:axId val="169281792"/>
        <c:axId val="169295872"/>
      </c:lineChart>
      <c:lineChart>
        <c:grouping val="standard"/>
        <c:varyColors val="0"/>
        <c:ser>
          <c:idx val="0"/>
          <c:order val="0"/>
          <c:tx>
            <c:strRef>
              <c:f>CUSTOMER_O!$D$9</c:f>
              <c:strCache>
                <c:ptCount val="1"/>
                <c:pt idx="0">
                  <c:v>CBD</c:v>
                </c:pt>
              </c:strCache>
            </c:strRef>
          </c:tx>
          <c:spPr>
            <a:ln w="28575" cap="rnd">
              <a:solidFill>
                <a:schemeClr val="accent5"/>
              </a:solidFill>
              <a:round/>
            </a:ln>
            <a:effectLst/>
          </c:spPr>
          <c:marker>
            <c:symbol val="none"/>
          </c:marker>
          <c:dPt>
            <c:idx val="0"/>
            <c:marker>
              <c:symbol val="none"/>
            </c:marker>
            <c:bubble3D val="0"/>
            <c:extLst>
              <c:ext xmlns:c16="http://schemas.microsoft.com/office/drawing/2014/chart" uri="{C3380CC4-5D6E-409C-BE32-E72D297353CC}">
                <c16:uniqueId val="{00000000-728E-49A5-B4C7-43D84EF90A90}"/>
              </c:ext>
            </c:extLst>
          </c:dPt>
          <c:dPt>
            <c:idx val="1"/>
            <c:marker>
              <c:symbol val="none"/>
            </c:marker>
            <c:bubble3D val="0"/>
            <c:extLst>
              <c:ext xmlns:c16="http://schemas.microsoft.com/office/drawing/2014/chart" uri="{C3380CC4-5D6E-409C-BE32-E72D297353CC}">
                <c16:uniqueId val="{00000001-728E-49A5-B4C7-43D84EF90A90}"/>
              </c:ext>
            </c:extLst>
          </c:dPt>
          <c:dPt>
            <c:idx val="2"/>
            <c:marker>
              <c:symbol val="none"/>
            </c:marker>
            <c:bubble3D val="0"/>
            <c:extLst>
              <c:ext xmlns:c16="http://schemas.microsoft.com/office/drawing/2014/chart" uri="{C3380CC4-5D6E-409C-BE32-E72D297353CC}">
                <c16:uniqueId val="{00000002-728E-49A5-B4C7-43D84EF90A90}"/>
              </c:ext>
            </c:extLst>
          </c:dPt>
          <c:dPt>
            <c:idx val="3"/>
            <c:marker>
              <c:symbol val="none"/>
            </c:marker>
            <c:bubble3D val="0"/>
            <c:extLst>
              <c:ext xmlns:c16="http://schemas.microsoft.com/office/drawing/2014/chart" uri="{C3380CC4-5D6E-409C-BE32-E72D297353CC}">
                <c16:uniqueId val="{00000003-728E-49A5-B4C7-43D84EF90A90}"/>
              </c:ext>
            </c:extLst>
          </c:dPt>
          <c:dPt>
            <c:idx val="4"/>
            <c:marker>
              <c:symbol val="none"/>
            </c:marker>
            <c:bubble3D val="0"/>
            <c:extLst>
              <c:ext xmlns:c16="http://schemas.microsoft.com/office/drawing/2014/chart" uri="{C3380CC4-5D6E-409C-BE32-E72D297353CC}">
                <c16:uniqueId val="{00000004-728E-49A5-B4C7-43D84EF90A90}"/>
              </c:ext>
            </c:extLst>
          </c:dPt>
          <c:dPt>
            <c:idx val="5"/>
            <c:marker>
              <c:symbol val="none"/>
            </c:marker>
            <c:bubble3D val="0"/>
            <c:extLst>
              <c:ext xmlns:c16="http://schemas.microsoft.com/office/drawing/2014/chart" uri="{C3380CC4-5D6E-409C-BE32-E72D297353CC}">
                <c16:uniqueId val="{00000006-728E-49A5-B4C7-43D84EF90A90}"/>
              </c:ext>
            </c:extLst>
          </c:dPt>
          <c:dPt>
            <c:idx val="6"/>
            <c:marker>
              <c:symbol val="none"/>
            </c:marker>
            <c:bubble3D val="0"/>
            <c:extLst>
              <c:ext xmlns:c16="http://schemas.microsoft.com/office/drawing/2014/chart" uri="{C3380CC4-5D6E-409C-BE32-E72D297353CC}">
                <c16:uniqueId val="{00000008-728E-49A5-B4C7-43D84EF90A90}"/>
              </c:ext>
            </c:extLst>
          </c:dPt>
          <c:dPt>
            <c:idx val="7"/>
            <c:marker>
              <c:symbol val="none"/>
            </c:marker>
            <c:bubble3D val="0"/>
            <c:extLst>
              <c:ext xmlns:c16="http://schemas.microsoft.com/office/drawing/2014/chart" uri="{C3380CC4-5D6E-409C-BE32-E72D297353CC}">
                <c16:uniqueId val="{0000000A-728E-49A5-B4C7-43D84EF90A90}"/>
              </c:ext>
            </c:extLst>
          </c:dPt>
          <c:dPt>
            <c:idx val="8"/>
            <c:marker>
              <c:symbol val="none"/>
            </c:marker>
            <c:bubble3D val="0"/>
            <c:extLst>
              <c:ext xmlns:c16="http://schemas.microsoft.com/office/drawing/2014/chart" uri="{C3380CC4-5D6E-409C-BE32-E72D297353CC}">
                <c16:uniqueId val="{0000000C-728E-49A5-B4C7-43D84EF90A90}"/>
              </c:ext>
            </c:extLst>
          </c:dPt>
          <c:dPt>
            <c:idx val="9"/>
            <c:marker>
              <c:symbol val="none"/>
            </c:marker>
            <c:bubble3D val="0"/>
            <c:extLst>
              <c:ext xmlns:c16="http://schemas.microsoft.com/office/drawing/2014/chart" uri="{C3380CC4-5D6E-409C-BE32-E72D297353CC}">
                <c16:uniqueId val="{0000000E-728E-49A5-B4C7-43D84EF90A90}"/>
              </c:ext>
            </c:extLst>
          </c:dPt>
          <c:cat>
            <c:strRef>
              <c:f>CUSTOMER_O!$E$8:$J$8</c:f>
              <c:strCache>
                <c:ptCount val="6"/>
                <c:pt idx="0">
                  <c:v>2010-11</c:v>
                </c:pt>
                <c:pt idx="1">
                  <c:v>2011-12</c:v>
                </c:pt>
                <c:pt idx="2">
                  <c:v>2012-13</c:v>
                </c:pt>
                <c:pt idx="3">
                  <c:v>2013-14</c:v>
                </c:pt>
                <c:pt idx="4">
                  <c:v>2014-15</c:v>
                </c:pt>
                <c:pt idx="5">
                  <c:v>2015-16</c:v>
                </c:pt>
              </c:strCache>
            </c:strRef>
          </c:cat>
          <c:val>
            <c:numRef>
              <c:f>CUSTOMER_O!$E$9:$J$9</c:f>
              <c:numCache>
                <c:formatCode>_-* #,##0.0_-;\-* #,##0.0_-;_-* "-"??_-;_-@_-</c:formatCode>
                <c:ptCount val="6"/>
                <c:pt idx="0">
                  <c:v>0.49050918951491407</c:v>
                </c:pt>
                <c:pt idx="1">
                  <c:v>0.40859614847892828</c:v>
                </c:pt>
                <c:pt idx="2">
                  <c:v>2.3723137036003351E-2</c:v>
                </c:pt>
                <c:pt idx="3">
                  <c:v>0.18460441910192449</c:v>
                </c:pt>
                <c:pt idx="4">
                  <c:v>0.14311270125223613</c:v>
                </c:pt>
                <c:pt idx="5">
                  <c:v>1.3062409288824383E-2</c:v>
                </c:pt>
              </c:numCache>
            </c:numRef>
          </c:val>
          <c:smooth val="0"/>
          <c:extLst>
            <c:ext xmlns:c16="http://schemas.microsoft.com/office/drawing/2014/chart" uri="{C3380CC4-5D6E-409C-BE32-E72D297353CC}">
              <c16:uniqueId val="{0000000F-728E-49A5-B4C7-43D84EF90A90}"/>
            </c:ext>
          </c:extLst>
        </c:ser>
        <c:ser>
          <c:idx val="2"/>
          <c:order val="2"/>
          <c:tx>
            <c:strRef>
              <c:f>CUSTOMER_O!$D$11</c:f>
              <c:strCache>
                <c:ptCount val="1"/>
                <c:pt idx="0">
                  <c:v>Rural Short</c:v>
                </c:pt>
              </c:strCache>
            </c:strRef>
          </c:tx>
          <c:spPr>
            <a:ln w="28575" cap="rnd">
              <a:solidFill>
                <a:schemeClr val="accent3">
                  <a:lumMod val="50000"/>
                </a:schemeClr>
              </a:solidFill>
              <a:round/>
            </a:ln>
            <a:effectLst/>
          </c:spPr>
          <c:marker>
            <c:symbol val="none"/>
          </c:marker>
          <c:cat>
            <c:strRef>
              <c:f>CUSTOMER_O!$E$8:$N$8</c:f>
              <c:strCache>
                <c:ptCount val="6"/>
                <c:pt idx="0">
                  <c:v>2010-11</c:v>
                </c:pt>
                <c:pt idx="1">
                  <c:v>2011-12</c:v>
                </c:pt>
                <c:pt idx="2">
                  <c:v>2012-13</c:v>
                </c:pt>
                <c:pt idx="3">
                  <c:v>2013-14</c:v>
                </c:pt>
                <c:pt idx="4">
                  <c:v>2014-15</c:v>
                </c:pt>
                <c:pt idx="5">
                  <c:v>2015-16</c:v>
                </c:pt>
              </c:strCache>
            </c:strRef>
          </c:cat>
          <c:val>
            <c:numRef>
              <c:f>CUSTOMER_O!$E$11:$J$11</c:f>
              <c:numCache>
                <c:formatCode>_-* #,##0.0_-;\-* #,##0.0_-;_-* "-"??_-;_-@_-</c:formatCode>
                <c:ptCount val="6"/>
                <c:pt idx="0">
                  <c:v>5.1232204221894877</c:v>
                </c:pt>
                <c:pt idx="1">
                  <c:v>4.0908536416313153</c:v>
                </c:pt>
                <c:pt idx="2">
                  <c:v>4.0696104040460286</c:v>
                </c:pt>
                <c:pt idx="3">
                  <c:v>1.7670909667699619</c:v>
                </c:pt>
                <c:pt idx="4">
                  <c:v>2.1600276551614082</c:v>
                </c:pt>
                <c:pt idx="5">
                  <c:v>3.5153789870193024</c:v>
                </c:pt>
              </c:numCache>
            </c:numRef>
          </c:val>
          <c:smooth val="0"/>
          <c:extLst>
            <c:ext xmlns:c16="http://schemas.microsoft.com/office/drawing/2014/chart" uri="{C3380CC4-5D6E-409C-BE32-E72D297353CC}">
              <c16:uniqueId val="{00000011-728E-49A5-B4C7-43D84EF90A90}"/>
            </c:ext>
          </c:extLst>
        </c:ser>
        <c:ser>
          <c:idx val="3"/>
          <c:order val="3"/>
          <c:tx>
            <c:strRef>
              <c:f>CUSTOMER_O!$D$12</c:f>
              <c:strCache>
                <c:ptCount val="1"/>
                <c:pt idx="0">
                  <c:v>Urban</c:v>
                </c:pt>
              </c:strCache>
            </c:strRef>
          </c:tx>
          <c:spPr>
            <a:ln w="28575" cap="rnd">
              <a:solidFill>
                <a:srgbClr val="92D050"/>
              </a:solidFill>
              <a:round/>
            </a:ln>
            <a:effectLst/>
          </c:spPr>
          <c:marker>
            <c:symbol val="none"/>
          </c:marker>
          <c:cat>
            <c:strRef>
              <c:f>CUSTOMER_O!$E$8:$N$8</c:f>
              <c:strCache>
                <c:ptCount val="6"/>
                <c:pt idx="0">
                  <c:v>2010-11</c:v>
                </c:pt>
                <c:pt idx="1">
                  <c:v>2011-12</c:v>
                </c:pt>
                <c:pt idx="2">
                  <c:v>2012-13</c:v>
                </c:pt>
                <c:pt idx="3">
                  <c:v>2013-14</c:v>
                </c:pt>
                <c:pt idx="4">
                  <c:v>2014-15</c:v>
                </c:pt>
                <c:pt idx="5">
                  <c:v>2015-16</c:v>
                </c:pt>
              </c:strCache>
            </c:strRef>
          </c:cat>
          <c:val>
            <c:numRef>
              <c:f>CUSTOMER_O!$E$12:$J$12</c:f>
              <c:numCache>
                <c:formatCode>_-* #,##0.0_-;\-* #,##0.0_-;_-* "-"??_-;_-@_-</c:formatCode>
                <c:ptCount val="6"/>
                <c:pt idx="0">
                  <c:v>2.6526278155166252</c:v>
                </c:pt>
                <c:pt idx="1">
                  <c:v>2.6456451094525595</c:v>
                </c:pt>
                <c:pt idx="2">
                  <c:v>3.056437014162495</c:v>
                </c:pt>
                <c:pt idx="3">
                  <c:v>1.7899774411859459</c:v>
                </c:pt>
                <c:pt idx="4">
                  <c:v>1.5335785146954286</c:v>
                </c:pt>
                <c:pt idx="5">
                  <c:v>1.7765680399108865</c:v>
                </c:pt>
              </c:numCache>
            </c:numRef>
          </c:val>
          <c:smooth val="0"/>
          <c:extLst>
            <c:ext xmlns:c16="http://schemas.microsoft.com/office/drawing/2014/chart" uri="{C3380CC4-5D6E-409C-BE32-E72D297353CC}">
              <c16:uniqueId val="{00000012-728E-49A5-B4C7-43D84EF90A90}"/>
            </c:ext>
          </c:extLst>
        </c:ser>
        <c:dLbls>
          <c:showLegendKey val="0"/>
          <c:showVal val="0"/>
          <c:showCatName val="0"/>
          <c:showSerName val="0"/>
          <c:showPercent val="0"/>
          <c:showBubbleSize val="0"/>
        </c:dLbls>
        <c:marker val="1"/>
        <c:smooth val="0"/>
        <c:axId val="169312256"/>
        <c:axId val="169297792"/>
      </c:lineChart>
      <c:catAx>
        <c:axId val="16928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9295872"/>
        <c:crosses val="autoZero"/>
        <c:auto val="1"/>
        <c:lblAlgn val="ctr"/>
        <c:lblOffset val="100"/>
        <c:noMultiLvlLbl val="0"/>
      </c:catAx>
      <c:valAx>
        <c:axId val="169295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number of outages per rural long</a:t>
                </a:r>
              </a:p>
            </c:rich>
          </c:tx>
          <c:layout>
            <c:manualLayout>
              <c:xMode val="edge"/>
              <c:yMode val="edge"/>
              <c:x val="1.6757436112274822E-2"/>
              <c:y val="5.511165612495159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69281792"/>
        <c:crosses val="autoZero"/>
        <c:crossBetween val="between"/>
      </c:valAx>
      <c:valAx>
        <c:axId val="1692977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number of outages per CBD,</a:t>
                </a:r>
                <a:r>
                  <a:rPr lang="en-US" baseline="0"/>
                  <a:t> urban and rural short</a:t>
                </a:r>
                <a:endParaRPr lang="en-US"/>
              </a:p>
            </c:rich>
          </c:tx>
          <c:layout>
            <c:manualLayout>
              <c:xMode val="edge"/>
              <c:yMode val="edge"/>
              <c:x val="0.91786063398966611"/>
              <c:y val="5.055792206302080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9312256"/>
        <c:crosses val="max"/>
        <c:crossBetween val="between"/>
      </c:valAx>
      <c:catAx>
        <c:axId val="169312256"/>
        <c:scaling>
          <c:orientation val="minMax"/>
        </c:scaling>
        <c:delete val="1"/>
        <c:axPos val="b"/>
        <c:numFmt formatCode="General" sourceLinked="1"/>
        <c:majorTickMark val="out"/>
        <c:minorTickMark val="none"/>
        <c:tickLblPos val="nextTo"/>
        <c:crossAx val="169297792"/>
        <c:crosses val="autoZero"/>
        <c:auto val="1"/>
        <c:lblAlgn val="ctr"/>
        <c:lblOffset val="100"/>
        <c:noMultiLvlLbl val="0"/>
      </c:catAx>
      <c:spPr>
        <a:noFill/>
        <a:ln>
          <a:noFill/>
        </a:ln>
        <a:effectLst/>
      </c:spPr>
    </c:plotArea>
    <c:legend>
      <c:legendPos val="b"/>
      <c:layout>
        <c:manualLayout>
          <c:xMode val="edge"/>
          <c:yMode val="edge"/>
          <c:x val="0.1946246723531436"/>
          <c:y val="0.91464437846908486"/>
          <c:w val="0.60357690503592165"/>
          <c:h val="7.68448001376877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CUSTOMER_O!$D$109</c:f>
              <c:strCache>
                <c:ptCount val="1"/>
                <c:pt idx="0">
                  <c:v>Revenue ($M)</c:v>
                </c:pt>
              </c:strCache>
            </c:strRef>
          </c:tx>
          <c:spPr>
            <a:solidFill>
              <a:srgbClr val="2A3D6F"/>
            </a:solidFill>
            <a:ln>
              <a:solidFill>
                <a:schemeClr val="bg1"/>
              </a:solidFill>
            </a:ln>
            <a:effectLst/>
          </c:spPr>
          <c:invertIfNegative val="0"/>
          <c:dPt>
            <c:idx val="0"/>
            <c:invertIfNegative val="0"/>
            <c:bubble3D val="0"/>
            <c:extLst>
              <c:ext xmlns:c16="http://schemas.microsoft.com/office/drawing/2014/chart" uri="{C3380CC4-5D6E-409C-BE32-E72D297353CC}">
                <c16:uniqueId val="{00000000-4D62-48A8-BCF1-C5C268A5F790}"/>
              </c:ext>
            </c:extLst>
          </c:dPt>
          <c:dPt>
            <c:idx val="1"/>
            <c:invertIfNegative val="0"/>
            <c:bubble3D val="0"/>
            <c:extLst>
              <c:ext xmlns:c16="http://schemas.microsoft.com/office/drawing/2014/chart" uri="{C3380CC4-5D6E-409C-BE32-E72D297353CC}">
                <c16:uniqueId val="{00000001-4D62-48A8-BCF1-C5C268A5F790}"/>
              </c:ext>
            </c:extLst>
          </c:dPt>
          <c:dPt>
            <c:idx val="2"/>
            <c:invertIfNegative val="0"/>
            <c:bubble3D val="0"/>
            <c:extLst>
              <c:ext xmlns:c16="http://schemas.microsoft.com/office/drawing/2014/chart" uri="{C3380CC4-5D6E-409C-BE32-E72D297353CC}">
                <c16:uniqueId val="{00000002-4D62-48A8-BCF1-C5C268A5F790}"/>
              </c:ext>
            </c:extLst>
          </c:dPt>
          <c:dPt>
            <c:idx val="3"/>
            <c:invertIfNegative val="0"/>
            <c:bubble3D val="0"/>
            <c:extLst>
              <c:ext xmlns:c16="http://schemas.microsoft.com/office/drawing/2014/chart" uri="{C3380CC4-5D6E-409C-BE32-E72D297353CC}">
                <c16:uniqueId val="{00000003-4D62-48A8-BCF1-C5C268A5F790}"/>
              </c:ext>
            </c:extLst>
          </c:dPt>
          <c:dPt>
            <c:idx val="4"/>
            <c:invertIfNegative val="0"/>
            <c:bubble3D val="0"/>
            <c:extLst>
              <c:ext xmlns:c16="http://schemas.microsoft.com/office/drawing/2014/chart" uri="{C3380CC4-5D6E-409C-BE32-E72D297353CC}">
                <c16:uniqueId val="{00000004-4D62-48A8-BCF1-C5C268A5F790}"/>
              </c:ext>
            </c:extLst>
          </c:dPt>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6-4D62-48A8-BCF1-C5C268A5F790}"/>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8-4D62-48A8-BCF1-C5C268A5F790}"/>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A-4D62-48A8-BCF1-C5C268A5F790}"/>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0C-4D62-48A8-BCF1-C5C268A5F790}"/>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0E-4D62-48A8-BCF1-C5C268A5F790}"/>
              </c:ext>
            </c:extLst>
          </c:dPt>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CUSTOMER_O!$E$109:$N$109</c:f>
              <c:numCache>
                <c:formatCode>_-* #,##0.0_-;\-* #,##0.0_-;_-* "-"??_-;_-@_-</c:formatCode>
                <c:ptCount val="10"/>
                <c:pt idx="0">
                  <c:v>155.27938326591433</c:v>
                </c:pt>
                <c:pt idx="1">
                  <c:v>176.76167168816511</c:v>
                </c:pt>
                <c:pt idx="2">
                  <c:v>176.69238587669662</c:v>
                </c:pt>
                <c:pt idx="3">
                  <c:v>181.85744946070827</c:v>
                </c:pt>
                <c:pt idx="4">
                  <c:v>179.83145840923561</c:v>
                </c:pt>
                <c:pt idx="5">
                  <c:v>161.09232686868472</c:v>
                </c:pt>
                <c:pt idx="6">
                  <c:v>166.53091124242047</c:v>
                </c:pt>
                <c:pt idx="7">
                  <c:v>172.15310585113875</c:v>
                </c:pt>
                <c:pt idx="8">
                  <c:v>177.96510949880647</c:v>
                </c:pt>
                <c:pt idx="9">
                  <c:v>183.97333026514593</c:v>
                </c:pt>
              </c:numCache>
            </c:numRef>
          </c:val>
          <c:extLst>
            <c:ext xmlns:c16="http://schemas.microsoft.com/office/drawing/2014/chart" uri="{C3380CC4-5D6E-409C-BE32-E72D297353CC}">
              <c16:uniqueId val="{0000000F-4D62-48A8-BCF1-C5C268A5F790}"/>
            </c:ext>
          </c:extLst>
        </c:ser>
        <c:dLbls>
          <c:showLegendKey val="0"/>
          <c:showVal val="0"/>
          <c:showCatName val="0"/>
          <c:showSerName val="0"/>
          <c:showPercent val="0"/>
          <c:showBubbleSize val="0"/>
        </c:dLbls>
        <c:gapWidth val="20"/>
        <c:axId val="169345792"/>
        <c:axId val="169347328"/>
      </c:barChart>
      <c:lineChart>
        <c:grouping val="standard"/>
        <c:varyColors val="0"/>
        <c:ser>
          <c:idx val="1"/>
          <c:order val="1"/>
          <c:tx>
            <c:strRef>
              <c:f>CUSTOMER_O!$D$110</c:f>
              <c:strCache>
                <c:ptCount val="1"/>
                <c:pt idx="0">
                  <c:v>Revenue per Customer ($)</c:v>
                </c:pt>
              </c:strCache>
            </c:strRef>
          </c:tx>
          <c:spPr>
            <a:ln w="28575" cap="rnd">
              <a:solidFill>
                <a:srgbClr val="FFD339"/>
              </a:solidFill>
              <a:round/>
            </a:ln>
            <a:effectLst/>
          </c:spPr>
          <c:marker>
            <c:symbol val="none"/>
          </c:marker>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CUSTOMER_O!$E$110:$N$110</c:f>
              <c:numCache>
                <c:formatCode>_-* #,##0.0_-;\-* #,##0.0_-;_-* "-"??_-;_-@_-</c:formatCode>
                <c:ptCount val="10"/>
                <c:pt idx="0">
                  <c:v>1914.4059778071326</c:v>
                </c:pt>
                <c:pt idx="1">
                  <c:v>2131.8419066292599</c:v>
                </c:pt>
                <c:pt idx="2">
                  <c:v>2113.8739980702335</c:v>
                </c:pt>
                <c:pt idx="3">
                  <c:v>2166.0268638348271</c:v>
                </c:pt>
                <c:pt idx="4">
                  <c:v>2130.1996968637241</c:v>
                </c:pt>
                <c:pt idx="5">
                  <c:v>1893.5998550484849</c:v>
                </c:pt>
                <c:pt idx="6">
                  <c:v>1939.8344893581734</c:v>
                </c:pt>
                <c:pt idx="7">
                  <c:v>1986.9704395279225</c:v>
                </c:pt>
                <c:pt idx="8">
                  <c:v>2044.917836774446</c:v>
                </c:pt>
                <c:pt idx="9">
                  <c:v>2104.5005120757037</c:v>
                </c:pt>
              </c:numCache>
            </c:numRef>
          </c:val>
          <c:smooth val="1"/>
          <c:extLst>
            <c:ext xmlns:c16="http://schemas.microsoft.com/office/drawing/2014/chart" uri="{C3380CC4-5D6E-409C-BE32-E72D297353CC}">
              <c16:uniqueId val="{00000010-4D62-48A8-BCF1-C5C268A5F790}"/>
            </c:ext>
          </c:extLst>
        </c:ser>
        <c:dLbls>
          <c:showLegendKey val="0"/>
          <c:showVal val="0"/>
          <c:showCatName val="0"/>
          <c:showSerName val="0"/>
          <c:showPercent val="0"/>
          <c:showBubbleSize val="0"/>
        </c:dLbls>
        <c:marker val="1"/>
        <c:smooth val="0"/>
        <c:axId val="169371904"/>
        <c:axId val="169369984"/>
      </c:lineChart>
      <c:catAx>
        <c:axId val="169345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47328"/>
        <c:crosses val="autoZero"/>
        <c:auto val="1"/>
        <c:lblAlgn val="ctr"/>
        <c:lblOffset val="100"/>
        <c:noMultiLvlLbl val="0"/>
      </c:catAx>
      <c:valAx>
        <c:axId val="169347328"/>
        <c:scaling>
          <c:orientation val="minMax"/>
        </c:scaling>
        <c:delete val="0"/>
        <c:axPos val="l"/>
        <c:majorGridlines>
          <c:spPr>
            <a:ln w="9525" cap="flat" cmpd="sng" algn="ctr">
              <a:solidFill>
                <a:schemeClr val="tx1">
                  <a:lumMod val="15000"/>
                  <a:lumOff val="85000"/>
                </a:schemeClr>
              </a:solidFill>
              <a:round/>
            </a:ln>
            <a:effectLst/>
          </c:spPr>
        </c:majorGridlines>
        <c:title>
          <c:tx>
            <c:strRef>
              <c:f>CUSTOMER_O!$D$109</c:f>
              <c:strCache>
                <c:ptCount val="1"/>
                <c:pt idx="0">
                  <c:v>Revenue ($M)</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345792"/>
        <c:crosses val="autoZero"/>
        <c:crossBetween val="between"/>
      </c:valAx>
      <c:valAx>
        <c:axId val="169369984"/>
        <c:scaling>
          <c:orientation val="minMax"/>
        </c:scaling>
        <c:delete val="0"/>
        <c:axPos val="r"/>
        <c:title>
          <c:tx>
            <c:strRef>
              <c:f>CUSTOMER_O!$D$110</c:f>
              <c:strCache>
                <c:ptCount val="1"/>
                <c:pt idx="0">
                  <c:v>Revenue per Customer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69371904"/>
        <c:crosses val="max"/>
        <c:crossBetween val="between"/>
      </c:valAx>
      <c:catAx>
        <c:axId val="169371904"/>
        <c:scaling>
          <c:orientation val="minMax"/>
        </c:scaling>
        <c:delete val="1"/>
        <c:axPos val="b"/>
        <c:numFmt formatCode="General" sourceLinked="1"/>
        <c:majorTickMark val="out"/>
        <c:minorTickMark val="none"/>
        <c:tickLblPos val="nextTo"/>
        <c:crossAx val="1693699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51925559222654"/>
          <c:y val="3.771557085317831E-2"/>
          <c:w val="0.82796919684481796"/>
          <c:h val="0.87326517521977698"/>
        </c:manualLayout>
      </c:layout>
      <c:scatterChart>
        <c:scatterStyle val="lineMarker"/>
        <c:varyColors val="0"/>
        <c:ser>
          <c:idx val="0"/>
          <c:order val="0"/>
          <c:tx>
            <c:strRef>
              <c:f>'[13]Output_Impact&gt;750'!$W$34</c:f>
              <c:strCache>
                <c:ptCount val="1"/>
                <c:pt idx="0">
                  <c:v>$ Change from t-1</c:v>
                </c:pt>
              </c:strCache>
            </c:strRef>
          </c:tx>
          <c:spPr>
            <a:ln w="60325">
              <a:solidFill>
                <a:schemeClr val="accent6"/>
              </a:solidFill>
            </a:ln>
          </c:spPr>
          <c:marker>
            <c:symbol val="none"/>
          </c:marker>
          <c:xVal>
            <c:strRef>
              <c:f>'[13]Output_Impact&gt;750'!$D$35:$D$219</c:f>
              <c:strCache>
                <c:ptCount val="185"/>
                <c:pt idx="0">
                  <c:v>BOC 08</c:v>
                </c:pt>
                <c:pt idx="1">
                  <c:v>TOT RDH 08</c:v>
                </c:pt>
                <c:pt idx="2">
                  <c:v>COSMO MINE 08</c:v>
                </c:pt>
                <c:pt idx="3">
                  <c:v>ROB/BRKS 08</c:v>
                </c:pt>
                <c:pt idx="4">
                  <c:v>UNION REEF 08</c:v>
                </c:pt>
                <c:pt idx="5">
                  <c:v>DIA 08</c:v>
                </c:pt>
                <c:pt idx="6">
                  <c:v>TOT TINDAL 08</c:v>
                </c:pt>
                <c:pt idx="7">
                  <c:v>CDU CAS 08</c:v>
                </c:pt>
                <c:pt idx="8">
                  <c:v>RAAF DARWIN 08</c:v>
                </c:pt>
                <c:pt idx="9">
                  <c:v>CASINO DAR 08</c:v>
                </c:pt>
                <c:pt idx="10">
                  <c:v>HOW SP JAIL 08</c:v>
                </c:pt>
                <c:pt idx="11">
                  <c:v>RAA LARR 08</c:v>
                </c:pt>
                <c:pt idx="12">
                  <c:v>NTH CEMENT 08</c:v>
                </c:pt>
                <c:pt idx="13">
                  <c:v>MEREENIE 08</c:v>
                </c:pt>
                <c:pt idx="14">
                  <c:v>LASSETERS 08</c:v>
                </c:pt>
                <c:pt idx="15">
                  <c:v>POLICE BERR 08</c:v>
                </c:pt>
                <c:pt idx="16">
                  <c:v>TOT DPH 08</c:v>
                </c:pt>
                <c:pt idx="17">
                  <c:v>RAN S/BAY 08</c:v>
                </c:pt>
                <c:pt idx="18">
                  <c:v>A/S HOSP 08</c:v>
                </c:pt>
                <c:pt idx="19">
                  <c:v>DET 08</c:v>
                </c:pt>
                <c:pt idx="20">
                  <c:v>19 MILE 08</c:v>
                </c:pt>
                <c:pt idx="21">
                  <c:v>CAS SQUARE 08</c:v>
                </c:pt>
                <c:pt idx="22">
                  <c:v>BARRA 08</c:v>
                </c:pt>
                <c:pt idx="23">
                  <c:v>BORAL MTBDY 08</c:v>
                </c:pt>
                <c:pt idx="24">
                  <c:v>DAR RIV DAM 08</c:v>
                </c:pt>
                <c:pt idx="25">
                  <c:v>CONVENTION 08</c:v>
                </c:pt>
                <c:pt idx="26">
                  <c:v>TAMINMIN 08</c:v>
                </c:pt>
                <c:pt idx="27">
                  <c:v>SPRAYPAVE P/L</c:v>
                </c:pt>
                <c:pt idx="28">
                  <c:v>DAR HIGH 08</c:v>
                </c:pt>
                <c:pt idx="29">
                  <c:v>TFS KAT 08</c:v>
                </c:pt>
                <c:pt idx="30">
                  <c:v>W/WTHS NCLF 08</c:v>
                </c:pt>
                <c:pt idx="31">
                  <c:v>DBLTREE ESP 08</c:v>
                </c:pt>
                <c:pt idx="32">
                  <c:v>W/WTHS CAS 08</c:v>
                </c:pt>
                <c:pt idx="33">
                  <c:v>PALM HIGH 08</c:v>
                </c:pt>
                <c:pt idx="34">
                  <c:v>CM PALM 08</c:v>
                </c:pt>
                <c:pt idx="35">
                  <c:v>KATH HOSP 08</c:v>
                </c:pt>
                <c:pt idx="36">
                  <c:v>TOT PARLMNT 08</c:v>
                </c:pt>
                <c:pt idx="37">
                  <c:v>NCLIFF HIGH 08</c:v>
                </c:pt>
                <c:pt idx="38">
                  <c:v>BERR FARM 08</c:v>
                </c:pt>
                <c:pt idx="39">
                  <c:v>MITCHEL CTR 08</c:v>
                </c:pt>
                <c:pt idx="40">
                  <c:v>CSC 08</c:v>
                </c:pt>
                <c:pt idx="41">
                  <c:v>BATCH COL 08</c:v>
                </c:pt>
                <c:pt idx="42">
                  <c:v>IGA 08</c:v>
                </c:pt>
                <c:pt idx="43">
                  <c:v>DWN MIDDLE 08</c:v>
                </c:pt>
                <c:pt idx="44">
                  <c:v>W/WTHS CAV 08</c:v>
                </c:pt>
                <c:pt idx="45">
                  <c:v>DRIPSTONE 08</c:v>
                </c:pt>
                <c:pt idx="46">
                  <c:v>TELSTRA DAR 08</c:v>
                </c:pt>
                <c:pt idx="47">
                  <c:v>VIBE 08</c:v>
                </c:pt>
                <c:pt idx="48">
                  <c:v>TOT PAULS 08</c:v>
                </c:pt>
                <c:pt idx="49">
                  <c:v>DBLTREE ASP 08</c:v>
                </c:pt>
                <c:pt idx="50">
                  <c:v>COLES CAS 08</c:v>
                </c:pt>
                <c:pt idx="51">
                  <c:v>DEB 08</c:v>
                </c:pt>
                <c:pt idx="52">
                  <c:v>W/WTHS PALM 08</c:v>
                </c:pt>
                <c:pt idx="53">
                  <c:v>MACKILLOP COLL</c:v>
                </c:pt>
                <c:pt idx="54">
                  <c:v>DBLTREE DAR 08</c:v>
                </c:pt>
                <c:pt idx="55">
                  <c:v>SANDER HIGH 08</c:v>
                </c:pt>
                <c:pt idx="56">
                  <c:v>KORM PV 08</c:v>
                </c:pt>
                <c:pt idx="57">
                  <c:v>NT NEWS 08</c:v>
                </c:pt>
                <c:pt idx="58">
                  <c:v>HILTON DAR 08</c:v>
                </c:pt>
                <c:pt idx="59">
                  <c:v>KORMILDA 08</c:v>
                </c:pt>
                <c:pt idx="60">
                  <c:v>PRISON A/S 08</c:v>
                </c:pt>
                <c:pt idx="61">
                  <c:v>ST PH COLL 08</c:v>
                </c:pt>
                <c:pt idx="62">
                  <c:v>BAKEWELL PS 08</c:v>
                </c:pt>
                <c:pt idx="63">
                  <c:v>CDU ASP 08</c:v>
                </c:pt>
                <c:pt idx="64">
                  <c:v>JOONDANNA 08</c:v>
                </c:pt>
                <c:pt idx="65">
                  <c:v>W/WTHS KATH 08</c:v>
                </c:pt>
                <c:pt idx="66">
                  <c:v>EXPANSIVE 08</c:v>
                </c:pt>
                <c:pt idx="67">
                  <c:v>SUPREME 08</c:v>
                </c:pt>
                <c:pt idx="68">
                  <c:v>YEPERENYE 08</c:v>
                </c:pt>
                <c:pt idx="69">
                  <c:v>CROC CITY 08</c:v>
                </c:pt>
                <c:pt idx="70">
                  <c:v>CSR EMOLEUM 08</c:v>
                </c:pt>
                <c:pt idx="71">
                  <c:v>DCIS ITMS 08</c:v>
                </c:pt>
                <c:pt idx="72">
                  <c:v>PORT CORP 08</c:v>
                </c:pt>
                <c:pt idx="73">
                  <c:v>CM TARGET 08</c:v>
                </c:pt>
                <c:pt idx="74">
                  <c:v>TURF CLUB 08</c:v>
                </c:pt>
                <c:pt idx="75">
                  <c:v>W/WTHS A/S 08</c:v>
                </c:pt>
                <c:pt idx="76">
                  <c:v>OASIS 08</c:v>
                </c:pt>
                <c:pt idx="77">
                  <c:v>PAWA LUD 08</c:v>
                </c:pt>
                <c:pt idx="78">
                  <c:v>ST JOHNS 08</c:v>
                </c:pt>
                <c:pt idx="79">
                  <c:v>TIO 24 MIT 08</c:v>
                </c:pt>
                <c:pt idx="80">
                  <c:v>TOLL 08</c:v>
                </c:pt>
                <c:pt idx="81">
                  <c:v>WAVE POOL 08</c:v>
                </c:pt>
                <c:pt idx="82">
                  <c:v>YIRARA 08</c:v>
                </c:pt>
                <c:pt idx="83">
                  <c:v>GULF TRANS 08</c:v>
                </c:pt>
                <c:pt idx="84">
                  <c:v>EAST ARM 08</c:v>
                </c:pt>
                <c:pt idx="85">
                  <c:v>THS T/C 08</c:v>
                </c:pt>
                <c:pt idx="86">
                  <c:v>MUSEUM 08</c:v>
                </c:pt>
                <c:pt idx="87">
                  <c:v>AS HEALTH 08</c:v>
                </c:pt>
                <c:pt idx="88">
                  <c:v>TIO 22 MIT 08</c:v>
                </c:pt>
                <c:pt idx="89">
                  <c:v>BAKERY DAR 08</c:v>
                </c:pt>
                <c:pt idx="90">
                  <c:v>PAWA B/H 08</c:v>
                </c:pt>
                <c:pt idx="91">
                  <c:v>CM COLES AS 08</c:v>
                </c:pt>
                <c:pt idx="92">
                  <c:v>RAND 80 MIT 08</c:v>
                </c:pt>
                <c:pt idx="93">
                  <c:v>W/WTHS LEA 08</c:v>
                </c:pt>
                <c:pt idx="94">
                  <c:v>AIRPORT A/S 08</c:v>
                </c:pt>
                <c:pt idx="95">
                  <c:v>W/WTHS BKWL 08</c:v>
                </c:pt>
                <c:pt idx="96">
                  <c:v>UNITED 08</c:v>
                </c:pt>
                <c:pt idx="97">
                  <c:v>A/POST DAR 08</c:v>
                </c:pt>
                <c:pt idx="98">
                  <c:v>W/WTHS KAR 08</c:v>
                </c:pt>
                <c:pt idx="99">
                  <c:v>CDU PALM 08</c:v>
                </c:pt>
                <c:pt idx="100">
                  <c:v>CHARLES DWN 08</c:v>
                </c:pt>
                <c:pt idx="101">
                  <c:v>SAVILLE DAR 08</c:v>
                </c:pt>
                <c:pt idx="102">
                  <c:v>INDI A/S 08</c:v>
                </c:pt>
                <c:pt idx="103">
                  <c:v>GREATOREX 08</c:v>
                </c:pt>
                <c:pt idx="104">
                  <c:v>CM BILO CAS 08</c:v>
                </c:pt>
                <c:pt idx="105">
                  <c:v>WILDLIFE PK 08</c:v>
                </c:pt>
                <c:pt idx="106">
                  <c:v>W/WTHS COOL 08</c:v>
                </c:pt>
                <c:pt idx="107">
                  <c:v>RAND 47 MIT 08</c:v>
                </c:pt>
                <c:pt idx="108">
                  <c:v>H/NORMAN 08</c:v>
                </c:pt>
                <c:pt idx="109">
                  <c:v>DAR CENTRAL 08</c:v>
                </c:pt>
                <c:pt idx="110">
                  <c:v>MAG CRT DAR 08</c:v>
                </c:pt>
                <c:pt idx="111">
                  <c:v>A/S RESORT 08</c:v>
                </c:pt>
                <c:pt idx="112">
                  <c:v>IBIS 08</c:v>
                </c:pt>
                <c:pt idx="113">
                  <c:v>ZEN 08</c:v>
                </c:pt>
                <c:pt idx="114">
                  <c:v>CM MITCH 08</c:v>
                </c:pt>
                <c:pt idx="115">
                  <c:v>RAAF A/S 08</c:v>
                </c:pt>
                <c:pt idx="116">
                  <c:v>PAWA ARMID 08</c:v>
                </c:pt>
                <c:pt idx="117">
                  <c:v>MAC CAS 08</c:v>
                </c:pt>
                <c:pt idx="118">
                  <c:v>H HOTEL 08</c:v>
                </c:pt>
                <c:pt idx="119">
                  <c:v>GRECAR 08</c:v>
                </c:pt>
                <c:pt idx="120">
                  <c:v>KNOTTS 08</c:v>
                </c:pt>
                <c:pt idx="121">
                  <c:v>FREESPIRIT 08</c:v>
                </c:pt>
                <c:pt idx="122">
                  <c:v>JOON KARAMA 08</c:v>
                </c:pt>
                <c:pt idx="123">
                  <c:v>BUNNINGS 08</c:v>
                </c:pt>
                <c:pt idx="124">
                  <c:v>HOW SPR TAV 08</c:v>
                </c:pt>
                <c:pt idx="125">
                  <c:v>KERRYS 08</c:v>
                </c:pt>
                <c:pt idx="126">
                  <c:v>VENTURIN 08</c:v>
                </c:pt>
                <c:pt idx="127">
                  <c:v>MIRAMBEENA 08</c:v>
                </c:pt>
                <c:pt idx="128">
                  <c:v>CNTR POINT 08</c:v>
                </c:pt>
                <c:pt idx="129">
                  <c:v>MAC COOL 08</c:v>
                </c:pt>
                <c:pt idx="130">
                  <c:v>A/S SWIM 08</c:v>
                </c:pt>
                <c:pt idx="131">
                  <c:v>RAPID CK 08</c:v>
                </c:pt>
                <c:pt idx="132">
                  <c:v>MAC ST PARK 08</c:v>
                </c:pt>
                <c:pt idx="133">
                  <c:v>NOVATEL DAR 08</c:v>
                </c:pt>
                <c:pt idx="134">
                  <c:v>CM NTHLKS 08</c:v>
                </c:pt>
                <c:pt idx="135">
                  <c:v>WYUNA3 08</c:v>
                </c:pt>
                <c:pt idx="136">
                  <c:v>MAC LUD 08</c:v>
                </c:pt>
                <c:pt idx="137">
                  <c:v>MASONIC 08</c:v>
                </c:pt>
                <c:pt idx="138">
                  <c:v>TELSTRA WAN 08</c:v>
                </c:pt>
                <c:pt idx="139">
                  <c:v>KOSMOS 08</c:v>
                </c:pt>
                <c:pt idx="140">
                  <c:v>DCC 08</c:v>
                </c:pt>
                <c:pt idx="141">
                  <c:v>THE HUB 08</c:v>
                </c:pt>
                <c:pt idx="142">
                  <c:v>SHADY GLEN 08</c:v>
                </c:pt>
                <c:pt idx="143">
                  <c:v>CM KMART AS 08</c:v>
                </c:pt>
                <c:pt idx="144">
                  <c:v>MAC PALM 08</c:v>
                </c:pt>
                <c:pt idx="145">
                  <c:v>SECURE 08</c:v>
                </c:pt>
                <c:pt idx="146">
                  <c:v>BROAD DAR 08</c:v>
                </c:pt>
                <c:pt idx="147">
                  <c:v>MONSOONS 08</c:v>
                </c:pt>
                <c:pt idx="148">
                  <c:v>TRACEY VIL 08</c:v>
                </c:pt>
                <c:pt idx="149">
                  <c:v>AIRPORT HTL 08</c:v>
                </c:pt>
                <c:pt idx="150">
                  <c:v>W/WTHS HDOO 08</c:v>
                </c:pt>
                <c:pt idx="151">
                  <c:v>CAZALYS 08</c:v>
                </c:pt>
                <c:pt idx="152">
                  <c:v>A/POST WIN 08</c:v>
                </c:pt>
                <c:pt idx="153">
                  <c:v>BIDVEST 08</c:v>
                </c:pt>
                <c:pt idx="154">
                  <c:v>ABC 08</c:v>
                </c:pt>
                <c:pt idx="155">
                  <c:v>CAS CLUB 08</c:v>
                </c:pt>
                <c:pt idx="156">
                  <c:v>105 MIT 08</c:v>
                </c:pt>
                <c:pt idx="157">
                  <c:v>OPTUS 08</c:v>
                </c:pt>
                <c:pt idx="158">
                  <c:v>BCC CAS 08</c:v>
                </c:pt>
                <c:pt idx="159">
                  <c:v>SC CARE 08</c:v>
                </c:pt>
                <c:pt idx="160">
                  <c:v>BERR GAOL 08</c:v>
                </c:pt>
                <c:pt idx="161">
                  <c:v>FRONTIER 08</c:v>
                </c:pt>
                <c:pt idx="162">
                  <c:v>TELSTRA A/S 08</c:v>
                </c:pt>
                <c:pt idx="163">
                  <c:v>PALM TAVERN 08</c:v>
                </c:pt>
                <c:pt idx="164">
                  <c:v>THE CAV 08</c:v>
                </c:pt>
                <c:pt idx="165">
                  <c:v>KATH HIGH 08</c:v>
                </c:pt>
                <c:pt idx="166">
                  <c:v>PARAP HOTEL 08</c:v>
                </c:pt>
                <c:pt idx="167">
                  <c:v>CM KMARTCAS 08</c:v>
                </c:pt>
                <c:pt idx="168">
                  <c:v>ELSY LIME 08</c:v>
                </c:pt>
                <c:pt idx="169">
                  <c:v>RAN H/DOO 08</c:v>
                </c:pt>
                <c:pt idx="170">
                  <c:v>CDU UNILDGE 08</c:v>
                </c:pt>
                <c:pt idx="171">
                  <c:v>PARKS/WILD 08</c:v>
                </c:pt>
                <c:pt idx="172">
                  <c:v>COMPASS 08</c:v>
                </c:pt>
                <c:pt idx="173">
                  <c:v>TELSTRA KAT 08</c:v>
                </c:pt>
                <c:pt idx="174">
                  <c:v>TTF 08</c:v>
                </c:pt>
                <c:pt idx="175">
                  <c:v>STOKES HILL 08</c:v>
                </c:pt>
                <c:pt idx="176">
                  <c:v>PAWA CAB TC 08</c:v>
                </c:pt>
                <c:pt idx="177">
                  <c:v>PFES KAT 08</c:v>
                </c:pt>
                <c:pt idx="178">
                  <c:v>NTH FEED CO 08</c:v>
                </c:pt>
                <c:pt idx="179">
                  <c:v>CDU WFRONT 08</c:v>
                </c:pt>
                <c:pt idx="180">
                  <c:v>Palmerston Gateway Complex Stage 1, 2,3,4</c:v>
                </c:pt>
                <c:pt idx="181">
                  <c:v>T/C Gass Piplne</c:v>
                </c:pt>
                <c:pt idx="182">
                  <c:v>Palmerston Hospital</c:v>
                </c:pt>
                <c:pt idx="183">
                  <c:v>INPEX PLANT 08</c:v>
                </c:pt>
                <c:pt idx="184">
                  <c:v>INPEX CAMP 08</c:v>
                </c:pt>
              </c:strCache>
            </c:strRef>
          </c:xVal>
          <c:yVal>
            <c:numRef>
              <c:f>'[13]Output_Impact&gt;750'!$X$35:$X$214</c:f>
              <c:numCache>
                <c:formatCode>General</c:formatCode>
                <c:ptCount val="180"/>
                <c:pt idx="0">
                  <c:v>0.27322200719020096</c:v>
                </c:pt>
                <c:pt idx="1">
                  <c:v>0.27185351780156264</c:v>
                </c:pt>
                <c:pt idx="2">
                  <c:v>0.27113653560084905</c:v>
                </c:pt>
                <c:pt idx="3">
                  <c:v>0.2581770022668517</c:v>
                </c:pt>
                <c:pt idx="4">
                  <c:v>0.23240450853193173</c:v>
                </c:pt>
                <c:pt idx="5">
                  <c:v>0.22228094899528705</c:v>
                </c:pt>
                <c:pt idx="6">
                  <c:v>0.21195852778708923</c:v>
                </c:pt>
                <c:pt idx="7">
                  <c:v>0.20110562514907637</c:v>
                </c:pt>
                <c:pt idx="8">
                  <c:v>0.19296736557649585</c:v>
                </c:pt>
                <c:pt idx="9">
                  <c:v>0.19268567706959017</c:v>
                </c:pt>
                <c:pt idx="10">
                  <c:v>0.16831809448780599</c:v>
                </c:pt>
                <c:pt idx="11">
                  <c:v>0.15761477974874483</c:v>
                </c:pt>
                <c:pt idx="12">
                  <c:v>0.12519014986005295</c:v>
                </c:pt>
                <c:pt idx="13">
                  <c:v>9.4921662109687555E-2</c:v>
                </c:pt>
                <c:pt idx="14">
                  <c:v>9.1358154628499832E-2</c:v>
                </c:pt>
                <c:pt idx="15">
                  <c:v>4.6739294531846776E-2</c:v>
                </c:pt>
                <c:pt idx="16">
                  <c:v>3.8887044622486711E-2</c:v>
                </c:pt>
                <c:pt idx="17">
                  <c:v>3.5072439258573285E-2</c:v>
                </c:pt>
                <c:pt idx="18">
                  <c:v>3.2887217163477533E-2</c:v>
                </c:pt>
                <c:pt idx="19">
                  <c:v>3.1330438478762934E-2</c:v>
                </c:pt>
                <c:pt idx="20">
                  <c:v>9.3354836538612762E-3</c:v>
                </c:pt>
                <c:pt idx="21">
                  <c:v>-1.2573300982451463E-2</c:v>
                </c:pt>
                <c:pt idx="22">
                  <c:v>-1.5238058875012617E-2</c:v>
                </c:pt>
                <c:pt idx="23">
                  <c:v>-1.5832115050745332E-2</c:v>
                </c:pt>
                <c:pt idx="24">
                  <c:v>-4.4167174122736297E-2</c:v>
                </c:pt>
                <c:pt idx="25">
                  <c:v>-4.519879920464398E-2</c:v>
                </c:pt>
                <c:pt idx="26">
                  <c:v>-5.468807015575039E-2</c:v>
                </c:pt>
                <c:pt idx="27">
                  <c:v>-5.4779510485442051E-2</c:v>
                </c:pt>
                <c:pt idx="28">
                  <c:v>-5.5057725966480953E-2</c:v>
                </c:pt>
                <c:pt idx="29">
                  <c:v>-5.5068377288604031E-2</c:v>
                </c:pt>
                <c:pt idx="30">
                  <c:v>-5.5442532852776671E-2</c:v>
                </c:pt>
                <c:pt idx="31">
                  <c:v>-6.0397129063868071E-2</c:v>
                </c:pt>
                <c:pt idx="32">
                  <c:v>-6.0597187938665975E-2</c:v>
                </c:pt>
                <c:pt idx="33">
                  <c:v>-6.6419592038162167E-2</c:v>
                </c:pt>
                <c:pt idx="34">
                  <c:v>-6.646564204817007E-2</c:v>
                </c:pt>
                <c:pt idx="35">
                  <c:v>-6.9416864093486685E-2</c:v>
                </c:pt>
                <c:pt idx="36">
                  <c:v>-7.0586295375772656E-2</c:v>
                </c:pt>
                <c:pt idx="37">
                  <c:v>-7.116732942829096E-2</c:v>
                </c:pt>
                <c:pt idx="38">
                  <c:v>-7.2976087014539837E-2</c:v>
                </c:pt>
                <c:pt idx="39">
                  <c:v>-7.3776819576984676E-2</c:v>
                </c:pt>
                <c:pt idx="40">
                  <c:v>-7.4269549494151876E-2</c:v>
                </c:pt>
                <c:pt idx="41">
                  <c:v>-7.4625083030661288E-2</c:v>
                </c:pt>
                <c:pt idx="42">
                  <c:v>-7.5668209204910131E-2</c:v>
                </c:pt>
                <c:pt idx="43">
                  <c:v>-7.6679998980670239E-2</c:v>
                </c:pt>
                <c:pt idx="44">
                  <c:v>-7.7764601439896053E-2</c:v>
                </c:pt>
                <c:pt idx="45">
                  <c:v>-7.7959397305168765E-2</c:v>
                </c:pt>
                <c:pt idx="46">
                  <c:v>-7.9467392723677199E-2</c:v>
                </c:pt>
                <c:pt idx="47">
                  <c:v>-7.98755808566598E-2</c:v>
                </c:pt>
                <c:pt idx="48">
                  <c:v>-8.0610920658278684E-2</c:v>
                </c:pt>
                <c:pt idx="49">
                  <c:v>-8.0974782298463555E-2</c:v>
                </c:pt>
                <c:pt idx="50">
                  <c:v>-8.1869293948273913E-2</c:v>
                </c:pt>
                <c:pt idx="51">
                  <c:v>-8.2351373691060381E-2</c:v>
                </c:pt>
                <c:pt idx="52">
                  <c:v>-8.253944449234174E-2</c:v>
                </c:pt>
                <c:pt idx="53">
                  <c:v>-8.2849017561470117E-2</c:v>
                </c:pt>
                <c:pt idx="54">
                  <c:v>-8.3888799070506392E-2</c:v>
                </c:pt>
                <c:pt idx="55">
                  <c:v>-8.5571278101857273E-2</c:v>
                </c:pt>
                <c:pt idx="56">
                  <c:v>-8.7267026341296239E-2</c:v>
                </c:pt>
                <c:pt idx="57">
                  <c:v>-8.784010565758904E-2</c:v>
                </c:pt>
                <c:pt idx="58">
                  <c:v>-8.8296156454482633E-2</c:v>
                </c:pt>
                <c:pt idx="59">
                  <c:v>-8.8588595797557845E-2</c:v>
                </c:pt>
                <c:pt idx="60">
                  <c:v>-8.9923878404571278E-2</c:v>
                </c:pt>
                <c:pt idx="61">
                  <c:v>-9.0504815440722752E-2</c:v>
                </c:pt>
                <c:pt idx="62">
                  <c:v>-9.0866469454600973E-2</c:v>
                </c:pt>
                <c:pt idx="63">
                  <c:v>-9.1119315747243301E-2</c:v>
                </c:pt>
                <c:pt idx="64">
                  <c:v>-9.1203750359485691E-2</c:v>
                </c:pt>
                <c:pt idx="65">
                  <c:v>-9.197440149949021E-2</c:v>
                </c:pt>
                <c:pt idx="66">
                  <c:v>-9.2454064200673036E-2</c:v>
                </c:pt>
                <c:pt idx="67">
                  <c:v>-9.3102442850122591E-2</c:v>
                </c:pt>
                <c:pt idx="68">
                  <c:v>-9.5278764054616882E-2</c:v>
                </c:pt>
                <c:pt idx="69">
                  <c:v>-9.5643454977225706E-2</c:v>
                </c:pt>
                <c:pt idx="70">
                  <c:v>-9.77141960515161E-2</c:v>
                </c:pt>
                <c:pt idx="71">
                  <c:v>-9.8788437996721212E-2</c:v>
                </c:pt>
                <c:pt idx="72">
                  <c:v>-9.887547547399278E-2</c:v>
                </c:pt>
                <c:pt idx="73">
                  <c:v>-9.9845722084936805E-2</c:v>
                </c:pt>
                <c:pt idx="74">
                  <c:v>-0.10079903974235715</c:v>
                </c:pt>
                <c:pt idx="75">
                  <c:v>-0.10110655706186145</c:v>
                </c:pt>
                <c:pt idx="76">
                  <c:v>-0.10132155562957046</c:v>
                </c:pt>
                <c:pt idx="77">
                  <c:v>-0.10147806151314875</c:v>
                </c:pt>
                <c:pt idx="78">
                  <c:v>-0.10179010986089321</c:v>
                </c:pt>
                <c:pt idx="79">
                  <c:v>-0.10199413570465954</c:v>
                </c:pt>
                <c:pt idx="80">
                  <c:v>-0.10242569336218466</c:v>
                </c:pt>
                <c:pt idx="81">
                  <c:v>-0.1026068648565146</c:v>
                </c:pt>
                <c:pt idx="82">
                  <c:v>-0.10274141174855567</c:v>
                </c:pt>
                <c:pt idx="83">
                  <c:v>-0.10280668102338653</c:v>
                </c:pt>
                <c:pt idx="84">
                  <c:v>-0.10304142930598692</c:v>
                </c:pt>
                <c:pt idx="85">
                  <c:v>-0.10312595129344049</c:v>
                </c:pt>
                <c:pt idx="86">
                  <c:v>-0.10364947111693001</c:v>
                </c:pt>
                <c:pt idx="87">
                  <c:v>-0.10370361135156259</c:v>
                </c:pt>
                <c:pt idx="88">
                  <c:v>-0.10384620285798285</c:v>
                </c:pt>
                <c:pt idx="89">
                  <c:v>-0.10392683860188756</c:v>
                </c:pt>
                <c:pt idx="90">
                  <c:v>-0.10393002949435526</c:v>
                </c:pt>
                <c:pt idx="91">
                  <c:v>-0.10402121599538849</c:v>
                </c:pt>
                <c:pt idx="92">
                  <c:v>-0.10407234170840796</c:v>
                </c:pt>
                <c:pt idx="93">
                  <c:v>-0.10418481312636085</c:v>
                </c:pt>
                <c:pt idx="94">
                  <c:v>-0.10434089264059132</c:v>
                </c:pt>
                <c:pt idx="95">
                  <c:v>-0.10503539421371455</c:v>
                </c:pt>
                <c:pt idx="96">
                  <c:v>-0.10523931772006334</c:v>
                </c:pt>
                <c:pt idx="97">
                  <c:v>-0.1054877986690258</c:v>
                </c:pt>
                <c:pt idx="98">
                  <c:v>-0.10583694551881062</c:v>
                </c:pt>
                <c:pt idx="99">
                  <c:v>-0.10590163809569797</c:v>
                </c:pt>
                <c:pt idx="100">
                  <c:v>-0.10629814922945491</c:v>
                </c:pt>
                <c:pt idx="101">
                  <c:v>-0.10655577898917967</c:v>
                </c:pt>
                <c:pt idx="102">
                  <c:v>-0.10676027059214765</c:v>
                </c:pt>
                <c:pt idx="103">
                  <c:v>-0.10681540838146175</c:v>
                </c:pt>
                <c:pt idx="104">
                  <c:v>-0.10734387715233207</c:v>
                </c:pt>
                <c:pt idx="105">
                  <c:v>-0.10734902437448668</c:v>
                </c:pt>
                <c:pt idx="106">
                  <c:v>-0.10735650626657378</c:v>
                </c:pt>
                <c:pt idx="107">
                  <c:v>-0.10769611568837123</c:v>
                </c:pt>
                <c:pt idx="108">
                  <c:v>-0.10785340818369249</c:v>
                </c:pt>
                <c:pt idx="109">
                  <c:v>-0.10791595307328539</c:v>
                </c:pt>
                <c:pt idx="110">
                  <c:v>-0.10821059752453077</c:v>
                </c:pt>
                <c:pt idx="111">
                  <c:v>-0.10846726306372478</c:v>
                </c:pt>
                <c:pt idx="112">
                  <c:v>-0.10851206170956984</c:v>
                </c:pt>
                <c:pt idx="113">
                  <c:v>-0.10866630551200296</c:v>
                </c:pt>
                <c:pt idx="114">
                  <c:v>-0.10893126704219935</c:v>
                </c:pt>
                <c:pt idx="115">
                  <c:v>-0.10905410188793507</c:v>
                </c:pt>
                <c:pt idx="116">
                  <c:v>-0.10912688304196971</c:v>
                </c:pt>
                <c:pt idx="117">
                  <c:v>-0.10969025845329916</c:v>
                </c:pt>
                <c:pt idx="118">
                  <c:v>-0.11013158038130222</c:v>
                </c:pt>
                <c:pt idx="119">
                  <c:v>-0.11063770891524116</c:v>
                </c:pt>
                <c:pt idx="120">
                  <c:v>-0.11072964728050105</c:v>
                </c:pt>
                <c:pt idx="121">
                  <c:v>-0.11108001597888117</c:v>
                </c:pt>
                <c:pt idx="122">
                  <c:v>-0.11139313660096251</c:v>
                </c:pt>
                <c:pt idx="123">
                  <c:v>-0.11152140537752908</c:v>
                </c:pt>
                <c:pt idx="124">
                  <c:v>-0.11188506823656141</c:v>
                </c:pt>
                <c:pt idx="125">
                  <c:v>-0.11195220065447908</c:v>
                </c:pt>
                <c:pt idx="126">
                  <c:v>-0.11207193029343021</c:v>
                </c:pt>
                <c:pt idx="127">
                  <c:v>-0.11225887313004279</c:v>
                </c:pt>
                <c:pt idx="128">
                  <c:v>-0.1123870165031321</c:v>
                </c:pt>
                <c:pt idx="129">
                  <c:v>-0.11241820396972291</c:v>
                </c:pt>
                <c:pt idx="130">
                  <c:v>-0.11273139750791727</c:v>
                </c:pt>
                <c:pt idx="131">
                  <c:v>-0.11277231558904166</c:v>
                </c:pt>
                <c:pt idx="132">
                  <c:v>-0.11284675487445583</c:v>
                </c:pt>
                <c:pt idx="133">
                  <c:v>-0.11293620863246845</c:v>
                </c:pt>
                <c:pt idx="134">
                  <c:v>-0.1132771005585721</c:v>
                </c:pt>
                <c:pt idx="135">
                  <c:v>-0.11330647101262226</c:v>
                </c:pt>
                <c:pt idx="136">
                  <c:v>-0.11336599484319998</c:v>
                </c:pt>
                <c:pt idx="137">
                  <c:v>-0.11338515976950192</c:v>
                </c:pt>
                <c:pt idx="138">
                  <c:v>-0.1136204767761203</c:v>
                </c:pt>
                <c:pt idx="139">
                  <c:v>-0.1141227429897016</c:v>
                </c:pt>
                <c:pt idx="140">
                  <c:v>-0.11425168844525957</c:v>
                </c:pt>
                <c:pt idx="141">
                  <c:v>-0.11441052216424674</c:v>
                </c:pt>
                <c:pt idx="142">
                  <c:v>-0.11482227021270397</c:v>
                </c:pt>
                <c:pt idx="143">
                  <c:v>-0.11509089433928288</c:v>
                </c:pt>
                <c:pt idx="144">
                  <c:v>-0.11538364599601958</c:v>
                </c:pt>
                <c:pt idx="145">
                  <c:v>-0.11543644434559952</c:v>
                </c:pt>
                <c:pt idx="146">
                  <c:v>-0.11544869281246772</c:v>
                </c:pt>
                <c:pt idx="147">
                  <c:v>-0.11585282225349347</c:v>
                </c:pt>
                <c:pt idx="148">
                  <c:v>-0.11613362387189308</c:v>
                </c:pt>
                <c:pt idx="149">
                  <c:v>-0.11643101942316647</c:v>
                </c:pt>
                <c:pt idx="150">
                  <c:v>-0.11645708860418924</c:v>
                </c:pt>
                <c:pt idx="151">
                  <c:v>-0.11748806770510645</c:v>
                </c:pt>
                <c:pt idx="152">
                  <c:v>-0.1176887292898865</c:v>
                </c:pt>
                <c:pt idx="153">
                  <c:v>-0.11779590294830788</c:v>
                </c:pt>
                <c:pt idx="154">
                  <c:v>-0.11823481026827465</c:v>
                </c:pt>
                <c:pt idx="155">
                  <c:v>-0.11848936311068936</c:v>
                </c:pt>
                <c:pt idx="156">
                  <c:v>-0.11875352059376409</c:v>
                </c:pt>
                <c:pt idx="157">
                  <c:v>-0.11897402153593306</c:v>
                </c:pt>
                <c:pt idx="158">
                  <c:v>-0.11913043712507176</c:v>
                </c:pt>
                <c:pt idx="159">
                  <c:v>-0.11921802125846126</c:v>
                </c:pt>
                <c:pt idx="160">
                  <c:v>-0.11945603015869122</c:v>
                </c:pt>
                <c:pt idx="161">
                  <c:v>-0.1196785970946419</c:v>
                </c:pt>
                <c:pt idx="162">
                  <c:v>-0.12024567558179255</c:v>
                </c:pt>
                <c:pt idx="163">
                  <c:v>-0.12045000850720611</c:v>
                </c:pt>
                <c:pt idx="164">
                  <c:v>-0.1222113775589333</c:v>
                </c:pt>
                <c:pt idx="165">
                  <c:v>-0.12252687041093135</c:v>
                </c:pt>
                <c:pt idx="166">
                  <c:v>-0.12254717998052767</c:v>
                </c:pt>
                <c:pt idx="167">
                  <c:v>-0.12505697574716956</c:v>
                </c:pt>
                <c:pt idx="168">
                  <c:v>-0.1283922680684354</c:v>
                </c:pt>
                <c:pt idx="169">
                  <c:v>-0.13031578144043043</c:v>
                </c:pt>
                <c:pt idx="170">
                  <c:v>-0.13033710158827283</c:v>
                </c:pt>
                <c:pt idx="171">
                  <c:v>-0.13095449513492929</c:v>
                </c:pt>
                <c:pt idx="172">
                  <c:v>-0.13176964460662122</c:v>
                </c:pt>
                <c:pt idx="173">
                  <c:v>-0.13197960211850523</c:v>
                </c:pt>
                <c:pt idx="174">
                  <c:v>-0.13255515360576775</c:v>
                </c:pt>
                <c:pt idx="175">
                  <c:v>-0.13359034690880711</c:v>
                </c:pt>
                <c:pt idx="176">
                  <c:v>-0.13520821949830319</c:v>
                </c:pt>
                <c:pt idx="177">
                  <c:v>-0.13573266961181629</c:v>
                </c:pt>
                <c:pt idx="178">
                  <c:v>-0.13837116346522393</c:v>
                </c:pt>
                <c:pt idx="179">
                  <c:v>-0.15054750725561283</c:v>
                </c:pt>
              </c:numCache>
            </c:numRef>
          </c:yVal>
          <c:smooth val="1"/>
          <c:extLst>
            <c:ext xmlns:c16="http://schemas.microsoft.com/office/drawing/2014/chart" uri="{C3380CC4-5D6E-409C-BE32-E72D297353CC}">
              <c16:uniqueId val="{00000000-05A6-4D00-9D9B-28DA91BEB543}"/>
            </c:ext>
          </c:extLst>
        </c:ser>
        <c:dLbls>
          <c:showLegendKey val="0"/>
          <c:showVal val="0"/>
          <c:showCatName val="0"/>
          <c:showSerName val="0"/>
          <c:showPercent val="0"/>
          <c:showBubbleSize val="0"/>
        </c:dLbls>
        <c:axId val="170474496"/>
        <c:axId val="171822080"/>
      </c:scatterChart>
      <c:valAx>
        <c:axId val="170474496"/>
        <c:scaling>
          <c:orientation val="minMax"/>
        </c:scaling>
        <c:delete val="0"/>
        <c:axPos val="b"/>
        <c:majorGridlines>
          <c:spPr>
            <a:ln>
              <a:solidFill>
                <a:schemeClr val="bg1">
                  <a:lumMod val="75000"/>
                </a:schemeClr>
              </a:solidFill>
              <a:prstDash val="dash"/>
            </a:ln>
          </c:spPr>
        </c:majorGridlines>
        <c:title>
          <c:tx>
            <c:rich>
              <a:bodyPr/>
              <a:lstStyle/>
              <a:p>
                <a:pPr>
                  <a:defRPr/>
                </a:pPr>
                <a:r>
                  <a:rPr lang="en-AU"/>
                  <a:t>Annual consumption (MWh)</a:t>
                </a:r>
              </a:p>
            </c:rich>
          </c:tx>
          <c:overlay val="0"/>
        </c:title>
        <c:numFmt formatCode="General" sourceLinked="1"/>
        <c:majorTickMark val="none"/>
        <c:minorTickMark val="none"/>
        <c:tickLblPos val="nextTo"/>
        <c:spPr>
          <a:ln w="57150">
            <a:solidFill>
              <a:srgbClr val="0061AC"/>
            </a:solidFill>
          </a:ln>
        </c:spPr>
        <c:txPr>
          <a:bodyPr/>
          <a:lstStyle/>
          <a:p>
            <a:pPr>
              <a:defRPr sz="1100" b="1"/>
            </a:pPr>
            <a:endParaRPr lang="en-US"/>
          </a:p>
        </c:txPr>
        <c:crossAx val="171822080"/>
        <c:crosses val="autoZero"/>
        <c:crossBetween val="midCat"/>
      </c:valAx>
      <c:valAx>
        <c:axId val="171822080"/>
        <c:scaling>
          <c:orientation val="minMax"/>
        </c:scaling>
        <c:delete val="0"/>
        <c:axPos val="l"/>
        <c:majorGridlines>
          <c:spPr>
            <a:ln>
              <a:solidFill>
                <a:schemeClr val="bg1">
                  <a:lumMod val="75000"/>
                </a:schemeClr>
              </a:solidFill>
              <a:prstDash val="dash"/>
            </a:ln>
          </c:spPr>
        </c:majorGridlines>
        <c:title>
          <c:tx>
            <c:rich>
              <a:bodyPr/>
              <a:lstStyle/>
              <a:p>
                <a:pPr>
                  <a:defRPr/>
                </a:pPr>
                <a:r>
                  <a:rPr lang="en-AU"/>
                  <a:t>Bill impact (annual</a:t>
                </a:r>
                <a:r>
                  <a:rPr lang="en-AU" baseline="0"/>
                  <a:t> % change)</a:t>
                </a:r>
                <a:endParaRPr lang="en-AU"/>
              </a:p>
            </c:rich>
          </c:tx>
          <c:overlay val="0"/>
        </c:title>
        <c:numFmt formatCode="0%" sourceLinked="0"/>
        <c:majorTickMark val="none"/>
        <c:minorTickMark val="none"/>
        <c:tickLblPos val="nextTo"/>
        <c:spPr>
          <a:ln w="57150">
            <a:solidFill>
              <a:srgbClr val="0061AC"/>
            </a:solidFill>
          </a:ln>
        </c:spPr>
        <c:txPr>
          <a:bodyPr/>
          <a:lstStyle/>
          <a:p>
            <a:pPr>
              <a:defRPr b="1"/>
            </a:pPr>
            <a:endParaRPr lang="en-US"/>
          </a:p>
        </c:txPr>
        <c:crossAx val="170474496"/>
        <c:crosses val="autoZero"/>
        <c:crossBetween val="midCat"/>
        <c:majorUnit val="0.1"/>
      </c:valAx>
    </c:plotArea>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25240594925636"/>
          <c:y val="5.1400554097404488E-2"/>
          <c:w val="0.63392585301837268"/>
          <c:h val="0.64673191892680082"/>
        </c:manualLayout>
      </c:layout>
      <c:barChart>
        <c:barDir val="col"/>
        <c:grouping val="clustered"/>
        <c:varyColors val="0"/>
        <c:ser>
          <c:idx val="0"/>
          <c:order val="0"/>
          <c:tx>
            <c:strRef>
              <c:f>CUSTOMER_O!$D$61</c:f>
              <c:strCache>
                <c:ptCount val="1"/>
                <c:pt idx="0">
                  <c:v>Number of Customers (#)</c:v>
                </c:pt>
              </c:strCache>
            </c:strRef>
          </c:tx>
          <c:spPr>
            <a:solidFill>
              <a:srgbClr val="2A3D6F"/>
            </a:solidFill>
            <a:ln>
              <a:solidFill>
                <a:schemeClr val="bg1"/>
              </a:solidFill>
            </a:ln>
            <a:effectLst/>
          </c:spPr>
          <c:invertIfNegative val="0"/>
          <c:dPt>
            <c:idx val="5"/>
            <c:invertIfNegative val="0"/>
            <c:bubble3D val="0"/>
            <c:spPr>
              <a:solidFill>
                <a:srgbClr val="75842F"/>
              </a:solidFill>
              <a:ln>
                <a:solidFill>
                  <a:schemeClr val="bg1"/>
                </a:solidFill>
              </a:ln>
              <a:effectLst/>
            </c:spPr>
            <c:extLst>
              <c:ext xmlns:c16="http://schemas.microsoft.com/office/drawing/2014/chart" uri="{C3380CC4-5D6E-409C-BE32-E72D297353CC}">
                <c16:uniqueId val="{00000001-224F-478D-BBC3-6641760A287A}"/>
              </c:ext>
            </c:extLst>
          </c:dPt>
          <c:dPt>
            <c:idx val="6"/>
            <c:invertIfNegative val="0"/>
            <c:bubble3D val="0"/>
            <c:spPr>
              <a:solidFill>
                <a:srgbClr val="75842F"/>
              </a:solidFill>
              <a:ln>
                <a:solidFill>
                  <a:schemeClr val="bg1"/>
                </a:solidFill>
              </a:ln>
              <a:effectLst/>
            </c:spPr>
            <c:extLst>
              <c:ext xmlns:c16="http://schemas.microsoft.com/office/drawing/2014/chart" uri="{C3380CC4-5D6E-409C-BE32-E72D297353CC}">
                <c16:uniqueId val="{00000003-224F-478D-BBC3-6641760A287A}"/>
              </c:ext>
            </c:extLst>
          </c:dPt>
          <c:dPt>
            <c:idx val="7"/>
            <c:invertIfNegative val="0"/>
            <c:bubble3D val="0"/>
            <c:spPr>
              <a:solidFill>
                <a:srgbClr val="75842F"/>
              </a:solidFill>
              <a:ln>
                <a:solidFill>
                  <a:schemeClr val="bg1"/>
                </a:solidFill>
              </a:ln>
              <a:effectLst/>
            </c:spPr>
            <c:extLst>
              <c:ext xmlns:c16="http://schemas.microsoft.com/office/drawing/2014/chart" uri="{C3380CC4-5D6E-409C-BE32-E72D297353CC}">
                <c16:uniqueId val="{00000005-224F-478D-BBC3-6641760A287A}"/>
              </c:ext>
            </c:extLst>
          </c:dPt>
          <c:dPt>
            <c:idx val="8"/>
            <c:invertIfNegative val="0"/>
            <c:bubble3D val="0"/>
            <c:spPr>
              <a:solidFill>
                <a:srgbClr val="75842F"/>
              </a:solidFill>
              <a:ln>
                <a:solidFill>
                  <a:schemeClr val="bg1"/>
                </a:solidFill>
              </a:ln>
              <a:effectLst/>
            </c:spPr>
            <c:extLst>
              <c:ext xmlns:c16="http://schemas.microsoft.com/office/drawing/2014/chart" uri="{C3380CC4-5D6E-409C-BE32-E72D297353CC}">
                <c16:uniqueId val="{00000007-224F-478D-BBC3-6641760A287A}"/>
              </c:ext>
            </c:extLst>
          </c:dPt>
          <c:dPt>
            <c:idx val="9"/>
            <c:invertIfNegative val="0"/>
            <c:bubble3D val="0"/>
            <c:spPr>
              <a:solidFill>
                <a:srgbClr val="75842F"/>
              </a:solidFill>
              <a:ln>
                <a:solidFill>
                  <a:schemeClr val="bg1"/>
                </a:solidFill>
              </a:ln>
              <a:effectLst/>
            </c:spPr>
            <c:extLst>
              <c:ext xmlns:c16="http://schemas.microsoft.com/office/drawing/2014/chart" uri="{C3380CC4-5D6E-409C-BE32-E72D297353CC}">
                <c16:uniqueId val="{00000009-224F-478D-BBC3-6641760A287A}"/>
              </c:ext>
            </c:extLst>
          </c:dPt>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CUSTOMER_O!$E$61:$N$61</c:f>
              <c:numCache>
                <c:formatCode>_-* #,##0_-;\-* #,##0_-;_-* "-"??_-;_-@_-</c:formatCode>
                <c:ptCount val="10"/>
                <c:pt idx="0">
                  <c:v>81111</c:v>
                </c:pt>
                <c:pt idx="1">
                  <c:v>82915</c:v>
                </c:pt>
                <c:pt idx="2">
                  <c:v>83587</c:v>
                </c:pt>
                <c:pt idx="3">
                  <c:v>83959</c:v>
                </c:pt>
                <c:pt idx="4">
                  <c:v>84420</c:v>
                </c:pt>
                <c:pt idx="5">
                  <c:v>85072</c:v>
                </c:pt>
                <c:pt idx="6">
                  <c:v>85848</c:v>
                </c:pt>
                <c:pt idx="7">
                  <c:v>86641</c:v>
                </c:pt>
                <c:pt idx="8">
                  <c:v>87028</c:v>
                </c:pt>
                <c:pt idx="9">
                  <c:v>87419</c:v>
                </c:pt>
              </c:numCache>
            </c:numRef>
          </c:val>
          <c:extLst>
            <c:ext xmlns:c16="http://schemas.microsoft.com/office/drawing/2014/chart" uri="{C3380CC4-5D6E-409C-BE32-E72D297353CC}">
              <c16:uniqueId val="{0000000A-224F-478D-BBC3-6641760A287A}"/>
            </c:ext>
          </c:extLst>
        </c:ser>
        <c:dLbls>
          <c:showLegendKey val="0"/>
          <c:showVal val="0"/>
          <c:showCatName val="0"/>
          <c:showSerName val="0"/>
          <c:showPercent val="0"/>
          <c:showBubbleSize val="0"/>
        </c:dLbls>
        <c:gapWidth val="20"/>
        <c:axId val="171723008"/>
        <c:axId val="171728896"/>
      </c:barChart>
      <c:lineChart>
        <c:grouping val="standard"/>
        <c:varyColors val="0"/>
        <c:ser>
          <c:idx val="1"/>
          <c:order val="1"/>
          <c:tx>
            <c:strRef>
              <c:f>CUSTOMER_O!$D$62</c:f>
              <c:strCache>
                <c:ptCount val="1"/>
                <c:pt idx="0">
                  <c:v>Peak demand (MW)</c:v>
                </c:pt>
              </c:strCache>
            </c:strRef>
          </c:tx>
          <c:spPr>
            <a:ln w="28575" cap="rnd">
              <a:solidFill>
                <a:srgbClr val="FFD339"/>
              </a:solidFill>
              <a:round/>
            </a:ln>
            <a:effectLst/>
          </c:spPr>
          <c:marker>
            <c:symbol val="none"/>
          </c:marker>
          <c:cat>
            <c:strRef>
              <c:f>CUSTOMER_O!$E$84:$N$84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CUSTOMER_O!$E$62:$N$62</c:f>
              <c:numCache>
                <c:formatCode>_(* #,##0.00_);_(* \(#,##0.00\);_(* "-"??_);_(@_)</c:formatCode>
                <c:ptCount val="10"/>
                <c:pt idx="0">
                  <c:v>348.89</c:v>
                </c:pt>
                <c:pt idx="1">
                  <c:v>353.83000000000004</c:v>
                </c:pt>
                <c:pt idx="2">
                  <c:v>357.45929172399997</c:v>
                </c:pt>
                <c:pt idx="3">
                  <c:v>351.64025275700004</c:v>
                </c:pt>
                <c:pt idx="4">
                  <c:v>344.61873374300001</c:v>
                </c:pt>
                <c:pt idx="5">
                  <c:v>339.07925003499997</c:v>
                </c:pt>
                <c:pt idx="6">
                  <c:v>339.32073156500002</c:v>
                </c:pt>
                <c:pt idx="7">
                  <c:v>336.87572723300002</c:v>
                </c:pt>
                <c:pt idx="8">
                  <c:v>336.03994168899999</c:v>
                </c:pt>
                <c:pt idx="9">
                  <c:v>335.67859043299995</c:v>
                </c:pt>
              </c:numCache>
            </c:numRef>
          </c:val>
          <c:smooth val="1"/>
          <c:extLst>
            <c:ext xmlns:c16="http://schemas.microsoft.com/office/drawing/2014/chart" uri="{C3380CC4-5D6E-409C-BE32-E72D297353CC}">
              <c16:uniqueId val="{0000000B-224F-478D-BBC3-6641760A287A}"/>
            </c:ext>
          </c:extLst>
        </c:ser>
        <c:dLbls>
          <c:showLegendKey val="0"/>
          <c:showVal val="0"/>
          <c:showCatName val="0"/>
          <c:showSerName val="0"/>
          <c:showPercent val="0"/>
          <c:showBubbleSize val="0"/>
        </c:dLbls>
        <c:marker val="1"/>
        <c:smooth val="0"/>
        <c:axId val="171737088"/>
        <c:axId val="171730816"/>
      </c:lineChart>
      <c:catAx>
        <c:axId val="17172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728896"/>
        <c:crosses val="autoZero"/>
        <c:auto val="1"/>
        <c:lblAlgn val="ctr"/>
        <c:lblOffset val="100"/>
        <c:noMultiLvlLbl val="0"/>
      </c:catAx>
      <c:valAx>
        <c:axId val="171728896"/>
        <c:scaling>
          <c:orientation val="minMax"/>
          <c:min val="78000"/>
        </c:scaling>
        <c:delete val="0"/>
        <c:axPos val="l"/>
        <c:majorGridlines>
          <c:spPr>
            <a:ln w="9525" cap="flat" cmpd="sng" algn="ctr">
              <a:solidFill>
                <a:schemeClr val="tx1">
                  <a:lumMod val="15000"/>
                  <a:lumOff val="85000"/>
                </a:schemeClr>
              </a:solidFill>
              <a:round/>
            </a:ln>
            <a:effectLst/>
          </c:spPr>
        </c:majorGridlines>
        <c:title>
          <c:tx>
            <c:strRef>
              <c:f>CUSTOMER_O!$D$61</c:f>
              <c:strCache>
                <c:ptCount val="1"/>
                <c:pt idx="0">
                  <c:v>Number of Customers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1723008"/>
        <c:crosses val="autoZero"/>
        <c:crossBetween val="between"/>
        <c:majorUnit val="2000"/>
      </c:valAx>
      <c:valAx>
        <c:axId val="171730816"/>
        <c:scaling>
          <c:orientation val="minMax"/>
          <c:max val="370"/>
          <c:min val="320"/>
        </c:scaling>
        <c:delete val="0"/>
        <c:axPos val="r"/>
        <c:title>
          <c:tx>
            <c:strRef>
              <c:f>CUSTOMER_O!$D$62</c:f>
              <c:strCache>
                <c:ptCount val="1"/>
                <c:pt idx="0">
                  <c:v>Peak demand (MW)</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0_);\(#,##0\);_(&quot;-&quot;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71737088"/>
        <c:crosses val="max"/>
        <c:crossBetween val="between"/>
        <c:majorUnit val="10"/>
      </c:valAx>
      <c:catAx>
        <c:axId val="171737088"/>
        <c:scaling>
          <c:orientation val="minMax"/>
        </c:scaling>
        <c:delete val="1"/>
        <c:axPos val="b"/>
        <c:numFmt formatCode="General" sourceLinked="1"/>
        <c:majorTickMark val="out"/>
        <c:minorTickMark val="none"/>
        <c:tickLblPos val="nextTo"/>
        <c:crossAx val="1717308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Charts_Capex!$P$71</c:f>
          <c:strCache>
            <c:ptCount val="1"/>
            <c:pt idx="0">
              <c:v>Augmentation Capex - Direct Escalated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Charts_Capex!$O$62</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2A49-4C81-984E-6BF7DD49EF1B}"/>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2A49-4C81-984E-6BF7DD49EF1B}"/>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Charts_Capex!$P$62:$AE$62</c:f>
              <c:numCache>
                <c:formatCode>_(#,##0.0_);\(#,##0.0\);_("-"_)</c:formatCode>
                <c:ptCount val="16"/>
                <c:pt idx="0">
                  <c:v>31.757977439282982</c:v>
                </c:pt>
                <c:pt idx="1">
                  <c:v>57.479194001331919</c:v>
                </c:pt>
                <c:pt idx="2">
                  <c:v>52.524992477064607</c:v>
                </c:pt>
                <c:pt idx="3">
                  <c:v>31.745955883084861</c:v>
                </c:pt>
                <c:pt idx="4">
                  <c:v>62.089144155765531</c:v>
                </c:pt>
                <c:pt idx="5">
                  <c:v>29.658235541408729</c:v>
                </c:pt>
                <c:pt idx="6">
                  <c:v>23.668510701580434</c:v>
                </c:pt>
                <c:pt idx="7">
                  <c:v>17.562837162606233</c:v>
                </c:pt>
                <c:pt idx="8">
                  <c:v>12.834467993108163</c:v>
                </c:pt>
                <c:pt idx="9">
                  <c:v>14.0331795029338</c:v>
                </c:pt>
                <c:pt idx="10">
                  <c:v>3.9878556157979821</c:v>
                </c:pt>
                <c:pt idx="11">
                  <c:v>#N/A</c:v>
                </c:pt>
                <c:pt idx="12">
                  <c:v>#N/A</c:v>
                </c:pt>
                <c:pt idx="13">
                  <c:v>#N/A</c:v>
                </c:pt>
                <c:pt idx="14">
                  <c:v>#N/A</c:v>
                </c:pt>
                <c:pt idx="15">
                  <c:v>#N/A</c:v>
                </c:pt>
              </c:numCache>
            </c:numRef>
          </c:val>
          <c:extLst>
            <c:ext xmlns:c16="http://schemas.microsoft.com/office/drawing/2014/chart" uri="{C3380CC4-5D6E-409C-BE32-E72D297353CC}">
              <c16:uniqueId val="{00000000-9831-4082-B5D0-CA4035DE174C}"/>
            </c:ext>
          </c:extLst>
        </c:ser>
        <c:ser>
          <c:idx val="3"/>
          <c:order val="1"/>
          <c:tx>
            <c:strRef>
              <c:f>Charts_Capex!$O$63</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Charts_Capex!$P$63:$AE$63</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7.4840259732504091</c:v>
                </c:pt>
                <c:pt idx="12">
                  <c:v>5.9666106083096322</c:v>
                </c:pt>
                <c:pt idx="13">
                  <c:v>16.410499428634559</c:v>
                </c:pt>
                <c:pt idx="14">
                  <c:v>19.123387380169852</c:v>
                </c:pt>
                <c:pt idx="15">
                  <c:v>16.037097305416818</c:v>
                </c:pt>
              </c:numCache>
            </c:numRef>
          </c:val>
          <c:extLst>
            <c:ext xmlns:c16="http://schemas.microsoft.com/office/drawing/2014/chart" uri="{C3380CC4-5D6E-409C-BE32-E72D297353CC}">
              <c16:uniqueId val="{00000001-9831-4082-B5D0-CA4035DE174C}"/>
            </c:ext>
          </c:extLst>
        </c:ser>
        <c:dLbls>
          <c:showLegendKey val="0"/>
          <c:showVal val="0"/>
          <c:showCatName val="0"/>
          <c:showSerName val="0"/>
          <c:showPercent val="0"/>
          <c:showBubbleSize val="0"/>
        </c:dLbls>
        <c:gapWidth val="20"/>
        <c:overlap val="100"/>
        <c:axId val="162316672"/>
        <c:axId val="162318208"/>
      </c:barChart>
      <c:lineChart>
        <c:grouping val="standard"/>
        <c:varyColors val="0"/>
        <c:ser>
          <c:idx val="4"/>
          <c:order val="2"/>
          <c:tx>
            <c:strRef>
              <c:f>Charts_Capex!$O$64</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9-4C81-984E-6BF7DD49EF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Charts_Capex!$P$64:$AE$64</c:f>
              <c:numCache>
                <c:formatCode>_(#,##0.0_);\(#,##0.0\);_("-"_)</c:formatCode>
                <c:ptCount val="16"/>
                <c:pt idx="0">
                  <c:v>#N/A</c:v>
                </c:pt>
                <c:pt idx="1">
                  <c:v>46.699504411731127</c:v>
                </c:pt>
                <c:pt idx="2">
                  <c:v>46.699504411731127</c:v>
                </c:pt>
                <c:pt idx="3">
                  <c:v>46.699504411731127</c:v>
                </c:pt>
                <c:pt idx="4">
                  <c:v>46.699504411731127</c:v>
                </c:pt>
                <c:pt idx="5">
                  <c:v>46.699504411731127</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4-9831-4082-B5D0-CA4035DE174C}"/>
            </c:ext>
          </c:extLst>
        </c:ser>
        <c:ser>
          <c:idx val="5"/>
          <c:order val="3"/>
          <c:tx>
            <c:strRef>
              <c:f>Charts_Capex!$O$65</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49-4C81-984E-6BF7DD49EF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Charts_Capex!$P$65:$AE$65</c:f>
              <c:numCache>
                <c:formatCode>_(#,##0.0_);\(#,##0.0\);_("-"_)</c:formatCode>
                <c:ptCount val="16"/>
                <c:pt idx="0">
                  <c:v>#N/A</c:v>
                </c:pt>
                <c:pt idx="1">
                  <c:v>#N/A</c:v>
                </c:pt>
                <c:pt idx="2">
                  <c:v>#N/A</c:v>
                </c:pt>
                <c:pt idx="3">
                  <c:v>#N/A</c:v>
                </c:pt>
                <c:pt idx="4">
                  <c:v>#N/A</c:v>
                </c:pt>
                <c:pt idx="5">
                  <c:v>#N/A</c:v>
                </c:pt>
                <c:pt idx="6">
                  <c:v>14.417370195205322</c:v>
                </c:pt>
                <c:pt idx="7">
                  <c:v>14.417370195205322</c:v>
                </c:pt>
                <c:pt idx="8">
                  <c:v>14.417370195205322</c:v>
                </c:pt>
                <c:pt idx="9">
                  <c:v>14.417370195205322</c:v>
                </c:pt>
                <c:pt idx="10">
                  <c:v>14.417370195205322</c:v>
                </c:pt>
                <c:pt idx="11">
                  <c:v>#N/A</c:v>
                </c:pt>
                <c:pt idx="12">
                  <c:v>#N/A</c:v>
                </c:pt>
                <c:pt idx="13">
                  <c:v>#N/A</c:v>
                </c:pt>
                <c:pt idx="14">
                  <c:v>#N/A</c:v>
                </c:pt>
                <c:pt idx="15">
                  <c:v>#N/A</c:v>
                </c:pt>
              </c:numCache>
            </c:numRef>
          </c:val>
          <c:smooth val="0"/>
          <c:extLst>
            <c:ext xmlns:c16="http://schemas.microsoft.com/office/drawing/2014/chart" uri="{C3380CC4-5D6E-409C-BE32-E72D297353CC}">
              <c16:uniqueId val="{00000005-9831-4082-B5D0-CA4035DE174C}"/>
            </c:ext>
          </c:extLst>
        </c:ser>
        <c:ser>
          <c:idx val="6"/>
          <c:order val="4"/>
          <c:tx>
            <c:strRef>
              <c:f>Charts_Capex!$O$66</c:f>
              <c:strCache>
                <c:ptCount val="1"/>
                <c:pt idx="0">
                  <c:v>Avg: 20-24</c:v>
                </c:pt>
              </c:strCache>
            </c:strRef>
          </c:tx>
          <c:spPr>
            <a:ln w="28575" cap="rnd">
              <a:solidFill>
                <a:srgbClr val="EF7D17"/>
              </a:solidFill>
              <a:prstDash val="sysDash"/>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49-4C81-984E-6BF7DD49EF1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Charts_Capex!$P$66:$AE$66</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13.004324139156253</c:v>
                </c:pt>
                <c:pt idx="12">
                  <c:v>13.004324139156253</c:v>
                </c:pt>
                <c:pt idx="13">
                  <c:v>13.004324139156253</c:v>
                </c:pt>
                <c:pt idx="14">
                  <c:v>13.004324139156253</c:v>
                </c:pt>
                <c:pt idx="15">
                  <c:v>13.004324139156253</c:v>
                </c:pt>
              </c:numCache>
            </c:numRef>
          </c:val>
          <c:smooth val="0"/>
          <c:extLst>
            <c:ext xmlns:c16="http://schemas.microsoft.com/office/drawing/2014/chart" uri="{C3380CC4-5D6E-409C-BE32-E72D297353CC}">
              <c16:uniqueId val="{00000006-9831-4082-B5D0-CA4035DE174C}"/>
            </c:ext>
          </c:extLst>
        </c:ser>
        <c:dLbls>
          <c:showLegendKey val="0"/>
          <c:showVal val="0"/>
          <c:showCatName val="0"/>
          <c:showSerName val="0"/>
          <c:showPercent val="0"/>
          <c:showBubbleSize val="0"/>
        </c:dLbls>
        <c:marker val="1"/>
        <c:smooth val="0"/>
        <c:axId val="162316672"/>
        <c:axId val="162318208"/>
      </c:lineChart>
      <c:catAx>
        <c:axId val="16231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2318208"/>
        <c:crosses val="autoZero"/>
        <c:auto val="1"/>
        <c:lblAlgn val="ctr"/>
        <c:lblOffset val="100"/>
        <c:noMultiLvlLbl val="0"/>
      </c:catAx>
      <c:valAx>
        <c:axId val="16231820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Charts_Capex!$P$70</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2316672"/>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Charts_Capex!$P$96</c:f>
          <c:strCache>
            <c:ptCount val="1"/>
            <c:pt idx="0">
              <c:v>Augmentation Capex - Direct Escalated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Charts_Capex!$O$87</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4EE6-4037-9635-4D452783F219}"/>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4EE6-4037-9635-4D452783F219}"/>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Charts_Capex!$P$87:$AE$87</c:f>
              <c:numCache>
                <c:formatCode>_(#,##0.0_);\(#,##0.0\);_("-"_)</c:formatCode>
                <c:ptCount val="16"/>
                <c:pt idx="0">
                  <c:v>39.74736576750599</c:v>
                </c:pt>
                <c:pt idx="1">
                  <c:v>70.344665270105793</c:v>
                </c:pt>
                <c:pt idx="2">
                  <c:v>62.206894012496164</c:v>
                </c:pt>
                <c:pt idx="3">
                  <c:v>36.726270213980285</c:v>
                </c:pt>
                <c:pt idx="4">
                  <c:v>70.560779371903706</c:v>
                </c:pt>
                <c:pt idx="5">
                  <c:v>32.817982712070176</c:v>
                </c:pt>
                <c:pt idx="6">
                  <c:v>25.611194169707776</c:v>
                </c:pt>
                <c:pt idx="7">
                  <c:v>18.766645023359938</c:v>
                </c:pt>
                <c:pt idx="8">
                  <c:v>13.514508554538208</c:v>
                </c:pt>
                <c:pt idx="9">
                  <c:v>14.491704941884445</c:v>
                </c:pt>
                <c:pt idx="10">
                  <c:v>4.0324694346927989</c:v>
                </c:pt>
                <c:pt idx="11">
                  <c:v>#N/A</c:v>
                </c:pt>
                <c:pt idx="12">
                  <c:v>#N/A</c:v>
                </c:pt>
                <c:pt idx="13">
                  <c:v>#N/A</c:v>
                </c:pt>
                <c:pt idx="14">
                  <c:v>#N/A</c:v>
                </c:pt>
                <c:pt idx="15">
                  <c:v>#N/A</c:v>
                </c:pt>
              </c:numCache>
            </c:numRef>
          </c:val>
          <c:extLst>
            <c:ext xmlns:c16="http://schemas.microsoft.com/office/drawing/2014/chart" uri="{C3380CC4-5D6E-409C-BE32-E72D297353CC}">
              <c16:uniqueId val="{00000000-A59E-4596-8175-6FF85A8DBEA2}"/>
            </c:ext>
          </c:extLst>
        </c:ser>
        <c:ser>
          <c:idx val="3"/>
          <c:order val="1"/>
          <c:tx>
            <c:strRef>
              <c:f>Charts_Capex!$O$88</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Charts_Capex!$P$88:$AE$88</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7.3949044268918529</c:v>
                </c:pt>
                <c:pt idx="12">
                  <c:v>5.7559834187772951</c:v>
                </c:pt>
                <c:pt idx="13">
                  <c:v>15.456394555574914</c:v>
                </c:pt>
                <c:pt idx="14">
                  <c:v>17.585137907500812</c:v>
                </c:pt>
                <c:pt idx="15">
                  <c:v>14.397970489733808</c:v>
                </c:pt>
              </c:numCache>
            </c:numRef>
          </c:val>
          <c:extLst>
            <c:ext xmlns:c16="http://schemas.microsoft.com/office/drawing/2014/chart" uri="{C3380CC4-5D6E-409C-BE32-E72D297353CC}">
              <c16:uniqueId val="{00000001-A59E-4596-8175-6FF85A8DBEA2}"/>
            </c:ext>
          </c:extLst>
        </c:ser>
        <c:dLbls>
          <c:showLegendKey val="0"/>
          <c:showVal val="0"/>
          <c:showCatName val="0"/>
          <c:showSerName val="0"/>
          <c:showPercent val="0"/>
          <c:showBubbleSize val="0"/>
        </c:dLbls>
        <c:gapWidth val="20"/>
        <c:overlap val="100"/>
        <c:axId val="163318400"/>
        <c:axId val="163340672"/>
      </c:barChart>
      <c:lineChart>
        <c:grouping val="standard"/>
        <c:varyColors val="0"/>
        <c:ser>
          <c:idx val="4"/>
          <c:order val="2"/>
          <c:tx>
            <c:strRef>
              <c:f>Charts_Capex!$O$89</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E6-4037-9635-4D452783F2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Charts_Capex!$P$89:$AE$89</c:f>
              <c:numCache>
                <c:formatCode>_(#,##0.0_);\(#,##0.0\);_("-"_)</c:formatCode>
                <c:ptCount val="16"/>
                <c:pt idx="0">
                  <c:v>#N/A</c:v>
                </c:pt>
                <c:pt idx="1">
                  <c:v>54.531318316111218</c:v>
                </c:pt>
                <c:pt idx="2">
                  <c:v>54.531318316111218</c:v>
                </c:pt>
                <c:pt idx="3">
                  <c:v>54.531318316111218</c:v>
                </c:pt>
                <c:pt idx="4">
                  <c:v>54.531318316111218</c:v>
                </c:pt>
                <c:pt idx="5">
                  <c:v>54.531318316111218</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A59E-4596-8175-6FF85A8DBEA2}"/>
            </c:ext>
          </c:extLst>
        </c:ser>
        <c:ser>
          <c:idx val="5"/>
          <c:order val="3"/>
          <c:tx>
            <c:strRef>
              <c:f>Charts_Capex!$O$90</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E6-4037-9635-4D452783F2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Charts_Capex!$P$90:$AE$90</c:f>
              <c:numCache>
                <c:formatCode>_(#,##0.0_);\(#,##0.0\);_("-"_)</c:formatCode>
                <c:ptCount val="16"/>
                <c:pt idx="0">
                  <c:v>#N/A</c:v>
                </c:pt>
                <c:pt idx="1">
                  <c:v>#N/A</c:v>
                </c:pt>
                <c:pt idx="2">
                  <c:v>#N/A</c:v>
                </c:pt>
                <c:pt idx="3">
                  <c:v>#N/A</c:v>
                </c:pt>
                <c:pt idx="4">
                  <c:v>#N/A</c:v>
                </c:pt>
                <c:pt idx="5">
                  <c:v>#N/A</c:v>
                </c:pt>
                <c:pt idx="6">
                  <c:v>15.283304424836635</c:v>
                </c:pt>
                <c:pt idx="7">
                  <c:v>15.283304424836635</c:v>
                </c:pt>
                <c:pt idx="8">
                  <c:v>15.283304424836635</c:v>
                </c:pt>
                <c:pt idx="9">
                  <c:v>15.283304424836635</c:v>
                </c:pt>
                <c:pt idx="10">
                  <c:v>15.283304424836635</c:v>
                </c:pt>
                <c:pt idx="11">
                  <c:v>#N/A</c:v>
                </c:pt>
                <c:pt idx="12">
                  <c:v>#N/A</c:v>
                </c:pt>
                <c:pt idx="13">
                  <c:v>#N/A</c:v>
                </c:pt>
                <c:pt idx="14">
                  <c:v>#N/A</c:v>
                </c:pt>
                <c:pt idx="15">
                  <c:v>#N/A</c:v>
                </c:pt>
              </c:numCache>
            </c:numRef>
          </c:val>
          <c:smooth val="0"/>
          <c:extLst>
            <c:ext xmlns:c16="http://schemas.microsoft.com/office/drawing/2014/chart" uri="{C3380CC4-5D6E-409C-BE32-E72D297353CC}">
              <c16:uniqueId val="{00000003-A59E-4596-8175-6FF85A8DBEA2}"/>
            </c:ext>
          </c:extLst>
        </c:ser>
        <c:ser>
          <c:idx val="6"/>
          <c:order val="4"/>
          <c:tx>
            <c:strRef>
              <c:f>Charts_Capex!$O$91</c:f>
              <c:strCache>
                <c:ptCount val="1"/>
                <c:pt idx="0">
                  <c:v>Avg: 20-24</c:v>
                </c:pt>
              </c:strCache>
            </c:strRef>
          </c:tx>
          <c:spPr>
            <a:ln w="28575" cap="rnd">
              <a:solidFill>
                <a:srgbClr val="EF7D17"/>
              </a:solidFill>
              <a:prstDash val="sysDash"/>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E6-4037-9635-4D452783F21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Charts_Capex!$P$91:$AE$91</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12.118078159695736</c:v>
                </c:pt>
                <c:pt idx="12">
                  <c:v>12.118078159695736</c:v>
                </c:pt>
                <c:pt idx="13">
                  <c:v>12.118078159695736</c:v>
                </c:pt>
                <c:pt idx="14">
                  <c:v>12.118078159695736</c:v>
                </c:pt>
                <c:pt idx="15">
                  <c:v>12.118078159695736</c:v>
                </c:pt>
              </c:numCache>
            </c:numRef>
          </c:val>
          <c:smooth val="0"/>
          <c:extLst>
            <c:ext xmlns:c16="http://schemas.microsoft.com/office/drawing/2014/chart" uri="{C3380CC4-5D6E-409C-BE32-E72D297353CC}">
              <c16:uniqueId val="{00000004-A59E-4596-8175-6FF85A8DBEA2}"/>
            </c:ext>
          </c:extLst>
        </c:ser>
        <c:dLbls>
          <c:showLegendKey val="0"/>
          <c:showVal val="0"/>
          <c:showCatName val="0"/>
          <c:showSerName val="0"/>
          <c:showPercent val="0"/>
          <c:showBubbleSize val="0"/>
        </c:dLbls>
        <c:marker val="1"/>
        <c:smooth val="0"/>
        <c:axId val="163318400"/>
        <c:axId val="163340672"/>
      </c:lineChart>
      <c:catAx>
        <c:axId val="16331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40672"/>
        <c:crosses val="autoZero"/>
        <c:auto val="1"/>
        <c:lblAlgn val="ctr"/>
        <c:lblOffset val="100"/>
        <c:noMultiLvlLbl val="0"/>
      </c:catAx>
      <c:valAx>
        <c:axId val="1633406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Charts_Capex!$P$95</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318400"/>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Charts_Capex!$P$123</c:f>
          <c:strCache>
            <c:ptCount val="1"/>
            <c:pt idx="0">
              <c:v>Replacement Capex - Direct Escalated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Charts_Capex!$O$113</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3780-4037-8873-D279E11AD196}"/>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3780-4037-8873-D279E11AD196}"/>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Charts_Capex!$P$113:$AE$113</c:f>
              <c:numCache>
                <c:formatCode>_(#,##0.0_);\(#,##0.0\);_("-"_)</c:formatCode>
                <c:ptCount val="16"/>
                <c:pt idx="0">
                  <c:v>3.4596350972662062</c:v>
                </c:pt>
                <c:pt idx="1">
                  <c:v>9.599747895790836</c:v>
                </c:pt>
                <c:pt idx="2">
                  <c:v>24.94401889033405</c:v>
                </c:pt>
                <c:pt idx="3">
                  <c:v>37.134981993758423</c:v>
                </c:pt>
                <c:pt idx="4">
                  <c:v>35.820005765767469</c:v>
                </c:pt>
                <c:pt idx="5">
                  <c:v>43.312650480417588</c:v>
                </c:pt>
                <c:pt idx="6">
                  <c:v>44.435374798571019</c:v>
                </c:pt>
                <c:pt idx="7">
                  <c:v>42.463704349424525</c:v>
                </c:pt>
                <c:pt idx="8">
                  <c:v>28.254530804505777</c:v>
                </c:pt>
                <c:pt idx="9">
                  <c:v>20.593208094203423</c:v>
                </c:pt>
                <c:pt idx="10">
                  <c:v>30.695913501469441</c:v>
                </c:pt>
                <c:pt idx="11">
                  <c:v>#N/A</c:v>
                </c:pt>
                <c:pt idx="12">
                  <c:v>#N/A</c:v>
                </c:pt>
                <c:pt idx="13">
                  <c:v>#N/A</c:v>
                </c:pt>
                <c:pt idx="14">
                  <c:v>#N/A</c:v>
                </c:pt>
                <c:pt idx="15">
                  <c:v>#N/A</c:v>
                </c:pt>
              </c:numCache>
            </c:numRef>
          </c:val>
          <c:extLst>
            <c:ext xmlns:c16="http://schemas.microsoft.com/office/drawing/2014/chart" uri="{C3380CC4-5D6E-409C-BE32-E72D297353CC}">
              <c16:uniqueId val="{00000000-3CA4-4479-B6D3-526D60796E38}"/>
            </c:ext>
          </c:extLst>
        </c:ser>
        <c:ser>
          <c:idx val="3"/>
          <c:order val="1"/>
          <c:tx>
            <c:strRef>
              <c:f>Charts_Capex!$O$114</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Charts_Capex!$P$114:$AE$114</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35.342990673266456</c:v>
                </c:pt>
                <c:pt idx="12">
                  <c:v>39.923872207823258</c:v>
                </c:pt>
                <c:pt idx="13">
                  <c:v>35.508473228312937</c:v>
                </c:pt>
                <c:pt idx="14">
                  <c:v>23.931894088521911</c:v>
                </c:pt>
                <c:pt idx="15">
                  <c:v>21.954210348948092</c:v>
                </c:pt>
              </c:numCache>
            </c:numRef>
          </c:val>
          <c:extLst>
            <c:ext xmlns:c16="http://schemas.microsoft.com/office/drawing/2014/chart" uri="{C3380CC4-5D6E-409C-BE32-E72D297353CC}">
              <c16:uniqueId val="{00000001-3CA4-4479-B6D3-526D60796E38}"/>
            </c:ext>
          </c:extLst>
        </c:ser>
        <c:dLbls>
          <c:showLegendKey val="0"/>
          <c:showVal val="0"/>
          <c:showCatName val="0"/>
          <c:showSerName val="0"/>
          <c:showPercent val="0"/>
          <c:showBubbleSize val="0"/>
        </c:dLbls>
        <c:gapWidth val="20"/>
        <c:overlap val="100"/>
        <c:axId val="163409920"/>
        <c:axId val="163422208"/>
      </c:barChart>
      <c:lineChart>
        <c:grouping val="standard"/>
        <c:varyColors val="0"/>
        <c:ser>
          <c:idx val="4"/>
          <c:order val="2"/>
          <c:tx>
            <c:strRef>
              <c:f>Charts_Capex!$O$115</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80-4037-8873-D279E11AD19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Charts_Capex!$P$115:$AE$115</c:f>
              <c:numCache>
                <c:formatCode>_(#,##0.0_);\(#,##0.0\);_("-"_)</c:formatCode>
                <c:ptCount val="16"/>
                <c:pt idx="0">
                  <c:v>#N/A</c:v>
                </c:pt>
                <c:pt idx="1">
                  <c:v>30.162281005213675</c:v>
                </c:pt>
                <c:pt idx="2">
                  <c:v>30.162281005213675</c:v>
                </c:pt>
                <c:pt idx="3">
                  <c:v>30.162281005213675</c:v>
                </c:pt>
                <c:pt idx="4">
                  <c:v>30.162281005213675</c:v>
                </c:pt>
                <c:pt idx="5">
                  <c:v>30.162281005213675</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3CA4-4479-B6D3-526D60796E38}"/>
            </c:ext>
          </c:extLst>
        </c:ser>
        <c:ser>
          <c:idx val="5"/>
          <c:order val="3"/>
          <c:tx>
            <c:strRef>
              <c:f>Charts_Capex!$O$116</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80-4037-8873-D279E11AD19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Charts_Capex!$P$116:$AE$116</c:f>
              <c:numCache>
                <c:formatCode>_(#,##0.0_);\(#,##0.0\);_("-"_)</c:formatCode>
                <c:ptCount val="16"/>
                <c:pt idx="0">
                  <c:v>#N/A</c:v>
                </c:pt>
                <c:pt idx="1">
                  <c:v>#N/A</c:v>
                </c:pt>
                <c:pt idx="2">
                  <c:v>#N/A</c:v>
                </c:pt>
                <c:pt idx="3">
                  <c:v>#N/A</c:v>
                </c:pt>
                <c:pt idx="4">
                  <c:v>#N/A</c:v>
                </c:pt>
                <c:pt idx="5">
                  <c:v>#N/A</c:v>
                </c:pt>
                <c:pt idx="6">
                  <c:v>33.288546309634839</c:v>
                </c:pt>
                <c:pt idx="7">
                  <c:v>33.288546309634839</c:v>
                </c:pt>
                <c:pt idx="8">
                  <c:v>33.288546309634839</c:v>
                </c:pt>
                <c:pt idx="9">
                  <c:v>33.288546309634839</c:v>
                </c:pt>
                <c:pt idx="10">
                  <c:v>33.288546309634839</c:v>
                </c:pt>
                <c:pt idx="11">
                  <c:v>#N/A</c:v>
                </c:pt>
                <c:pt idx="12">
                  <c:v>#N/A</c:v>
                </c:pt>
                <c:pt idx="13">
                  <c:v>#N/A</c:v>
                </c:pt>
                <c:pt idx="14">
                  <c:v>#N/A</c:v>
                </c:pt>
                <c:pt idx="15">
                  <c:v>#N/A</c:v>
                </c:pt>
              </c:numCache>
            </c:numRef>
          </c:val>
          <c:smooth val="0"/>
          <c:extLst>
            <c:ext xmlns:c16="http://schemas.microsoft.com/office/drawing/2014/chart" uri="{C3380CC4-5D6E-409C-BE32-E72D297353CC}">
              <c16:uniqueId val="{00000003-3CA4-4479-B6D3-526D60796E38}"/>
            </c:ext>
          </c:extLst>
        </c:ser>
        <c:ser>
          <c:idx val="6"/>
          <c:order val="4"/>
          <c:tx>
            <c:strRef>
              <c:f>Charts_Capex!$O$117</c:f>
              <c:strCache>
                <c:ptCount val="1"/>
                <c:pt idx="0">
                  <c:v>Avg: 20-24</c:v>
                </c:pt>
              </c:strCache>
            </c:strRef>
          </c:tx>
          <c:spPr>
            <a:ln w="28575" cap="rnd">
              <a:solidFill>
                <a:srgbClr val="EF7D17"/>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4-3780-4037-8873-D279E11AD196}"/>
                </c:ext>
              </c:extLst>
            </c:dLbl>
            <c:dLbl>
              <c:idx val="13"/>
              <c:delete val="1"/>
              <c:extLst>
                <c:ext xmlns:c15="http://schemas.microsoft.com/office/drawing/2012/chart" uri="{CE6537A1-D6FC-4f65-9D91-7224C49458BB}"/>
                <c:ext xmlns:c16="http://schemas.microsoft.com/office/drawing/2014/chart" uri="{C3380CC4-5D6E-409C-BE32-E72D297353CC}">
                  <c16:uniqueId val="{00000005-3780-4037-8873-D279E11AD196}"/>
                </c:ext>
              </c:extLst>
            </c:dLbl>
            <c:dLbl>
              <c:idx val="14"/>
              <c:delete val="1"/>
              <c:extLst>
                <c:ext xmlns:c15="http://schemas.microsoft.com/office/drawing/2012/chart" uri="{CE6537A1-D6FC-4f65-9D91-7224C49458BB}"/>
                <c:ext xmlns:c16="http://schemas.microsoft.com/office/drawing/2014/chart" uri="{C3380CC4-5D6E-409C-BE32-E72D297353CC}">
                  <c16:uniqueId val="{00000006-3780-4037-8873-D279E11AD196}"/>
                </c:ext>
              </c:extLst>
            </c:dLbl>
            <c:dLbl>
              <c:idx val="15"/>
              <c:delete val="1"/>
              <c:extLst>
                <c:ext xmlns:c15="http://schemas.microsoft.com/office/drawing/2012/chart" uri="{CE6537A1-D6FC-4f65-9D91-7224C49458BB}"/>
                <c:ext xmlns:c16="http://schemas.microsoft.com/office/drawing/2014/chart" uri="{C3380CC4-5D6E-409C-BE32-E72D297353CC}">
                  <c16:uniqueId val="{00000007-3780-4037-8873-D279E11AD19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Charts_Capex!$P$117:$AE$117</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31.332288109374531</c:v>
                </c:pt>
                <c:pt idx="12">
                  <c:v>31.332288109374531</c:v>
                </c:pt>
                <c:pt idx="13">
                  <c:v>31.332288109374531</c:v>
                </c:pt>
                <c:pt idx="14">
                  <c:v>31.332288109374531</c:v>
                </c:pt>
                <c:pt idx="15">
                  <c:v>31.332288109374531</c:v>
                </c:pt>
              </c:numCache>
            </c:numRef>
          </c:val>
          <c:smooth val="0"/>
          <c:extLst>
            <c:ext xmlns:c16="http://schemas.microsoft.com/office/drawing/2014/chart" uri="{C3380CC4-5D6E-409C-BE32-E72D297353CC}">
              <c16:uniqueId val="{00000004-3CA4-4479-B6D3-526D60796E38}"/>
            </c:ext>
          </c:extLst>
        </c:ser>
        <c:dLbls>
          <c:showLegendKey val="0"/>
          <c:showVal val="0"/>
          <c:showCatName val="0"/>
          <c:showSerName val="0"/>
          <c:showPercent val="0"/>
          <c:showBubbleSize val="0"/>
        </c:dLbls>
        <c:marker val="1"/>
        <c:smooth val="0"/>
        <c:axId val="163409920"/>
        <c:axId val="163422208"/>
      </c:lineChart>
      <c:catAx>
        <c:axId val="16340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422208"/>
        <c:crosses val="autoZero"/>
        <c:auto val="1"/>
        <c:lblAlgn val="ctr"/>
        <c:lblOffset val="100"/>
        <c:noMultiLvlLbl val="0"/>
      </c:catAx>
      <c:valAx>
        <c:axId val="16342220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Charts_Capex!$P$122</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409920"/>
        <c:crosses val="autoZero"/>
        <c:crossBetween val="between"/>
      </c:valAx>
      <c:spPr>
        <a:noFill/>
        <a:ln>
          <a:noFill/>
        </a:ln>
        <a:effectLst/>
      </c:spPr>
    </c:plotArea>
    <c:legend>
      <c:legendPos val="b"/>
      <c:layout>
        <c:manualLayout>
          <c:xMode val="edge"/>
          <c:yMode val="edge"/>
          <c:x val="0.12920575703718376"/>
          <c:y val="0.89096475090146443"/>
          <c:w val="0.70244749280553753"/>
          <c:h val="0.10903515109391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Charts_Capex!$P$148</c:f>
          <c:strCache>
            <c:ptCount val="1"/>
            <c:pt idx="0">
              <c:v>Replacement Capex - Direct Escalated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Charts_Capex!$O$138</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04C3-4A41-B246-F8799A3F68D9}"/>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04C3-4A41-B246-F8799A3F68D9}"/>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Charts_Capex!$P$138:$AE$138</c:f>
              <c:numCache>
                <c:formatCode>_(#,##0.0_);\(#,##0.0\);_("-"_)</c:formatCode>
                <c:ptCount val="16"/>
                <c:pt idx="0">
                  <c:v>4.3299791964410979</c:v>
                </c:pt>
                <c:pt idx="1">
                  <c:v>11.748443313091007</c:v>
                </c:pt>
                <c:pt idx="2">
                  <c:v>29.541935489743636</c:v>
                </c:pt>
                <c:pt idx="3">
                  <c:v>42.960728229977505</c:v>
                </c:pt>
                <c:pt idx="4">
                  <c:v>40.707398343224504</c:v>
                </c:pt>
                <c:pt idx="5">
                  <c:v>47.927120030309332</c:v>
                </c:pt>
                <c:pt idx="6">
                  <c:v>48.082578000733719</c:v>
                </c:pt>
                <c:pt idx="7">
                  <c:v>45.374289958075295</c:v>
                </c:pt>
                <c:pt idx="8">
                  <c:v>29.751610932919064</c:v>
                </c:pt>
                <c:pt idx="9">
                  <c:v>21.266078399811821</c:v>
                </c:pt>
                <c:pt idx="10">
                  <c:v>31.03932160289126</c:v>
                </c:pt>
                <c:pt idx="11">
                  <c:v>#N/A</c:v>
                </c:pt>
                <c:pt idx="12">
                  <c:v>#N/A</c:v>
                </c:pt>
                <c:pt idx="13">
                  <c:v>#N/A</c:v>
                </c:pt>
                <c:pt idx="14">
                  <c:v>#N/A</c:v>
                </c:pt>
                <c:pt idx="15">
                  <c:v>#N/A</c:v>
                </c:pt>
              </c:numCache>
            </c:numRef>
          </c:val>
          <c:extLst>
            <c:ext xmlns:c16="http://schemas.microsoft.com/office/drawing/2014/chart" uri="{C3380CC4-5D6E-409C-BE32-E72D297353CC}">
              <c16:uniqueId val="{00000000-2398-416B-B7D4-68B893192243}"/>
            </c:ext>
          </c:extLst>
        </c:ser>
        <c:ser>
          <c:idx val="3"/>
          <c:order val="1"/>
          <c:tx>
            <c:strRef>
              <c:f>Charts_Capex!$O$139</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Charts_Capex!$P$139:$AE$139</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34.922118004866356</c:v>
                </c:pt>
                <c:pt idx="12">
                  <c:v>38.514520475254891</c:v>
                </c:pt>
                <c:pt idx="13">
                  <c:v>33.444013978344806</c:v>
                </c:pt>
                <c:pt idx="14">
                  <c:v>22.006857340073573</c:v>
                </c:pt>
                <c:pt idx="15">
                  <c:v>19.710304596256083</c:v>
                </c:pt>
              </c:numCache>
            </c:numRef>
          </c:val>
          <c:extLst>
            <c:ext xmlns:c16="http://schemas.microsoft.com/office/drawing/2014/chart" uri="{C3380CC4-5D6E-409C-BE32-E72D297353CC}">
              <c16:uniqueId val="{00000001-2398-416B-B7D4-68B893192243}"/>
            </c:ext>
          </c:extLst>
        </c:ser>
        <c:dLbls>
          <c:showLegendKey val="0"/>
          <c:showVal val="0"/>
          <c:showCatName val="0"/>
          <c:showSerName val="0"/>
          <c:showPercent val="0"/>
          <c:showBubbleSize val="0"/>
        </c:dLbls>
        <c:gapWidth val="20"/>
        <c:overlap val="100"/>
        <c:axId val="163107584"/>
        <c:axId val="163123968"/>
      </c:barChart>
      <c:lineChart>
        <c:grouping val="standard"/>
        <c:varyColors val="0"/>
        <c:ser>
          <c:idx val="4"/>
          <c:order val="2"/>
          <c:tx>
            <c:strRef>
              <c:f>Charts_Capex!$O$140</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C3-4A41-B246-F8799A3F68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Charts_Capex!$P$140:$AE$140</c:f>
              <c:numCache>
                <c:formatCode>_(#,##0.0_);\(#,##0.0\);_("-"_)</c:formatCode>
                <c:ptCount val="16"/>
                <c:pt idx="0">
                  <c:v>#N/A</c:v>
                </c:pt>
                <c:pt idx="1">
                  <c:v>34.577125081269195</c:v>
                </c:pt>
                <c:pt idx="2">
                  <c:v>34.577125081269195</c:v>
                </c:pt>
                <c:pt idx="3">
                  <c:v>34.577125081269195</c:v>
                </c:pt>
                <c:pt idx="4">
                  <c:v>34.577125081269195</c:v>
                </c:pt>
                <c:pt idx="5">
                  <c:v>34.577125081269195</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2398-416B-B7D4-68B893192243}"/>
            </c:ext>
          </c:extLst>
        </c:ser>
        <c:ser>
          <c:idx val="5"/>
          <c:order val="3"/>
          <c:tx>
            <c:strRef>
              <c:f>Charts_Capex!$O$141</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3-4A41-B246-F8799A3F68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Charts_Capex!$P$141:$AE$141</c:f>
              <c:numCache>
                <c:formatCode>_(#,##0.0_);\(#,##0.0\);_("-"_)</c:formatCode>
                <c:ptCount val="16"/>
                <c:pt idx="0">
                  <c:v>#N/A</c:v>
                </c:pt>
                <c:pt idx="1">
                  <c:v>#N/A</c:v>
                </c:pt>
                <c:pt idx="2">
                  <c:v>#N/A</c:v>
                </c:pt>
                <c:pt idx="3">
                  <c:v>#N/A</c:v>
                </c:pt>
                <c:pt idx="4">
                  <c:v>#N/A</c:v>
                </c:pt>
                <c:pt idx="5">
                  <c:v>#N/A</c:v>
                </c:pt>
                <c:pt idx="6">
                  <c:v>35.102775778886226</c:v>
                </c:pt>
                <c:pt idx="7">
                  <c:v>35.102775778886226</c:v>
                </c:pt>
                <c:pt idx="8">
                  <c:v>35.102775778886226</c:v>
                </c:pt>
                <c:pt idx="9">
                  <c:v>35.102775778886226</c:v>
                </c:pt>
                <c:pt idx="10">
                  <c:v>35.102775778886226</c:v>
                </c:pt>
                <c:pt idx="11">
                  <c:v>#N/A</c:v>
                </c:pt>
                <c:pt idx="12">
                  <c:v>#N/A</c:v>
                </c:pt>
                <c:pt idx="13">
                  <c:v>#N/A</c:v>
                </c:pt>
                <c:pt idx="14">
                  <c:v>#N/A</c:v>
                </c:pt>
                <c:pt idx="15">
                  <c:v>#N/A</c:v>
                </c:pt>
              </c:numCache>
            </c:numRef>
          </c:val>
          <c:smooth val="0"/>
          <c:extLst>
            <c:ext xmlns:c16="http://schemas.microsoft.com/office/drawing/2014/chart" uri="{C3380CC4-5D6E-409C-BE32-E72D297353CC}">
              <c16:uniqueId val="{00000003-2398-416B-B7D4-68B893192243}"/>
            </c:ext>
          </c:extLst>
        </c:ser>
        <c:ser>
          <c:idx val="6"/>
          <c:order val="4"/>
          <c:tx>
            <c:strRef>
              <c:f>Charts_Capex!$O$142</c:f>
              <c:strCache>
                <c:ptCount val="1"/>
                <c:pt idx="0">
                  <c:v>Avg: 20-24</c:v>
                </c:pt>
              </c:strCache>
            </c:strRef>
          </c:tx>
          <c:spPr>
            <a:ln w="28575" cap="rnd">
              <a:solidFill>
                <a:srgbClr val="EF7D17"/>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4-04C3-4A41-B246-F8799A3F68D9}"/>
                </c:ext>
              </c:extLst>
            </c:dLbl>
            <c:dLbl>
              <c:idx val="13"/>
              <c:delete val="1"/>
              <c:extLst>
                <c:ext xmlns:c15="http://schemas.microsoft.com/office/drawing/2012/chart" uri="{CE6537A1-D6FC-4f65-9D91-7224C49458BB}"/>
                <c:ext xmlns:c16="http://schemas.microsoft.com/office/drawing/2014/chart" uri="{C3380CC4-5D6E-409C-BE32-E72D297353CC}">
                  <c16:uniqueId val="{00000005-04C3-4A41-B246-F8799A3F68D9}"/>
                </c:ext>
              </c:extLst>
            </c:dLbl>
            <c:dLbl>
              <c:idx val="14"/>
              <c:delete val="1"/>
              <c:extLst>
                <c:ext xmlns:c15="http://schemas.microsoft.com/office/drawing/2012/chart" uri="{CE6537A1-D6FC-4f65-9D91-7224C49458BB}"/>
                <c:ext xmlns:c16="http://schemas.microsoft.com/office/drawing/2014/chart" uri="{C3380CC4-5D6E-409C-BE32-E72D297353CC}">
                  <c16:uniqueId val="{00000006-04C3-4A41-B246-F8799A3F68D9}"/>
                </c:ext>
              </c:extLst>
            </c:dLbl>
            <c:dLbl>
              <c:idx val="15"/>
              <c:delete val="1"/>
              <c:extLst>
                <c:ext xmlns:c15="http://schemas.microsoft.com/office/drawing/2012/chart" uri="{CE6537A1-D6FC-4f65-9D91-7224C49458BB}"/>
                <c:ext xmlns:c16="http://schemas.microsoft.com/office/drawing/2014/chart" uri="{C3380CC4-5D6E-409C-BE32-E72D297353CC}">
                  <c16:uniqueId val="{00000007-04C3-4A41-B246-F8799A3F68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Charts_Capex!$P$142:$AE$142</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29.719562878959142</c:v>
                </c:pt>
                <c:pt idx="12">
                  <c:v>29.719562878959142</c:v>
                </c:pt>
                <c:pt idx="13">
                  <c:v>29.719562878959142</c:v>
                </c:pt>
                <c:pt idx="14">
                  <c:v>29.719562878959142</c:v>
                </c:pt>
                <c:pt idx="15">
                  <c:v>29.719562878959142</c:v>
                </c:pt>
              </c:numCache>
            </c:numRef>
          </c:val>
          <c:smooth val="0"/>
          <c:extLst>
            <c:ext xmlns:c16="http://schemas.microsoft.com/office/drawing/2014/chart" uri="{C3380CC4-5D6E-409C-BE32-E72D297353CC}">
              <c16:uniqueId val="{00000004-2398-416B-B7D4-68B893192243}"/>
            </c:ext>
          </c:extLst>
        </c:ser>
        <c:dLbls>
          <c:showLegendKey val="0"/>
          <c:showVal val="0"/>
          <c:showCatName val="0"/>
          <c:showSerName val="0"/>
          <c:showPercent val="0"/>
          <c:showBubbleSize val="0"/>
        </c:dLbls>
        <c:marker val="1"/>
        <c:smooth val="0"/>
        <c:axId val="163107584"/>
        <c:axId val="163123968"/>
      </c:lineChart>
      <c:catAx>
        <c:axId val="16310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123968"/>
        <c:crosses val="autoZero"/>
        <c:auto val="1"/>
        <c:lblAlgn val="ctr"/>
        <c:lblOffset val="100"/>
        <c:noMultiLvlLbl val="0"/>
      </c:catAx>
      <c:valAx>
        <c:axId val="16312396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Charts_Capex!$P$147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107584"/>
        <c:crosses val="autoZero"/>
        <c:crossBetween val="between"/>
      </c:valAx>
      <c:spPr>
        <a:noFill/>
        <a:ln>
          <a:noFill/>
        </a:ln>
        <a:effectLst/>
      </c:spPr>
    </c:plotArea>
    <c:legend>
      <c:legendPos val="b"/>
      <c:layout>
        <c:manualLayout>
          <c:xMode val="edge"/>
          <c:yMode val="edge"/>
          <c:x val="0.12920575703718376"/>
          <c:y val="0.89096475090146443"/>
          <c:w val="0.70244749280553753"/>
          <c:h val="0.10903515109391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Charts_Capex!$P$173</c:f>
          <c:strCache>
            <c:ptCount val="1"/>
            <c:pt idx="0">
              <c:v>Connection Capex - Direct Escalated (Nominal,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Charts_Capex!$O$164</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FA44-43AA-9983-CF59C058F331}"/>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FA44-43AA-9983-CF59C058F331}"/>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Charts_Capex!$P$164:$AE$164</c:f>
              <c:numCache>
                <c:formatCode>_(#,##0.0_);\(#,##0.0\);_("-"_)</c:formatCode>
                <c:ptCount val="16"/>
                <c:pt idx="0">
                  <c:v>15.268753080864927</c:v>
                </c:pt>
                <c:pt idx="1">
                  <c:v>8.8735375790668733</c:v>
                </c:pt>
                <c:pt idx="2">
                  <c:v>11.369156470000004</c:v>
                </c:pt>
                <c:pt idx="3">
                  <c:v>13.251996962085304</c:v>
                </c:pt>
                <c:pt idx="4">
                  <c:v>14.875256458104268</c:v>
                </c:pt>
                <c:pt idx="5">
                  <c:v>14.478044549731436</c:v>
                </c:pt>
                <c:pt idx="6">
                  <c:v>16.666967323017374</c:v>
                </c:pt>
                <c:pt idx="7">
                  <c:v>13.786243152085314</c:v>
                </c:pt>
                <c:pt idx="8">
                  <c:v>11.690115570963664</c:v>
                </c:pt>
                <c:pt idx="9">
                  <c:v>10.720775529851359</c:v>
                </c:pt>
                <c:pt idx="10">
                  <c:v>11.454206592581102</c:v>
                </c:pt>
                <c:pt idx="11">
                  <c:v>#N/A</c:v>
                </c:pt>
                <c:pt idx="12">
                  <c:v>#N/A</c:v>
                </c:pt>
                <c:pt idx="13">
                  <c:v>#N/A</c:v>
                </c:pt>
                <c:pt idx="14">
                  <c:v>#N/A</c:v>
                </c:pt>
                <c:pt idx="15">
                  <c:v>#N/A</c:v>
                </c:pt>
              </c:numCache>
            </c:numRef>
          </c:val>
          <c:extLst>
            <c:ext xmlns:c16="http://schemas.microsoft.com/office/drawing/2014/chart" uri="{C3380CC4-5D6E-409C-BE32-E72D297353CC}">
              <c16:uniqueId val="{00000000-308C-420A-8A2C-4AE9344967C4}"/>
            </c:ext>
          </c:extLst>
        </c:ser>
        <c:ser>
          <c:idx val="3"/>
          <c:order val="1"/>
          <c:tx>
            <c:strRef>
              <c:f>Charts_Capex!$O$165</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Charts_Capex!$P$165:$AE$165</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12.800322934530035</c:v>
                </c:pt>
                <c:pt idx="12">
                  <c:v>13.86821677144531</c:v>
                </c:pt>
                <c:pt idx="13">
                  <c:v>14.402326443845412</c:v>
                </c:pt>
                <c:pt idx="14">
                  <c:v>12.498003578323639</c:v>
                </c:pt>
                <c:pt idx="15">
                  <c:v>12.909182276436612</c:v>
                </c:pt>
              </c:numCache>
            </c:numRef>
          </c:val>
          <c:extLst>
            <c:ext xmlns:c16="http://schemas.microsoft.com/office/drawing/2014/chart" uri="{C3380CC4-5D6E-409C-BE32-E72D297353CC}">
              <c16:uniqueId val="{00000001-308C-420A-8A2C-4AE9344967C4}"/>
            </c:ext>
          </c:extLst>
        </c:ser>
        <c:dLbls>
          <c:showLegendKey val="0"/>
          <c:showVal val="0"/>
          <c:showCatName val="0"/>
          <c:showSerName val="0"/>
          <c:showPercent val="0"/>
          <c:showBubbleSize val="0"/>
        </c:dLbls>
        <c:gapWidth val="20"/>
        <c:overlap val="100"/>
        <c:axId val="163728768"/>
        <c:axId val="163742848"/>
      </c:barChart>
      <c:lineChart>
        <c:grouping val="standard"/>
        <c:varyColors val="0"/>
        <c:ser>
          <c:idx val="4"/>
          <c:order val="2"/>
          <c:tx>
            <c:strRef>
              <c:f>Charts_Capex!$O$166</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44-43AA-9983-CF59C058F3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Charts_Capex!$P$166:$AE$166</c:f>
              <c:numCache>
                <c:formatCode>_(#,##0.0_);\(#,##0.0\);_("-"_)</c:formatCode>
                <c:ptCount val="16"/>
                <c:pt idx="0">
                  <c:v>#N/A</c:v>
                </c:pt>
                <c:pt idx="1">
                  <c:v>12.569598403797578</c:v>
                </c:pt>
                <c:pt idx="2">
                  <c:v>12.569598403797578</c:v>
                </c:pt>
                <c:pt idx="3">
                  <c:v>12.569598403797578</c:v>
                </c:pt>
                <c:pt idx="4">
                  <c:v>12.569598403797578</c:v>
                </c:pt>
                <c:pt idx="5">
                  <c:v>12.569598403797578</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308C-420A-8A2C-4AE9344967C4}"/>
            </c:ext>
          </c:extLst>
        </c:ser>
        <c:ser>
          <c:idx val="5"/>
          <c:order val="3"/>
          <c:tx>
            <c:strRef>
              <c:f>Charts_Capex!$O$167</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44-43AA-9983-CF59C058F3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Charts_Capex!$P$167:$AE$167</c:f>
              <c:numCache>
                <c:formatCode>_(#,##0.0_);\(#,##0.0\);_("-"_)</c:formatCode>
                <c:ptCount val="16"/>
                <c:pt idx="0">
                  <c:v>#N/A</c:v>
                </c:pt>
                <c:pt idx="1">
                  <c:v>#N/A</c:v>
                </c:pt>
                <c:pt idx="2">
                  <c:v>#N/A</c:v>
                </c:pt>
                <c:pt idx="3">
                  <c:v>#N/A</c:v>
                </c:pt>
                <c:pt idx="4">
                  <c:v>#N/A</c:v>
                </c:pt>
                <c:pt idx="5">
                  <c:v>#N/A</c:v>
                </c:pt>
                <c:pt idx="6">
                  <c:v>12.863661633699763</c:v>
                </c:pt>
                <c:pt idx="7">
                  <c:v>12.863661633699763</c:v>
                </c:pt>
                <c:pt idx="8">
                  <c:v>12.863661633699763</c:v>
                </c:pt>
                <c:pt idx="9">
                  <c:v>12.863661633699763</c:v>
                </c:pt>
                <c:pt idx="10">
                  <c:v>12.863661633699763</c:v>
                </c:pt>
                <c:pt idx="11">
                  <c:v>#N/A</c:v>
                </c:pt>
                <c:pt idx="12">
                  <c:v>#N/A</c:v>
                </c:pt>
                <c:pt idx="13">
                  <c:v>#N/A</c:v>
                </c:pt>
                <c:pt idx="14">
                  <c:v>#N/A</c:v>
                </c:pt>
                <c:pt idx="15">
                  <c:v>#N/A</c:v>
                </c:pt>
              </c:numCache>
            </c:numRef>
          </c:val>
          <c:smooth val="0"/>
          <c:extLst>
            <c:ext xmlns:c16="http://schemas.microsoft.com/office/drawing/2014/chart" uri="{C3380CC4-5D6E-409C-BE32-E72D297353CC}">
              <c16:uniqueId val="{00000003-308C-420A-8A2C-4AE9344967C4}"/>
            </c:ext>
          </c:extLst>
        </c:ser>
        <c:ser>
          <c:idx val="6"/>
          <c:order val="4"/>
          <c:tx>
            <c:strRef>
              <c:f>Charts_Capex!$O$168</c:f>
              <c:strCache>
                <c:ptCount val="1"/>
                <c:pt idx="0">
                  <c:v>Avg: 20-24</c:v>
                </c:pt>
              </c:strCache>
            </c:strRef>
          </c:tx>
          <c:spPr>
            <a:ln w="28575" cap="rnd">
              <a:solidFill>
                <a:srgbClr val="EF7D17"/>
              </a:solidFill>
              <a:prstDash val="sysDash"/>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44-43AA-9983-CF59C058F3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Charts_Capex!$P$168:$AE$168</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13.295610400916203</c:v>
                </c:pt>
                <c:pt idx="12">
                  <c:v>13.295610400916203</c:v>
                </c:pt>
                <c:pt idx="13">
                  <c:v>13.295610400916203</c:v>
                </c:pt>
                <c:pt idx="14">
                  <c:v>13.295610400916203</c:v>
                </c:pt>
                <c:pt idx="15">
                  <c:v>13.295610400916203</c:v>
                </c:pt>
              </c:numCache>
            </c:numRef>
          </c:val>
          <c:smooth val="0"/>
          <c:extLst>
            <c:ext xmlns:c16="http://schemas.microsoft.com/office/drawing/2014/chart" uri="{C3380CC4-5D6E-409C-BE32-E72D297353CC}">
              <c16:uniqueId val="{00000004-308C-420A-8A2C-4AE9344967C4}"/>
            </c:ext>
          </c:extLst>
        </c:ser>
        <c:dLbls>
          <c:showLegendKey val="0"/>
          <c:showVal val="0"/>
          <c:showCatName val="0"/>
          <c:showSerName val="0"/>
          <c:showPercent val="0"/>
          <c:showBubbleSize val="0"/>
        </c:dLbls>
        <c:marker val="1"/>
        <c:smooth val="0"/>
        <c:axId val="163728768"/>
        <c:axId val="163742848"/>
      </c:lineChart>
      <c:catAx>
        <c:axId val="16372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742848"/>
        <c:crosses val="autoZero"/>
        <c:auto val="1"/>
        <c:lblAlgn val="ctr"/>
        <c:lblOffset val="100"/>
        <c:noMultiLvlLbl val="0"/>
      </c:catAx>
      <c:valAx>
        <c:axId val="163742848"/>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Charts_Capex!$P$172</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728768"/>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Charts_Capex!$P$198</c:f>
          <c:strCache>
            <c:ptCount val="1"/>
            <c:pt idx="0">
              <c:v>Connection Capex - Direct Escalated (Real $2019, $Millions)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162867220213825"/>
          <c:y val="0.15406031563127778"/>
          <c:w val="0.84271235689660551"/>
          <c:h val="0.58332098731560988"/>
        </c:manualLayout>
      </c:layout>
      <c:barChart>
        <c:barDir val="col"/>
        <c:grouping val="stacked"/>
        <c:varyColors val="0"/>
        <c:ser>
          <c:idx val="0"/>
          <c:order val="0"/>
          <c:tx>
            <c:strRef>
              <c:f>Charts_Capex!$O$189</c:f>
              <c:strCache>
                <c:ptCount val="1"/>
                <c:pt idx="0">
                  <c:v>Actuals/Estimate</c:v>
                </c:pt>
              </c:strCache>
            </c:strRef>
          </c:tx>
          <c:spPr>
            <a:solidFill>
              <a:srgbClr val="2A3D6F"/>
            </a:solidFill>
            <a:ln>
              <a:solidFill>
                <a:schemeClr val="bg1"/>
              </a:solidFill>
            </a:ln>
            <a:effectLst/>
          </c:spPr>
          <c:invertIfNegative val="0"/>
          <c:dPt>
            <c:idx val="9"/>
            <c:invertIfNegative val="0"/>
            <c:bubble3D val="0"/>
            <c:spPr>
              <a:solidFill>
                <a:srgbClr val="0061AC"/>
              </a:solidFill>
              <a:ln>
                <a:solidFill>
                  <a:schemeClr val="bg1"/>
                </a:solidFill>
              </a:ln>
              <a:effectLst/>
            </c:spPr>
            <c:extLst>
              <c:ext xmlns:c16="http://schemas.microsoft.com/office/drawing/2014/chart" uri="{C3380CC4-5D6E-409C-BE32-E72D297353CC}">
                <c16:uniqueId val="{00000000-A703-4F30-882D-3BB46932FA21}"/>
              </c:ext>
            </c:extLst>
          </c:dPt>
          <c:dPt>
            <c:idx val="10"/>
            <c:invertIfNegative val="0"/>
            <c:bubble3D val="0"/>
            <c:spPr>
              <a:solidFill>
                <a:srgbClr val="0061AC"/>
              </a:solidFill>
              <a:ln>
                <a:solidFill>
                  <a:schemeClr val="bg1"/>
                </a:solidFill>
              </a:ln>
              <a:effectLst/>
            </c:spPr>
            <c:extLst>
              <c:ext xmlns:c16="http://schemas.microsoft.com/office/drawing/2014/chart" uri="{C3380CC4-5D6E-409C-BE32-E72D297353CC}">
                <c16:uniqueId val="{00000001-A703-4F30-882D-3BB46932FA21}"/>
              </c:ext>
            </c:extLst>
          </c:dPt>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Charts_Capex!$P$189:$AE$189</c:f>
              <c:numCache>
                <c:formatCode>_(#,##0.0_);\(#,##0.0\);_("-"_)</c:formatCode>
                <c:ptCount val="16"/>
                <c:pt idx="0">
                  <c:v>19.109929613092337</c:v>
                </c:pt>
                <c:pt idx="1">
                  <c:v>10.859686563223205</c:v>
                </c:pt>
                <c:pt idx="2">
                  <c:v>13.464826517578205</c:v>
                </c:pt>
                <c:pt idx="3">
                  <c:v>15.330973907253373</c:v>
                </c:pt>
                <c:pt idx="4">
                  <c:v>16.904882541263301</c:v>
                </c:pt>
                <c:pt idx="5">
                  <c:v>16.020515282316069</c:v>
                </c:pt>
                <c:pt idx="6">
                  <c:v>18.034972361039578</c:v>
                </c:pt>
                <c:pt idx="7">
                  <c:v>14.731192292311784</c:v>
                </c:pt>
                <c:pt idx="8">
                  <c:v>12.309522059828577</c:v>
                </c:pt>
                <c:pt idx="9">
                  <c:v>11.071070222845824</c:v>
                </c:pt>
                <c:pt idx="10">
                  <c:v>11.582349621752176</c:v>
                </c:pt>
                <c:pt idx="11">
                  <c:v>#N/A</c:v>
                </c:pt>
                <c:pt idx="12">
                  <c:v>#N/A</c:v>
                </c:pt>
                <c:pt idx="13">
                  <c:v>#N/A</c:v>
                </c:pt>
                <c:pt idx="14">
                  <c:v>#N/A</c:v>
                </c:pt>
                <c:pt idx="15">
                  <c:v>#N/A</c:v>
                </c:pt>
              </c:numCache>
            </c:numRef>
          </c:val>
          <c:extLst>
            <c:ext xmlns:c16="http://schemas.microsoft.com/office/drawing/2014/chart" uri="{C3380CC4-5D6E-409C-BE32-E72D297353CC}">
              <c16:uniqueId val="{00000000-8030-4C6A-83EA-A72726A47C05}"/>
            </c:ext>
          </c:extLst>
        </c:ser>
        <c:ser>
          <c:idx val="3"/>
          <c:order val="1"/>
          <c:tx>
            <c:strRef>
              <c:f>Charts_Capex!$O$190</c:f>
              <c:strCache>
                <c:ptCount val="1"/>
                <c:pt idx="0">
                  <c:v>Forecast</c:v>
                </c:pt>
              </c:strCache>
            </c:strRef>
          </c:tx>
          <c:spPr>
            <a:solidFill>
              <a:srgbClr val="75842F"/>
            </a:solidFill>
            <a:ln>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Charts_Capex!$P$190:$AE$190</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12.647893670135225</c:v>
                </c:pt>
                <c:pt idx="12">
                  <c:v>13.378655156962429</c:v>
                </c:pt>
                <c:pt idx="13">
                  <c:v>13.564976556766927</c:v>
                </c:pt>
                <c:pt idx="14">
                  <c:v>11.49268757276556</c:v>
                </c:pt>
                <c:pt idx="15">
                  <c:v>11.589754799327023</c:v>
                </c:pt>
              </c:numCache>
            </c:numRef>
          </c:val>
          <c:extLst>
            <c:ext xmlns:c16="http://schemas.microsoft.com/office/drawing/2014/chart" uri="{C3380CC4-5D6E-409C-BE32-E72D297353CC}">
              <c16:uniqueId val="{00000001-8030-4C6A-83EA-A72726A47C05}"/>
            </c:ext>
          </c:extLst>
        </c:ser>
        <c:dLbls>
          <c:showLegendKey val="0"/>
          <c:showVal val="0"/>
          <c:showCatName val="0"/>
          <c:showSerName val="0"/>
          <c:showPercent val="0"/>
          <c:showBubbleSize val="0"/>
        </c:dLbls>
        <c:gapWidth val="20"/>
        <c:overlap val="100"/>
        <c:axId val="163487104"/>
        <c:axId val="163521664"/>
      </c:barChart>
      <c:lineChart>
        <c:grouping val="standard"/>
        <c:varyColors val="0"/>
        <c:ser>
          <c:idx val="4"/>
          <c:order val="2"/>
          <c:tx>
            <c:strRef>
              <c:f>Charts_Capex!$O$191</c:f>
              <c:strCache>
                <c:ptCount val="1"/>
                <c:pt idx="0">
                  <c:v>Avg: 10-14</c:v>
                </c:pt>
              </c:strCache>
            </c:strRef>
          </c:tx>
          <c:spPr>
            <a:ln w="28575" cap="rnd">
              <a:solidFill>
                <a:srgbClr val="007143"/>
              </a:solidFill>
              <a:prstDash val="sysDash"/>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3-4F30-882D-3BB46932FA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Charts_Capex!$P$191:$AE$191</c:f>
              <c:numCache>
                <c:formatCode>_(#,##0.0_);\(#,##0.0\);_("-"_)</c:formatCode>
                <c:ptCount val="16"/>
                <c:pt idx="0">
                  <c:v>#N/A</c:v>
                </c:pt>
                <c:pt idx="1">
                  <c:v>14.51617696232683</c:v>
                </c:pt>
                <c:pt idx="2">
                  <c:v>14.51617696232683</c:v>
                </c:pt>
                <c:pt idx="3">
                  <c:v>14.51617696232683</c:v>
                </c:pt>
                <c:pt idx="4">
                  <c:v>14.51617696232683</c:v>
                </c:pt>
                <c:pt idx="5">
                  <c:v>14.51617696232683</c:v>
                </c:pt>
                <c:pt idx="6">
                  <c:v>#N/A</c:v>
                </c:pt>
                <c:pt idx="7">
                  <c:v>#N/A</c:v>
                </c:pt>
                <c:pt idx="8">
                  <c:v>#N/A</c:v>
                </c:pt>
                <c:pt idx="9">
                  <c:v>#N/A</c:v>
                </c:pt>
                <c:pt idx="10">
                  <c:v>#N/A</c:v>
                </c:pt>
                <c:pt idx="11">
                  <c:v>#N/A</c:v>
                </c:pt>
                <c:pt idx="12">
                  <c:v>#N/A</c:v>
                </c:pt>
                <c:pt idx="13">
                  <c:v>#N/A</c:v>
                </c:pt>
                <c:pt idx="14">
                  <c:v>#N/A</c:v>
                </c:pt>
                <c:pt idx="15">
                  <c:v>#N/A</c:v>
                </c:pt>
              </c:numCache>
            </c:numRef>
          </c:val>
          <c:smooth val="0"/>
          <c:extLst>
            <c:ext xmlns:c16="http://schemas.microsoft.com/office/drawing/2014/chart" uri="{C3380CC4-5D6E-409C-BE32-E72D297353CC}">
              <c16:uniqueId val="{00000002-8030-4C6A-83EA-A72726A47C05}"/>
            </c:ext>
          </c:extLst>
        </c:ser>
        <c:ser>
          <c:idx val="5"/>
          <c:order val="3"/>
          <c:tx>
            <c:strRef>
              <c:f>Charts_Capex!$O$192</c:f>
              <c:strCache>
                <c:ptCount val="1"/>
                <c:pt idx="0">
                  <c:v>Avg: 15-19</c:v>
                </c:pt>
              </c:strCache>
            </c:strRef>
          </c:tx>
          <c:spPr>
            <a:ln w="28575" cap="rnd">
              <a:solidFill>
                <a:srgbClr val="4BB0E4"/>
              </a:solidFill>
              <a:prstDash val="sysDash"/>
              <a:round/>
            </a:ln>
            <a:effectLst/>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3-4F30-882D-3BB46932FA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Charts_Capex!$P$192:$AE$192</c:f>
              <c:numCache>
                <c:formatCode>_(#,##0.0_);\(#,##0.0\);_("-"_)</c:formatCode>
                <c:ptCount val="16"/>
                <c:pt idx="0">
                  <c:v>#N/A</c:v>
                </c:pt>
                <c:pt idx="1">
                  <c:v>#N/A</c:v>
                </c:pt>
                <c:pt idx="2">
                  <c:v>#N/A</c:v>
                </c:pt>
                <c:pt idx="3">
                  <c:v>#N/A</c:v>
                </c:pt>
                <c:pt idx="4">
                  <c:v>#N/A</c:v>
                </c:pt>
                <c:pt idx="5">
                  <c:v>#N/A</c:v>
                </c:pt>
                <c:pt idx="6">
                  <c:v>13.545821311555589</c:v>
                </c:pt>
                <c:pt idx="7">
                  <c:v>13.545821311555589</c:v>
                </c:pt>
                <c:pt idx="8">
                  <c:v>13.545821311555589</c:v>
                </c:pt>
                <c:pt idx="9">
                  <c:v>13.545821311555589</c:v>
                </c:pt>
                <c:pt idx="10">
                  <c:v>13.545821311555589</c:v>
                </c:pt>
                <c:pt idx="11">
                  <c:v>#N/A</c:v>
                </c:pt>
                <c:pt idx="12">
                  <c:v>#N/A</c:v>
                </c:pt>
                <c:pt idx="13">
                  <c:v>#N/A</c:v>
                </c:pt>
                <c:pt idx="14">
                  <c:v>#N/A</c:v>
                </c:pt>
                <c:pt idx="15">
                  <c:v>#N/A</c:v>
                </c:pt>
              </c:numCache>
            </c:numRef>
          </c:val>
          <c:smooth val="0"/>
          <c:extLst>
            <c:ext xmlns:c16="http://schemas.microsoft.com/office/drawing/2014/chart" uri="{C3380CC4-5D6E-409C-BE32-E72D297353CC}">
              <c16:uniqueId val="{00000003-8030-4C6A-83EA-A72726A47C05}"/>
            </c:ext>
          </c:extLst>
        </c:ser>
        <c:ser>
          <c:idx val="6"/>
          <c:order val="4"/>
          <c:tx>
            <c:strRef>
              <c:f>Charts_Capex!$O$193</c:f>
              <c:strCache>
                <c:ptCount val="1"/>
                <c:pt idx="0">
                  <c:v>Avg: 20-24</c:v>
                </c:pt>
              </c:strCache>
            </c:strRef>
          </c:tx>
          <c:spPr>
            <a:ln w="28575" cap="rnd">
              <a:solidFill>
                <a:srgbClr val="EF7D17"/>
              </a:solidFill>
              <a:prstDash val="sysDash"/>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3-4F30-882D-3BB46932FA2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Charts_Capex!$P$10:$AE$10</c:f>
              <c:strCache>
                <c:ptCount val="16"/>
                <c:pt idx="0">
                  <c:v>RY09</c:v>
                </c:pt>
                <c:pt idx="1">
                  <c:v>RY10</c:v>
                </c:pt>
                <c:pt idx="2">
                  <c:v>RY11</c:v>
                </c:pt>
                <c:pt idx="3">
                  <c:v>RY12</c:v>
                </c:pt>
                <c:pt idx="4">
                  <c:v>RY13</c:v>
                </c:pt>
                <c:pt idx="5">
                  <c:v>RY14</c:v>
                </c:pt>
                <c:pt idx="6">
                  <c:v>RY15</c:v>
                </c:pt>
                <c:pt idx="7">
                  <c:v>RY16</c:v>
                </c:pt>
                <c:pt idx="8">
                  <c:v>RY17</c:v>
                </c:pt>
                <c:pt idx="9">
                  <c:v>RY18</c:v>
                </c:pt>
                <c:pt idx="10">
                  <c:v>RY19</c:v>
                </c:pt>
                <c:pt idx="11">
                  <c:v>RY20</c:v>
                </c:pt>
                <c:pt idx="12">
                  <c:v>RY21</c:v>
                </c:pt>
                <c:pt idx="13">
                  <c:v>RY22</c:v>
                </c:pt>
                <c:pt idx="14">
                  <c:v>RY23</c:v>
                </c:pt>
                <c:pt idx="15">
                  <c:v>RY24</c:v>
                </c:pt>
              </c:strCache>
            </c:strRef>
          </c:cat>
          <c:val>
            <c:numRef>
              <c:f>Charts_Capex!$P$193:$AE$193</c:f>
              <c:numCache>
                <c:formatCode>_(#,##0.0_);\(#,##0.0\);_("-"_)</c:formatCode>
                <c:ptCount val="16"/>
                <c:pt idx="0">
                  <c:v>#N/A</c:v>
                </c:pt>
                <c:pt idx="1">
                  <c:v>#N/A</c:v>
                </c:pt>
                <c:pt idx="2">
                  <c:v>#N/A</c:v>
                </c:pt>
                <c:pt idx="3">
                  <c:v>#N/A</c:v>
                </c:pt>
                <c:pt idx="4">
                  <c:v>#N/A</c:v>
                </c:pt>
                <c:pt idx="5">
                  <c:v>#N/A</c:v>
                </c:pt>
                <c:pt idx="6">
                  <c:v>#N/A</c:v>
                </c:pt>
                <c:pt idx="7">
                  <c:v>#N/A</c:v>
                </c:pt>
                <c:pt idx="8">
                  <c:v>#N/A</c:v>
                </c:pt>
                <c:pt idx="9">
                  <c:v>#N/A</c:v>
                </c:pt>
                <c:pt idx="10">
                  <c:v>#N/A</c:v>
                </c:pt>
                <c:pt idx="11">
                  <c:v>12.534793551191434</c:v>
                </c:pt>
                <c:pt idx="12">
                  <c:v>12.534793551191434</c:v>
                </c:pt>
                <c:pt idx="13">
                  <c:v>12.534793551191434</c:v>
                </c:pt>
                <c:pt idx="14">
                  <c:v>12.534793551191434</c:v>
                </c:pt>
                <c:pt idx="15">
                  <c:v>12.534793551191434</c:v>
                </c:pt>
              </c:numCache>
            </c:numRef>
          </c:val>
          <c:smooth val="0"/>
          <c:extLst>
            <c:ext xmlns:c16="http://schemas.microsoft.com/office/drawing/2014/chart" uri="{C3380CC4-5D6E-409C-BE32-E72D297353CC}">
              <c16:uniqueId val="{00000004-8030-4C6A-83EA-A72726A47C05}"/>
            </c:ext>
          </c:extLst>
        </c:ser>
        <c:dLbls>
          <c:showLegendKey val="0"/>
          <c:showVal val="0"/>
          <c:showCatName val="0"/>
          <c:showSerName val="0"/>
          <c:showPercent val="0"/>
          <c:showBubbleSize val="0"/>
        </c:dLbls>
        <c:marker val="1"/>
        <c:smooth val="0"/>
        <c:axId val="163487104"/>
        <c:axId val="163521664"/>
      </c:lineChart>
      <c:catAx>
        <c:axId val="16348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521664"/>
        <c:crosses val="autoZero"/>
        <c:auto val="1"/>
        <c:lblAlgn val="ctr"/>
        <c:lblOffset val="100"/>
        <c:noMultiLvlLbl val="0"/>
      </c:catAx>
      <c:valAx>
        <c:axId val="163521664"/>
        <c:scaling>
          <c:orientation val="minMax"/>
        </c:scaling>
        <c:delete val="0"/>
        <c:axPos val="l"/>
        <c:majorGridlines>
          <c:spPr>
            <a:ln w="9525" cap="flat" cmpd="sng" algn="ctr">
              <a:solidFill>
                <a:schemeClr val="tx1">
                  <a:lumMod val="15000"/>
                  <a:lumOff val="85000"/>
                </a:schemeClr>
              </a:solidFill>
              <a:round/>
            </a:ln>
            <a:effectLst/>
          </c:spPr>
        </c:majorGridlines>
        <c:title>
          <c:tx>
            <c:strRef>
              <c:f>Charts_Capex!$P$197</c:f>
              <c:strCache>
                <c:ptCount val="1"/>
                <c:pt idx="0">
                  <c:v>$Millions</c:v>
                </c:pt>
              </c:strCache>
            </c:strRef>
          </c:tx>
          <c:layout>
            <c:manualLayout>
              <c:xMode val="edge"/>
              <c:yMode val="edge"/>
              <c:x val="1.8599588049397389E-2"/>
              <c:y val="0.3475983185028700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63487104"/>
        <c:crosses val="autoZero"/>
        <c:crossBetween val="between"/>
      </c:valAx>
      <c:spPr>
        <a:noFill/>
        <a:ln>
          <a:noFill/>
        </a:ln>
        <a:effectLst/>
      </c:spPr>
    </c:plotArea>
    <c:legend>
      <c:legendPos val="b"/>
      <c:layout>
        <c:manualLayout>
          <c:xMode val="edge"/>
          <c:yMode val="edge"/>
          <c:x val="0.12920575703718376"/>
          <c:y val="0.89096475090146443"/>
          <c:w val="0.83477956240794848"/>
          <c:h val="8.411313071847326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C9654DF-EAAD-41C9-9A04-63DC7DFBB9B5}" type="doc">
      <dgm:prSet loTypeId="urn:microsoft.com/office/officeart/2005/8/layout/hierarchy4" loCatId="list" qsTypeId="urn:microsoft.com/office/officeart/2005/8/quickstyle/simple1" qsCatId="simple" csTypeId="urn:microsoft.com/office/officeart/2005/8/colors/accent1_2" csCatId="accent1" phldr="1"/>
      <dgm:spPr/>
      <dgm:t>
        <a:bodyPr/>
        <a:lstStyle/>
        <a:p>
          <a:endParaRPr lang="en-AU"/>
        </a:p>
      </dgm:t>
    </dgm:pt>
    <dgm:pt modelId="{55A47DEC-5BD8-43FF-92F5-E186C868192C}">
      <dgm:prSet phldrT="[Text]"/>
      <dgm:spPr>
        <a:xfrm>
          <a:off x="400" y="1508"/>
          <a:ext cx="5485599" cy="440238"/>
        </a:xfrm>
        <a:solidFill>
          <a:srgbClr val="4F81BD">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a:lstStyle/>
        <a:p>
          <a:r>
            <a:rPr lang="en-AU">
              <a:solidFill>
                <a:sysClr val="window" lastClr="FFFFFF"/>
              </a:solidFill>
              <a:latin typeface="Calibri"/>
              <a:ea typeface="+mn-ea"/>
              <a:cs typeface="+mn-cs"/>
            </a:rPr>
            <a:t>Northern Territory distribution services</a:t>
          </a:r>
        </a:p>
      </dgm:t>
    </dgm:pt>
    <dgm:pt modelId="{40DBC75D-7719-446D-9DE5-D46B0AB99411}" type="parTrans" cxnId="{673B63C1-65BE-46B4-AF32-5DE07B5BEBA4}">
      <dgm:prSet/>
      <dgm:spPr/>
      <dgm:t>
        <a:bodyPr/>
        <a:lstStyle/>
        <a:p>
          <a:endParaRPr lang="en-AU"/>
        </a:p>
      </dgm:t>
    </dgm:pt>
    <dgm:pt modelId="{8D5F0354-CDBD-4C47-9193-51362C6B9B55}" type="sibTrans" cxnId="{673B63C1-65BE-46B4-AF32-5DE07B5BEBA4}">
      <dgm:prSet/>
      <dgm:spPr/>
      <dgm:t>
        <a:bodyPr/>
        <a:lstStyle/>
        <a:p>
          <a:endParaRPr lang="en-AU"/>
        </a:p>
      </dgm:t>
    </dgm:pt>
    <dgm:pt modelId="{7E1F13C2-8303-4BE6-BD51-58E6E2D0CCBD}">
      <dgm:prSet phldrT="[Text]">
        <dgm:style>
          <a:lnRef idx="1">
            <a:schemeClr val="accent1"/>
          </a:lnRef>
          <a:fillRef idx="2">
            <a:schemeClr val="accent1"/>
          </a:fillRef>
          <a:effectRef idx="1">
            <a:schemeClr val="accent1"/>
          </a:effectRef>
          <a:fontRef idx="minor">
            <a:schemeClr val="dk1"/>
          </a:fontRef>
        </dgm:style>
      </dgm:prSet>
      <dgm:spPr>
        <a:xfrm>
          <a:off x="5754" y="476213"/>
          <a:ext cx="3127650" cy="440238"/>
        </a:xfr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gm:spPr>
      <dgm:t>
        <a:bodyPr/>
        <a:lstStyle/>
        <a:p>
          <a:r>
            <a:rPr lang="en-AU">
              <a:solidFill>
                <a:sysClr val="windowText" lastClr="000000"/>
              </a:solidFill>
              <a:latin typeface="Calibri"/>
              <a:ea typeface="+mn-ea"/>
              <a:cs typeface="+mn-cs"/>
            </a:rPr>
            <a:t>Direct control (revenue/price regulated)</a:t>
          </a:r>
        </a:p>
      </dgm:t>
    </dgm:pt>
    <dgm:pt modelId="{90AD1E71-36FD-4205-8A17-796C347C9A11}" type="parTrans" cxnId="{1A57219C-B6E0-45E4-BBAA-F1E6074A5C73}">
      <dgm:prSet/>
      <dgm:spPr/>
      <dgm:t>
        <a:bodyPr/>
        <a:lstStyle/>
        <a:p>
          <a:endParaRPr lang="en-AU"/>
        </a:p>
      </dgm:t>
    </dgm:pt>
    <dgm:pt modelId="{8034AC81-1C30-4867-B0A4-C93CEE24174C}" type="sibTrans" cxnId="{1A57219C-B6E0-45E4-BBAA-F1E6074A5C73}">
      <dgm:prSet/>
      <dgm:spPr/>
      <dgm:t>
        <a:bodyPr/>
        <a:lstStyle/>
        <a:p>
          <a:endParaRPr lang="en-AU"/>
        </a:p>
      </dgm:t>
    </dgm:pt>
    <dgm:pt modelId="{3DA4D3B1-BDC4-4286-BC76-1975308602A3}">
      <dgm:prSet phldrT="[Text]">
        <dgm:style>
          <a:lnRef idx="1">
            <a:schemeClr val="accent1"/>
          </a:lnRef>
          <a:fillRef idx="2">
            <a:schemeClr val="accent1"/>
          </a:fillRef>
          <a:effectRef idx="1">
            <a:schemeClr val="accent1"/>
          </a:effectRef>
          <a:fontRef idx="minor">
            <a:schemeClr val="dk1"/>
          </a:fontRef>
        </dgm:style>
      </dgm:prSet>
      <dgm:spPr>
        <a:xfrm>
          <a:off x="16413" y="950918"/>
          <a:ext cx="1530581" cy="440238"/>
        </a:xfrm>
        <a:solidFill>
          <a:srgbClr val="4F81B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gm:spPr>
      <dgm:t>
        <a:bodyPr/>
        <a:lstStyle/>
        <a:p>
          <a:r>
            <a:rPr lang="en-AU">
              <a:solidFill>
                <a:sysClr val="windowText" lastClr="000000"/>
              </a:solidFill>
              <a:latin typeface="Calibri"/>
              <a:ea typeface="+mn-ea"/>
              <a:cs typeface="+mn-cs"/>
            </a:rPr>
            <a:t>Standard control </a:t>
          </a:r>
        </a:p>
        <a:p>
          <a:r>
            <a:rPr lang="en-AU">
              <a:solidFill>
                <a:sysClr val="windowText" lastClr="000000"/>
              </a:solidFill>
              <a:latin typeface="Calibri"/>
              <a:ea typeface="+mn-ea"/>
              <a:cs typeface="+mn-cs"/>
            </a:rPr>
            <a:t>(shared network charges)</a:t>
          </a:r>
        </a:p>
      </dgm:t>
    </dgm:pt>
    <dgm:pt modelId="{4A944CA0-B3AB-4B98-9DD0-F02C72063072}" type="parTrans" cxnId="{83704F26-5D64-418B-ACAF-F6827AEBC27A}">
      <dgm:prSet/>
      <dgm:spPr/>
      <dgm:t>
        <a:bodyPr/>
        <a:lstStyle/>
        <a:p>
          <a:endParaRPr lang="en-AU"/>
        </a:p>
      </dgm:t>
    </dgm:pt>
    <dgm:pt modelId="{9D399AB0-BE5D-49EA-BD3F-0BBD5D2E1CAA}" type="sibTrans" cxnId="{83704F26-5D64-418B-ACAF-F6827AEBC27A}">
      <dgm:prSet/>
      <dgm:spPr/>
      <dgm:t>
        <a:bodyPr/>
        <a:lstStyle/>
        <a:p>
          <a:endParaRPr lang="en-AU"/>
        </a:p>
      </dgm:t>
    </dgm:pt>
    <dgm:pt modelId="{9A1AA23F-C1C0-4477-B302-3E60A402D137}">
      <dgm:prSet phldrT="[Text]">
        <dgm:style>
          <a:lnRef idx="1">
            <a:schemeClr val="accent1"/>
          </a:lnRef>
          <a:fillRef idx="2">
            <a:schemeClr val="accent1"/>
          </a:fillRef>
          <a:effectRef idx="1">
            <a:schemeClr val="accent1"/>
          </a:effectRef>
          <a:fontRef idx="minor">
            <a:schemeClr val="dk1"/>
          </a:fontRef>
        </dgm:style>
      </dgm:prSet>
      <dgm:spPr>
        <a:xfrm>
          <a:off x="1592164" y="950918"/>
          <a:ext cx="1530581" cy="440238"/>
        </a:xfrm>
        <a:solidFill>
          <a:srgbClr val="4F81B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gm:spPr>
      <dgm:t>
        <a:bodyPr/>
        <a:lstStyle/>
        <a:p>
          <a:r>
            <a:rPr lang="en-AU">
              <a:solidFill>
                <a:sysClr val="windowText" lastClr="000000"/>
              </a:solidFill>
              <a:latin typeface="Calibri"/>
              <a:ea typeface="+mn-ea"/>
              <a:cs typeface="+mn-cs"/>
            </a:rPr>
            <a:t>Alternative control </a:t>
          </a:r>
        </a:p>
        <a:p>
          <a:r>
            <a:rPr lang="en-AU">
              <a:solidFill>
                <a:sysClr val="windowText" lastClr="000000"/>
              </a:solidFill>
              <a:latin typeface="Calibri"/>
              <a:ea typeface="+mn-ea"/>
              <a:cs typeface="+mn-cs"/>
            </a:rPr>
            <a:t>(service specific charges)</a:t>
          </a:r>
        </a:p>
      </dgm:t>
    </dgm:pt>
    <dgm:pt modelId="{28A8273E-3008-463E-B6B1-241EC867AB43}" type="parTrans" cxnId="{8496A4DC-A5DB-4928-B5C5-81BB1CD84BF4}">
      <dgm:prSet/>
      <dgm:spPr/>
      <dgm:t>
        <a:bodyPr/>
        <a:lstStyle/>
        <a:p>
          <a:endParaRPr lang="en-AU"/>
        </a:p>
      </dgm:t>
    </dgm:pt>
    <dgm:pt modelId="{4F13A9A4-4E77-4919-AC40-17A56A38EE26}" type="sibTrans" cxnId="{8496A4DC-A5DB-4928-B5C5-81BB1CD84BF4}">
      <dgm:prSet/>
      <dgm:spPr/>
      <dgm:t>
        <a:bodyPr/>
        <a:lstStyle/>
        <a:p>
          <a:endParaRPr lang="en-AU"/>
        </a:p>
      </dgm:t>
    </dgm:pt>
    <dgm:pt modelId="{D5ED0B09-3CC2-406A-A1A9-488AFBB60D8B}">
      <dgm:prSet phldrT="[Text]">
        <dgm:style>
          <a:lnRef idx="1">
            <a:schemeClr val="accent1"/>
          </a:lnRef>
          <a:fillRef idx="2">
            <a:schemeClr val="accent1"/>
          </a:fillRef>
          <a:effectRef idx="1">
            <a:schemeClr val="accent1"/>
          </a:effectRef>
          <a:fontRef idx="minor">
            <a:schemeClr val="dk1"/>
          </a:fontRef>
        </dgm:style>
      </dgm:prSet>
      <dgm:spPr>
        <a:xfrm>
          <a:off x="3224186" y="476213"/>
          <a:ext cx="1082839" cy="440238"/>
        </a:xfr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gm:spPr>
      <dgm:t>
        <a:bodyPr/>
        <a:lstStyle/>
        <a:p>
          <a:r>
            <a:rPr lang="en-AU">
              <a:solidFill>
                <a:sysClr val="windowText" lastClr="000000"/>
              </a:solidFill>
              <a:latin typeface="Calibri"/>
              <a:ea typeface="+mn-ea"/>
              <a:cs typeface="+mn-cs"/>
            </a:rPr>
            <a:t>Negotiated</a:t>
          </a:r>
        </a:p>
      </dgm:t>
    </dgm:pt>
    <dgm:pt modelId="{CCEC452A-D0A3-4815-B0F9-2E4410381E4D}" type="parTrans" cxnId="{3D7FF409-8D0E-45B1-85C1-FEF0680B791B}">
      <dgm:prSet/>
      <dgm:spPr/>
      <dgm:t>
        <a:bodyPr/>
        <a:lstStyle/>
        <a:p>
          <a:endParaRPr lang="en-AU"/>
        </a:p>
      </dgm:t>
    </dgm:pt>
    <dgm:pt modelId="{7E7E5946-21F8-4169-B807-028B5A69728C}" type="sibTrans" cxnId="{3D7FF409-8D0E-45B1-85C1-FEF0680B791B}">
      <dgm:prSet/>
      <dgm:spPr/>
      <dgm:t>
        <a:bodyPr/>
        <a:lstStyle/>
        <a:p>
          <a:endParaRPr lang="en-AU"/>
        </a:p>
      </dgm:t>
    </dgm:pt>
    <dgm:pt modelId="{0972259D-A07B-4081-9258-26BA55892F25}">
      <dgm:prSet>
        <dgm:style>
          <a:lnRef idx="1">
            <a:schemeClr val="accent1"/>
          </a:lnRef>
          <a:fillRef idx="2">
            <a:schemeClr val="accent1"/>
          </a:fillRef>
          <a:effectRef idx="1">
            <a:schemeClr val="accent1"/>
          </a:effectRef>
          <a:fontRef idx="minor">
            <a:schemeClr val="dk1"/>
          </a:fontRef>
        </dgm:style>
      </dgm:prSet>
      <dgm:spPr>
        <a:xfrm>
          <a:off x="4397806" y="476213"/>
          <a:ext cx="1082839" cy="440238"/>
        </a:xfr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gm:spPr>
      <dgm:t>
        <a:bodyPr/>
        <a:lstStyle/>
        <a:p>
          <a:r>
            <a:rPr lang="en-AU">
              <a:solidFill>
                <a:sysClr val="windowText" lastClr="000000"/>
              </a:solidFill>
              <a:latin typeface="Calibri"/>
              <a:ea typeface="+mn-ea"/>
              <a:cs typeface="+mn-cs"/>
            </a:rPr>
            <a:t>Unclassified</a:t>
          </a:r>
        </a:p>
      </dgm:t>
    </dgm:pt>
    <dgm:pt modelId="{D7479465-DD2D-4459-9FAB-E2348016BF89}" type="parTrans" cxnId="{EE3AE301-49A5-46E6-9566-EB26F27D2DA7}">
      <dgm:prSet/>
      <dgm:spPr/>
      <dgm:t>
        <a:bodyPr/>
        <a:lstStyle/>
        <a:p>
          <a:endParaRPr lang="en-AU"/>
        </a:p>
      </dgm:t>
    </dgm:pt>
    <dgm:pt modelId="{3A45A261-1D43-4ECE-9967-D35872F06700}" type="sibTrans" cxnId="{EE3AE301-49A5-46E6-9566-EB26F27D2DA7}">
      <dgm:prSet/>
      <dgm:spPr/>
      <dgm:t>
        <a:bodyPr/>
        <a:lstStyle/>
        <a:p>
          <a:endParaRPr lang="en-AU"/>
        </a:p>
      </dgm:t>
    </dgm:pt>
    <dgm:pt modelId="{C7D5A529-3A7D-47FC-8FBB-0B536C37E55D}">
      <dgm:prSet/>
      <dgm:spPr>
        <a:xfrm>
          <a:off x="4400970" y="950918"/>
          <a:ext cx="1076509" cy="440238"/>
        </a:xfrm>
        <a:noFill/>
        <a:ln w="25400" cap="flat" cmpd="sng" algn="ctr">
          <a:noFill/>
          <a:prstDash val="solid"/>
        </a:ln>
        <a:effectLst/>
      </dgm:spPr>
      <dgm:t>
        <a:bodyPr/>
        <a:lstStyle/>
        <a:p>
          <a:endParaRPr lang="en-AU">
            <a:solidFill>
              <a:sysClr val="window" lastClr="FFFFFF"/>
            </a:solidFill>
            <a:latin typeface="Calibri"/>
            <a:ea typeface="+mn-ea"/>
            <a:cs typeface="+mn-cs"/>
          </a:endParaRPr>
        </a:p>
      </dgm:t>
    </dgm:pt>
    <dgm:pt modelId="{DD226C01-D0F2-4093-9E74-75CE0BFFF02B}" type="parTrans" cxnId="{A338B58B-C2F8-41D9-A775-781CB6D84F8C}">
      <dgm:prSet/>
      <dgm:spPr/>
      <dgm:t>
        <a:bodyPr/>
        <a:lstStyle/>
        <a:p>
          <a:endParaRPr lang="en-AU"/>
        </a:p>
      </dgm:t>
    </dgm:pt>
    <dgm:pt modelId="{38302B12-0698-48A4-80A0-F728C945A3FD}" type="sibTrans" cxnId="{A338B58B-C2F8-41D9-A775-781CB6D84F8C}">
      <dgm:prSet/>
      <dgm:spPr/>
      <dgm:t>
        <a:bodyPr/>
        <a:lstStyle/>
        <a:p>
          <a:endParaRPr lang="en-AU"/>
        </a:p>
      </dgm:t>
    </dgm:pt>
    <dgm:pt modelId="{7620C068-1A7C-40DE-8116-5F3CCBB61608}">
      <dgm:prSet>
        <dgm:style>
          <a:lnRef idx="1">
            <a:schemeClr val="accent1"/>
          </a:lnRef>
          <a:fillRef idx="2">
            <a:schemeClr val="accent1"/>
          </a:fillRef>
          <a:effectRef idx="1">
            <a:schemeClr val="accent1"/>
          </a:effectRef>
          <a:fontRef idx="minor">
            <a:schemeClr val="dk1"/>
          </a:fontRef>
        </dgm:style>
      </dgm:prSet>
      <dgm:spPr>
        <a:xfrm>
          <a:off x="4407244" y="1425623"/>
          <a:ext cx="1063961" cy="2497167"/>
        </a:xfr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gm:spPr>
      <dgm:t>
        <a:bodyPr/>
        <a:lstStyle/>
        <a:p>
          <a:pPr algn="l"/>
          <a:r>
            <a:rPr lang="en-AU">
              <a:solidFill>
                <a:sysClr val="windowText" lastClr="000000"/>
              </a:solidFill>
              <a:latin typeface="Calibri"/>
              <a:ea typeface="+mn-ea"/>
              <a:cs typeface="+mn-cs"/>
            </a:rPr>
            <a:t>Unregulated distribution services</a:t>
          </a:r>
        </a:p>
        <a:p>
          <a:pPr algn="l"/>
          <a:endParaRPr lang="en-AU">
            <a:solidFill>
              <a:sysClr val="windowText" lastClr="000000"/>
            </a:solidFill>
            <a:latin typeface="Calibri"/>
            <a:ea typeface="+mn-ea"/>
            <a:cs typeface="+mn-cs"/>
          </a:endParaRPr>
        </a:p>
        <a:p>
          <a:pPr algn="l"/>
          <a:endParaRPr lang="en-AU">
            <a:solidFill>
              <a:sysClr val="windowText" lastClr="000000"/>
            </a:solidFill>
            <a:latin typeface="Calibri"/>
            <a:ea typeface="+mn-ea"/>
            <a:cs typeface="+mn-cs"/>
          </a:endParaRPr>
        </a:p>
      </dgm:t>
    </dgm:pt>
    <dgm:pt modelId="{A507DD36-7E8A-42C6-86C5-0668F87BDAAB}" type="parTrans" cxnId="{88E630CE-96D6-481C-B0AB-D3CE0C74F68C}">
      <dgm:prSet/>
      <dgm:spPr/>
      <dgm:t>
        <a:bodyPr/>
        <a:lstStyle/>
        <a:p>
          <a:endParaRPr lang="en-AU"/>
        </a:p>
      </dgm:t>
    </dgm:pt>
    <dgm:pt modelId="{21A58F11-2D42-4FC0-BF01-E8BD93057A2B}" type="sibTrans" cxnId="{88E630CE-96D6-481C-B0AB-D3CE0C74F68C}">
      <dgm:prSet/>
      <dgm:spPr/>
      <dgm:t>
        <a:bodyPr/>
        <a:lstStyle/>
        <a:p>
          <a:endParaRPr lang="en-AU"/>
        </a:p>
      </dgm:t>
    </dgm:pt>
    <dgm:pt modelId="{264E86EB-59BD-459B-85BB-BF64ACA0608A}">
      <dgm:prSet>
        <dgm:style>
          <a:lnRef idx="1">
            <a:schemeClr val="accent1"/>
          </a:lnRef>
          <a:fillRef idx="2">
            <a:schemeClr val="accent1"/>
          </a:fillRef>
          <a:effectRef idx="1">
            <a:schemeClr val="accent1"/>
          </a:effectRef>
          <a:fontRef idx="minor">
            <a:schemeClr val="dk1"/>
          </a:fontRef>
        </dgm:style>
      </dgm:prSet>
      <dgm:spPr>
        <a:xfrm>
          <a:off x="32049" y="1425843"/>
          <a:ext cx="1495108" cy="2497167"/>
        </a:xfr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gm:spPr>
      <dgm:t>
        <a:bodyPr/>
        <a:lstStyle/>
        <a:p>
          <a:pPr algn="l"/>
          <a:r>
            <a:rPr lang="en-AU">
              <a:solidFill>
                <a:sysClr val="windowText" lastClr="000000"/>
              </a:solidFill>
              <a:latin typeface="Calibri"/>
              <a:ea typeface="+mn-ea"/>
              <a:cs typeface="+mn-cs"/>
            </a:rPr>
            <a:t>Common distribution services (formerly 'network services')</a:t>
          </a:r>
        </a:p>
        <a:p>
          <a:pPr algn="l"/>
          <a:r>
            <a:rPr lang="en-AU">
              <a:solidFill>
                <a:sysClr val="windowText" lastClr="000000"/>
              </a:solidFill>
              <a:latin typeface="Calibri"/>
              <a:ea typeface="+mn-ea"/>
              <a:cs typeface="+mn-cs"/>
            </a:rPr>
            <a:t>Connection services</a:t>
          </a:r>
        </a:p>
        <a:p>
          <a:pPr algn="l"/>
          <a:r>
            <a:rPr lang="en-AU">
              <a:solidFill>
                <a:sysClr val="windowText" lastClr="000000"/>
              </a:solidFill>
              <a:latin typeface="Calibri"/>
              <a:ea typeface="+mn-ea"/>
              <a:cs typeface="+mn-cs"/>
            </a:rPr>
            <a:t>Type 7 metering services</a:t>
          </a:r>
        </a:p>
        <a:p>
          <a:pPr algn="l"/>
          <a:endParaRPr lang="en-AU">
            <a:solidFill>
              <a:sysClr val="windowText" lastClr="000000"/>
            </a:solidFill>
            <a:latin typeface="Calibri"/>
            <a:ea typeface="+mn-ea"/>
            <a:cs typeface="+mn-cs"/>
          </a:endParaRPr>
        </a:p>
      </dgm:t>
    </dgm:pt>
    <dgm:pt modelId="{8255ADAA-8291-4A8C-BF8E-4046836270FD}" type="parTrans" cxnId="{BF1A8EB7-EEBD-499C-B4CB-20B2B75BCC2D}">
      <dgm:prSet/>
      <dgm:spPr/>
      <dgm:t>
        <a:bodyPr/>
        <a:lstStyle/>
        <a:p>
          <a:endParaRPr lang="en-AU"/>
        </a:p>
      </dgm:t>
    </dgm:pt>
    <dgm:pt modelId="{7BC419A3-1CF9-4C3A-81EB-E3BDD0029413}" type="sibTrans" cxnId="{BF1A8EB7-EEBD-499C-B4CB-20B2B75BCC2D}">
      <dgm:prSet/>
      <dgm:spPr/>
      <dgm:t>
        <a:bodyPr/>
        <a:lstStyle/>
        <a:p>
          <a:endParaRPr lang="en-AU"/>
        </a:p>
      </dgm:t>
    </dgm:pt>
    <dgm:pt modelId="{A49C721B-AC5B-441C-AFA9-A644FC358A66}">
      <dgm:prSet>
        <dgm:style>
          <a:lnRef idx="1">
            <a:schemeClr val="accent1"/>
          </a:lnRef>
          <a:fillRef idx="2">
            <a:schemeClr val="accent1"/>
          </a:fillRef>
          <a:effectRef idx="1">
            <a:schemeClr val="accent1"/>
          </a:effectRef>
          <a:fontRef idx="minor">
            <a:schemeClr val="dk1"/>
          </a:fontRef>
        </dgm:style>
      </dgm:prSet>
      <dgm:spPr>
        <a:xfrm>
          <a:off x="1602561" y="1425623"/>
          <a:ext cx="1509788" cy="2497167"/>
        </a:xfr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gm:spPr>
      <dgm:t>
        <a:bodyPr/>
        <a:lstStyle/>
        <a:p>
          <a:pPr algn="l"/>
          <a:r>
            <a:rPr lang="en-AU">
              <a:solidFill>
                <a:sysClr val="windowText" lastClr="000000"/>
              </a:solidFill>
              <a:latin typeface="Calibri"/>
              <a:ea typeface="+mn-ea"/>
              <a:cs typeface="+mn-cs"/>
            </a:rPr>
            <a:t>Ancillary services</a:t>
          </a:r>
        </a:p>
        <a:p>
          <a:pPr algn="l"/>
          <a:r>
            <a:rPr lang="en-AU">
              <a:solidFill>
                <a:sysClr val="windowText" lastClr="000000"/>
              </a:solidFill>
              <a:latin typeface="Calibri"/>
              <a:ea typeface="+mn-ea"/>
              <a:cs typeface="+mn-cs"/>
            </a:rPr>
            <a:t>Type 1 to 6 metering services</a:t>
          </a:r>
        </a:p>
        <a:p>
          <a:pPr algn="l"/>
          <a:endParaRPr lang="en-AU">
            <a:solidFill>
              <a:sysClr val="windowText" lastClr="000000"/>
            </a:solidFill>
            <a:latin typeface="Calibri"/>
            <a:ea typeface="+mn-ea"/>
            <a:cs typeface="+mn-cs"/>
          </a:endParaRPr>
        </a:p>
      </dgm:t>
    </dgm:pt>
    <dgm:pt modelId="{AA1CEBFC-9415-46ED-8830-648A985C84FE}" type="parTrans" cxnId="{049743E3-CB29-4510-AB22-C5C7CD7530EB}">
      <dgm:prSet/>
      <dgm:spPr/>
      <dgm:t>
        <a:bodyPr/>
        <a:lstStyle/>
        <a:p>
          <a:endParaRPr lang="en-AU"/>
        </a:p>
      </dgm:t>
    </dgm:pt>
    <dgm:pt modelId="{CACA051E-2660-4797-9B54-CCF23A474144}" type="sibTrans" cxnId="{049743E3-CB29-4510-AB22-C5C7CD7530EB}">
      <dgm:prSet/>
      <dgm:spPr/>
      <dgm:t>
        <a:bodyPr/>
        <a:lstStyle/>
        <a:p>
          <a:endParaRPr lang="en-AU"/>
        </a:p>
      </dgm:t>
    </dgm:pt>
    <dgm:pt modelId="{3EB5BBF6-FCA7-4E3A-BDFE-A4AAE3DDDAAA}">
      <dgm:prSet/>
      <dgm:spPr>
        <a:xfrm>
          <a:off x="3227876" y="950918"/>
          <a:ext cx="1075458" cy="440238"/>
        </a:xfrm>
        <a:noFill/>
        <a:ln w="25400" cap="flat" cmpd="sng" algn="ctr">
          <a:noFill/>
          <a:prstDash val="solid"/>
        </a:ln>
        <a:effectLst/>
      </dgm:spPr>
      <dgm:t>
        <a:bodyPr/>
        <a:lstStyle/>
        <a:p>
          <a:endParaRPr lang="en-AU">
            <a:solidFill>
              <a:sysClr val="window" lastClr="FFFFFF"/>
            </a:solidFill>
            <a:latin typeface="Calibri"/>
            <a:ea typeface="+mn-ea"/>
            <a:cs typeface="+mn-cs"/>
          </a:endParaRPr>
        </a:p>
      </dgm:t>
    </dgm:pt>
    <dgm:pt modelId="{7B91A456-4B53-4FBE-B958-29A89FFC7A7C}" type="parTrans" cxnId="{7E623B88-E872-4502-A6CF-DC887C4638C7}">
      <dgm:prSet/>
      <dgm:spPr/>
      <dgm:t>
        <a:bodyPr/>
        <a:lstStyle/>
        <a:p>
          <a:endParaRPr lang="en-AU"/>
        </a:p>
      </dgm:t>
    </dgm:pt>
    <dgm:pt modelId="{A25CB7E6-0DA2-4002-B9A6-C3787F309536}" type="sibTrans" cxnId="{7E623B88-E872-4502-A6CF-DC887C4638C7}">
      <dgm:prSet/>
      <dgm:spPr/>
      <dgm:t>
        <a:bodyPr/>
        <a:lstStyle/>
        <a:p>
          <a:endParaRPr lang="en-AU"/>
        </a:p>
      </dgm:t>
    </dgm:pt>
    <dgm:pt modelId="{F3E2F0B6-E4F5-49C8-A3B6-DCE119FE3F90}">
      <dgm:prSet>
        <dgm:style>
          <a:lnRef idx="1">
            <a:schemeClr val="accent1"/>
          </a:lnRef>
          <a:fillRef idx="2">
            <a:schemeClr val="accent1"/>
          </a:fillRef>
          <a:effectRef idx="1">
            <a:schemeClr val="accent1"/>
          </a:effectRef>
          <a:fontRef idx="minor">
            <a:schemeClr val="dk1"/>
          </a:fontRef>
        </dgm:style>
      </dgm:prSet>
      <dgm:spPr>
        <a:xfrm>
          <a:off x="3235181" y="1425623"/>
          <a:ext cx="1060847" cy="2497167"/>
        </a:xfr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gm:spPr>
      <dgm:t>
        <a:bodyPr/>
        <a:lstStyle/>
        <a:p>
          <a:pPr algn="l"/>
          <a:endParaRPr lang="en-AU">
            <a:solidFill>
              <a:sysClr val="windowText" lastClr="000000"/>
            </a:solidFill>
            <a:latin typeface="Calibri"/>
            <a:ea typeface="+mn-ea"/>
            <a:cs typeface="+mn-cs"/>
          </a:endParaRPr>
        </a:p>
      </dgm:t>
    </dgm:pt>
    <dgm:pt modelId="{196183CE-F8A3-4787-9EDA-7A991E6301BD}" type="parTrans" cxnId="{C9C92AB6-6F86-44ED-92B3-9E87CC4E4664}">
      <dgm:prSet/>
      <dgm:spPr/>
      <dgm:t>
        <a:bodyPr/>
        <a:lstStyle/>
        <a:p>
          <a:endParaRPr lang="en-AU"/>
        </a:p>
      </dgm:t>
    </dgm:pt>
    <dgm:pt modelId="{5828DA98-FD56-4BC8-8B5C-496113443C5D}" type="sibTrans" cxnId="{C9C92AB6-6F86-44ED-92B3-9E87CC4E4664}">
      <dgm:prSet/>
      <dgm:spPr/>
      <dgm:t>
        <a:bodyPr/>
        <a:lstStyle/>
        <a:p>
          <a:endParaRPr lang="en-AU"/>
        </a:p>
      </dgm:t>
    </dgm:pt>
    <dgm:pt modelId="{7281DBB9-4EE7-4A14-9CDA-9DB944766842}" type="pres">
      <dgm:prSet presAssocID="{6C9654DF-EAAD-41C9-9A04-63DC7DFBB9B5}" presName="Name0" presStyleCnt="0">
        <dgm:presLayoutVars>
          <dgm:chPref val="1"/>
          <dgm:dir/>
          <dgm:animOne val="branch"/>
          <dgm:animLvl val="lvl"/>
          <dgm:resizeHandles/>
        </dgm:presLayoutVars>
      </dgm:prSet>
      <dgm:spPr/>
    </dgm:pt>
    <dgm:pt modelId="{2F1E9DB6-F239-464B-8978-85171DC6A13C}" type="pres">
      <dgm:prSet presAssocID="{55A47DEC-5BD8-43FF-92F5-E186C868192C}" presName="vertOne" presStyleCnt="0"/>
      <dgm:spPr/>
    </dgm:pt>
    <dgm:pt modelId="{718D3AC5-6553-4309-AF42-FCECAFABA656}" type="pres">
      <dgm:prSet presAssocID="{55A47DEC-5BD8-43FF-92F5-E186C868192C}" presName="txOne" presStyleLbl="node0" presStyleIdx="0" presStyleCnt="1" custLinFactY="-50534" custLinFactNeighborX="63" custLinFactNeighborY="-100000">
        <dgm:presLayoutVars>
          <dgm:chPref val="3"/>
        </dgm:presLayoutVars>
      </dgm:prSet>
      <dgm:spPr>
        <a:prstGeom prst="roundRect">
          <a:avLst>
            <a:gd name="adj" fmla="val 10000"/>
          </a:avLst>
        </a:prstGeom>
      </dgm:spPr>
    </dgm:pt>
    <dgm:pt modelId="{FD3DD701-7BAE-4724-86FD-7A411C0BA911}" type="pres">
      <dgm:prSet presAssocID="{55A47DEC-5BD8-43FF-92F5-E186C868192C}" presName="parTransOne" presStyleCnt="0"/>
      <dgm:spPr/>
    </dgm:pt>
    <dgm:pt modelId="{62961143-FF02-4A14-8E52-6DDE89741CBC}" type="pres">
      <dgm:prSet presAssocID="{55A47DEC-5BD8-43FF-92F5-E186C868192C}" presName="horzOne" presStyleCnt="0"/>
      <dgm:spPr/>
    </dgm:pt>
    <dgm:pt modelId="{1F53BA3A-0466-4B3E-925E-C15B3723B3C0}" type="pres">
      <dgm:prSet presAssocID="{7E1F13C2-8303-4BE6-BD51-58E6E2D0CCBD}" presName="vertTwo" presStyleCnt="0"/>
      <dgm:spPr/>
    </dgm:pt>
    <dgm:pt modelId="{F9A5BDCA-160C-4D0D-BC3B-46DBFB70E008}" type="pres">
      <dgm:prSet presAssocID="{7E1F13C2-8303-4BE6-BD51-58E6E2D0CCBD}" presName="txTwo" presStyleLbl="node2" presStyleIdx="0" presStyleCnt="3">
        <dgm:presLayoutVars>
          <dgm:chPref val="3"/>
        </dgm:presLayoutVars>
      </dgm:prSet>
      <dgm:spPr>
        <a:prstGeom prst="roundRect">
          <a:avLst>
            <a:gd name="adj" fmla="val 10000"/>
          </a:avLst>
        </a:prstGeom>
      </dgm:spPr>
    </dgm:pt>
    <dgm:pt modelId="{9FCD82B5-B882-4A54-B7E4-3D0E0B87FAFA}" type="pres">
      <dgm:prSet presAssocID="{7E1F13C2-8303-4BE6-BD51-58E6E2D0CCBD}" presName="parTransTwo" presStyleCnt="0"/>
      <dgm:spPr/>
    </dgm:pt>
    <dgm:pt modelId="{8F5464E6-689E-4C8F-9DDF-15E1198A2ED4}" type="pres">
      <dgm:prSet presAssocID="{7E1F13C2-8303-4BE6-BD51-58E6E2D0CCBD}" presName="horzTwo" presStyleCnt="0"/>
      <dgm:spPr/>
    </dgm:pt>
    <dgm:pt modelId="{5751DC98-1DFA-492E-A07A-076714AE6B8F}" type="pres">
      <dgm:prSet presAssocID="{3DA4D3B1-BDC4-4286-BC76-1975308602A3}" presName="vertThree" presStyleCnt="0"/>
      <dgm:spPr/>
    </dgm:pt>
    <dgm:pt modelId="{1B6E1A6C-15B5-4415-95F1-F7162486BD52}" type="pres">
      <dgm:prSet presAssocID="{3DA4D3B1-BDC4-4286-BC76-1975308602A3}" presName="txThree" presStyleLbl="node3" presStyleIdx="0" presStyleCnt="4">
        <dgm:presLayoutVars>
          <dgm:chPref val="3"/>
        </dgm:presLayoutVars>
      </dgm:prSet>
      <dgm:spPr>
        <a:prstGeom prst="roundRect">
          <a:avLst>
            <a:gd name="adj" fmla="val 10000"/>
          </a:avLst>
        </a:prstGeom>
      </dgm:spPr>
    </dgm:pt>
    <dgm:pt modelId="{98BB3AC5-EC44-4547-8B72-499A2C81DBE5}" type="pres">
      <dgm:prSet presAssocID="{3DA4D3B1-BDC4-4286-BC76-1975308602A3}" presName="parTransThree" presStyleCnt="0"/>
      <dgm:spPr/>
    </dgm:pt>
    <dgm:pt modelId="{27752314-A407-4A36-B678-E9A5970E0BD4}" type="pres">
      <dgm:prSet presAssocID="{3DA4D3B1-BDC4-4286-BC76-1975308602A3}" presName="horzThree" presStyleCnt="0"/>
      <dgm:spPr/>
    </dgm:pt>
    <dgm:pt modelId="{5FE697D5-3E9B-415A-AD1C-37D5386A2B41}" type="pres">
      <dgm:prSet presAssocID="{264E86EB-59BD-459B-85BB-BF64ACA0608A}" presName="vertFour" presStyleCnt="0">
        <dgm:presLayoutVars>
          <dgm:chPref val="3"/>
        </dgm:presLayoutVars>
      </dgm:prSet>
      <dgm:spPr/>
    </dgm:pt>
    <dgm:pt modelId="{A02E9E10-9EFD-4B93-9024-F27DFA07DAF0}" type="pres">
      <dgm:prSet presAssocID="{264E86EB-59BD-459B-85BB-BF64ACA0608A}" presName="txFour" presStyleLbl="node4" presStyleIdx="0" presStyleCnt="4" custScaleX="142319" custScaleY="370782" custLinFactNeighborX="-200" custLinFactNeighborY="50">
        <dgm:presLayoutVars>
          <dgm:chPref val="3"/>
        </dgm:presLayoutVars>
      </dgm:prSet>
      <dgm:spPr>
        <a:prstGeom prst="roundRect">
          <a:avLst>
            <a:gd name="adj" fmla="val 10000"/>
          </a:avLst>
        </a:prstGeom>
      </dgm:spPr>
    </dgm:pt>
    <dgm:pt modelId="{A18FEA76-7BB6-4958-A44A-692E6FBEE75A}" type="pres">
      <dgm:prSet presAssocID="{264E86EB-59BD-459B-85BB-BF64ACA0608A}" presName="horzFour" presStyleCnt="0"/>
      <dgm:spPr/>
    </dgm:pt>
    <dgm:pt modelId="{C94DD181-18DE-470D-A9B9-F490FAFE6562}" type="pres">
      <dgm:prSet presAssocID="{9D399AB0-BE5D-49EA-BD3F-0BBD5D2E1CAA}" presName="sibSpaceThree" presStyleCnt="0"/>
      <dgm:spPr/>
    </dgm:pt>
    <dgm:pt modelId="{8E950F4B-09F2-451B-9D7F-BB86301BF180}" type="pres">
      <dgm:prSet presAssocID="{9A1AA23F-C1C0-4477-B302-3E60A402D137}" presName="vertThree" presStyleCnt="0"/>
      <dgm:spPr/>
    </dgm:pt>
    <dgm:pt modelId="{D2325AFA-C9C0-4A75-A6B5-BA5F65ED3BB1}" type="pres">
      <dgm:prSet presAssocID="{9A1AA23F-C1C0-4477-B302-3E60A402D137}" presName="txThree" presStyleLbl="node3" presStyleIdx="1" presStyleCnt="4">
        <dgm:presLayoutVars>
          <dgm:chPref val="3"/>
        </dgm:presLayoutVars>
      </dgm:prSet>
      <dgm:spPr>
        <a:prstGeom prst="roundRect">
          <a:avLst>
            <a:gd name="adj" fmla="val 10000"/>
          </a:avLst>
        </a:prstGeom>
      </dgm:spPr>
    </dgm:pt>
    <dgm:pt modelId="{4708C78F-9FF7-4395-B346-8CE5B835B19A}" type="pres">
      <dgm:prSet presAssocID="{9A1AA23F-C1C0-4477-B302-3E60A402D137}" presName="parTransThree" presStyleCnt="0"/>
      <dgm:spPr/>
    </dgm:pt>
    <dgm:pt modelId="{81394379-5A0F-434F-92B0-B3898F744DBE}" type="pres">
      <dgm:prSet presAssocID="{9A1AA23F-C1C0-4477-B302-3E60A402D137}" presName="horzThree" presStyleCnt="0"/>
      <dgm:spPr/>
    </dgm:pt>
    <dgm:pt modelId="{52D88C3F-C342-4D0B-A570-AB44121EF5CF}" type="pres">
      <dgm:prSet presAssocID="{A49C721B-AC5B-441C-AFA9-A644FC358A66}" presName="vertFour" presStyleCnt="0">
        <dgm:presLayoutVars>
          <dgm:chPref val="3"/>
        </dgm:presLayoutVars>
      </dgm:prSet>
      <dgm:spPr/>
    </dgm:pt>
    <dgm:pt modelId="{0FD70A2D-5363-4F60-8857-8DCBA108EC51}" type="pres">
      <dgm:prSet presAssocID="{A49C721B-AC5B-441C-AFA9-A644FC358A66}" presName="txFour" presStyleLbl="node4" presStyleIdx="1" presStyleCnt="4" custScaleX="142319" custScaleY="366866">
        <dgm:presLayoutVars>
          <dgm:chPref val="3"/>
        </dgm:presLayoutVars>
      </dgm:prSet>
      <dgm:spPr>
        <a:prstGeom prst="roundRect">
          <a:avLst>
            <a:gd name="adj" fmla="val 10000"/>
          </a:avLst>
        </a:prstGeom>
      </dgm:spPr>
    </dgm:pt>
    <dgm:pt modelId="{9AC65157-1D3A-4B1B-9642-FE486F292B72}" type="pres">
      <dgm:prSet presAssocID="{A49C721B-AC5B-441C-AFA9-A644FC358A66}" presName="horzFour" presStyleCnt="0"/>
      <dgm:spPr/>
    </dgm:pt>
    <dgm:pt modelId="{B79FC79B-95B0-460F-A9E2-C9EC7326C334}" type="pres">
      <dgm:prSet presAssocID="{8034AC81-1C30-4867-B0A4-C93CEE24174C}" presName="sibSpaceTwo" presStyleCnt="0"/>
      <dgm:spPr/>
    </dgm:pt>
    <dgm:pt modelId="{43B3714E-05D4-4C8D-8010-CAEF93055560}" type="pres">
      <dgm:prSet presAssocID="{D5ED0B09-3CC2-406A-A1A9-488AFBB60D8B}" presName="vertTwo" presStyleCnt="0"/>
      <dgm:spPr/>
    </dgm:pt>
    <dgm:pt modelId="{CF2E5284-F5F8-48E4-B373-A24D35776BE0}" type="pres">
      <dgm:prSet presAssocID="{D5ED0B09-3CC2-406A-A1A9-488AFBB60D8B}" presName="txTwo" presStyleLbl="node2" presStyleIdx="1" presStyleCnt="3">
        <dgm:presLayoutVars>
          <dgm:chPref val="3"/>
        </dgm:presLayoutVars>
      </dgm:prSet>
      <dgm:spPr>
        <a:prstGeom prst="roundRect">
          <a:avLst>
            <a:gd name="adj" fmla="val 10000"/>
          </a:avLst>
        </a:prstGeom>
      </dgm:spPr>
    </dgm:pt>
    <dgm:pt modelId="{598B938B-8160-45F2-ABAD-795190621085}" type="pres">
      <dgm:prSet presAssocID="{D5ED0B09-3CC2-406A-A1A9-488AFBB60D8B}" presName="parTransTwo" presStyleCnt="0"/>
      <dgm:spPr/>
    </dgm:pt>
    <dgm:pt modelId="{92627873-E9AE-43DA-938C-C750A1BF6B61}" type="pres">
      <dgm:prSet presAssocID="{D5ED0B09-3CC2-406A-A1A9-488AFBB60D8B}" presName="horzTwo" presStyleCnt="0"/>
      <dgm:spPr/>
    </dgm:pt>
    <dgm:pt modelId="{30C202DA-B487-4874-988E-FD2E70174694}" type="pres">
      <dgm:prSet presAssocID="{3EB5BBF6-FCA7-4E3A-BDFE-A4AAE3DDDAAA}" presName="vertThree" presStyleCnt="0"/>
      <dgm:spPr/>
    </dgm:pt>
    <dgm:pt modelId="{DBA12B8F-CFD6-40CA-A43B-751407D3F421}" type="pres">
      <dgm:prSet presAssocID="{3EB5BBF6-FCA7-4E3A-BDFE-A4AAE3DDDAAA}" presName="txThree" presStyleLbl="node3" presStyleIdx="2" presStyleCnt="4">
        <dgm:presLayoutVars>
          <dgm:chPref val="3"/>
        </dgm:presLayoutVars>
      </dgm:prSet>
      <dgm:spPr>
        <a:prstGeom prst="roundRect">
          <a:avLst>
            <a:gd name="adj" fmla="val 10000"/>
          </a:avLst>
        </a:prstGeom>
      </dgm:spPr>
    </dgm:pt>
    <dgm:pt modelId="{4F972BE5-0A80-41B5-9C7F-4EF86D596E94}" type="pres">
      <dgm:prSet presAssocID="{3EB5BBF6-FCA7-4E3A-BDFE-A4AAE3DDDAAA}" presName="parTransThree" presStyleCnt="0"/>
      <dgm:spPr/>
    </dgm:pt>
    <dgm:pt modelId="{F9FFAB89-C2E1-4D4A-BB80-DE08B2354399}" type="pres">
      <dgm:prSet presAssocID="{3EB5BBF6-FCA7-4E3A-BDFE-A4AAE3DDDAAA}" presName="horzThree" presStyleCnt="0"/>
      <dgm:spPr/>
    </dgm:pt>
    <dgm:pt modelId="{E49FC716-2969-4249-B96F-E553B1D9E20F}" type="pres">
      <dgm:prSet presAssocID="{F3E2F0B6-E4F5-49C8-A3B6-DCE119FE3F90}" presName="vertFour" presStyleCnt="0">
        <dgm:presLayoutVars>
          <dgm:chPref val="3"/>
        </dgm:presLayoutVars>
      </dgm:prSet>
      <dgm:spPr/>
    </dgm:pt>
    <dgm:pt modelId="{BB868717-16F5-4D38-9AD8-7855AA823BED}" type="pres">
      <dgm:prSet presAssocID="{F3E2F0B6-E4F5-49C8-A3B6-DCE119FE3F90}" presName="txFour" presStyleLbl="node4" presStyleIdx="2" presStyleCnt="4" custScaleY="366866">
        <dgm:presLayoutVars>
          <dgm:chPref val="3"/>
        </dgm:presLayoutVars>
      </dgm:prSet>
      <dgm:spPr>
        <a:prstGeom prst="roundRect">
          <a:avLst>
            <a:gd name="adj" fmla="val 10000"/>
          </a:avLst>
        </a:prstGeom>
      </dgm:spPr>
    </dgm:pt>
    <dgm:pt modelId="{F4189AA5-702F-4BCC-BFBB-9C2B34F784A9}" type="pres">
      <dgm:prSet presAssocID="{F3E2F0B6-E4F5-49C8-A3B6-DCE119FE3F90}" presName="horzFour" presStyleCnt="0"/>
      <dgm:spPr/>
    </dgm:pt>
    <dgm:pt modelId="{3F7F9B29-69DD-4DA1-B75D-C864E8FFB799}" type="pres">
      <dgm:prSet presAssocID="{7E7E5946-21F8-4169-B807-028B5A69728C}" presName="sibSpaceTwo" presStyleCnt="0"/>
      <dgm:spPr/>
    </dgm:pt>
    <dgm:pt modelId="{6B1DACA4-D9F0-43F8-AF5D-7FD7AF71CAEB}" type="pres">
      <dgm:prSet presAssocID="{0972259D-A07B-4081-9258-26BA55892F25}" presName="vertTwo" presStyleCnt="0"/>
      <dgm:spPr/>
    </dgm:pt>
    <dgm:pt modelId="{91A38FA1-A5BD-4AEA-88BE-34EC6ABDEDE5}" type="pres">
      <dgm:prSet presAssocID="{0972259D-A07B-4081-9258-26BA55892F25}" presName="txTwo" presStyleLbl="node2" presStyleIdx="2" presStyleCnt="3">
        <dgm:presLayoutVars>
          <dgm:chPref val="3"/>
        </dgm:presLayoutVars>
      </dgm:prSet>
      <dgm:spPr>
        <a:prstGeom prst="roundRect">
          <a:avLst>
            <a:gd name="adj" fmla="val 10000"/>
          </a:avLst>
        </a:prstGeom>
      </dgm:spPr>
    </dgm:pt>
    <dgm:pt modelId="{5CB34F75-835A-4F62-98BD-B8F2D06F5796}" type="pres">
      <dgm:prSet presAssocID="{0972259D-A07B-4081-9258-26BA55892F25}" presName="parTransTwo" presStyleCnt="0"/>
      <dgm:spPr/>
    </dgm:pt>
    <dgm:pt modelId="{FAF863C0-70D2-4D0A-B57B-2126794BD37E}" type="pres">
      <dgm:prSet presAssocID="{0972259D-A07B-4081-9258-26BA55892F25}" presName="horzTwo" presStyleCnt="0"/>
      <dgm:spPr/>
    </dgm:pt>
    <dgm:pt modelId="{47211008-5016-4889-8A6D-235708A54ED8}" type="pres">
      <dgm:prSet presAssocID="{C7D5A529-3A7D-47FC-8FBB-0B536C37E55D}" presName="vertThree" presStyleCnt="0"/>
      <dgm:spPr/>
    </dgm:pt>
    <dgm:pt modelId="{4F70EE44-0EE9-4D32-9F6E-0E663D7B1797}" type="pres">
      <dgm:prSet presAssocID="{C7D5A529-3A7D-47FC-8FBB-0B536C37E55D}" presName="txThree" presStyleLbl="node3" presStyleIdx="3" presStyleCnt="4">
        <dgm:presLayoutVars>
          <dgm:chPref val="3"/>
        </dgm:presLayoutVars>
      </dgm:prSet>
      <dgm:spPr>
        <a:prstGeom prst="roundRect">
          <a:avLst>
            <a:gd name="adj" fmla="val 10000"/>
          </a:avLst>
        </a:prstGeom>
      </dgm:spPr>
    </dgm:pt>
    <dgm:pt modelId="{0791ECCB-842F-4007-9194-D8A01E5A40D2}" type="pres">
      <dgm:prSet presAssocID="{C7D5A529-3A7D-47FC-8FBB-0B536C37E55D}" presName="parTransThree" presStyleCnt="0"/>
      <dgm:spPr/>
    </dgm:pt>
    <dgm:pt modelId="{303155D3-7ACE-435F-B5DA-330DDE50428B}" type="pres">
      <dgm:prSet presAssocID="{C7D5A529-3A7D-47FC-8FBB-0B536C37E55D}" presName="horzThree" presStyleCnt="0"/>
      <dgm:spPr/>
    </dgm:pt>
    <dgm:pt modelId="{B80F9211-0144-43E5-A826-E5B32CA7BF5C}" type="pres">
      <dgm:prSet presAssocID="{7620C068-1A7C-40DE-8116-5F3CCBB61608}" presName="vertFour" presStyleCnt="0">
        <dgm:presLayoutVars>
          <dgm:chPref val="3"/>
        </dgm:presLayoutVars>
      </dgm:prSet>
      <dgm:spPr/>
    </dgm:pt>
    <dgm:pt modelId="{D2DAAA64-C9BC-43E6-9DE3-61A114420CF1}" type="pres">
      <dgm:prSet presAssocID="{7620C068-1A7C-40DE-8116-5F3CCBB61608}" presName="txFour" presStyleLbl="node4" presStyleIdx="3" presStyleCnt="4" custScaleY="366191">
        <dgm:presLayoutVars>
          <dgm:chPref val="3"/>
        </dgm:presLayoutVars>
      </dgm:prSet>
      <dgm:spPr>
        <a:prstGeom prst="roundRect">
          <a:avLst>
            <a:gd name="adj" fmla="val 10000"/>
          </a:avLst>
        </a:prstGeom>
      </dgm:spPr>
    </dgm:pt>
    <dgm:pt modelId="{6BDD853D-5BE5-4C98-9CBA-A335E525017A}" type="pres">
      <dgm:prSet presAssocID="{7620C068-1A7C-40DE-8116-5F3CCBB61608}" presName="horzFour" presStyleCnt="0"/>
      <dgm:spPr/>
    </dgm:pt>
  </dgm:ptLst>
  <dgm:cxnLst>
    <dgm:cxn modelId="{EE3AE301-49A5-46E6-9566-EB26F27D2DA7}" srcId="{55A47DEC-5BD8-43FF-92F5-E186C868192C}" destId="{0972259D-A07B-4081-9258-26BA55892F25}" srcOrd="2" destOrd="0" parTransId="{D7479465-DD2D-4459-9FAB-E2348016BF89}" sibTransId="{3A45A261-1D43-4ECE-9967-D35872F06700}"/>
    <dgm:cxn modelId="{3D7FF409-8D0E-45B1-85C1-FEF0680B791B}" srcId="{55A47DEC-5BD8-43FF-92F5-E186C868192C}" destId="{D5ED0B09-3CC2-406A-A1A9-488AFBB60D8B}" srcOrd="1" destOrd="0" parTransId="{CCEC452A-D0A3-4815-B0F9-2E4410381E4D}" sibTransId="{7E7E5946-21F8-4169-B807-028B5A69728C}"/>
    <dgm:cxn modelId="{6DC25F23-1D4F-44B0-AE22-2D53B8B57117}" type="presOf" srcId="{F3E2F0B6-E4F5-49C8-A3B6-DCE119FE3F90}" destId="{BB868717-16F5-4D38-9AD8-7855AA823BED}" srcOrd="0" destOrd="0" presId="urn:microsoft.com/office/officeart/2005/8/layout/hierarchy4"/>
    <dgm:cxn modelId="{83704F26-5D64-418B-ACAF-F6827AEBC27A}" srcId="{7E1F13C2-8303-4BE6-BD51-58E6E2D0CCBD}" destId="{3DA4D3B1-BDC4-4286-BC76-1975308602A3}" srcOrd="0" destOrd="0" parTransId="{4A944CA0-B3AB-4B98-9DD0-F02C72063072}" sibTransId="{9D399AB0-BE5D-49EA-BD3F-0BBD5D2E1CAA}"/>
    <dgm:cxn modelId="{4896182B-F2B5-4F93-9ED8-28F9885CE3CB}" type="presOf" srcId="{3EB5BBF6-FCA7-4E3A-BDFE-A4AAE3DDDAAA}" destId="{DBA12B8F-CFD6-40CA-A43B-751407D3F421}" srcOrd="0" destOrd="0" presId="urn:microsoft.com/office/officeart/2005/8/layout/hierarchy4"/>
    <dgm:cxn modelId="{136B7C46-A4D6-4552-A016-837AF26F83E8}" type="presOf" srcId="{7620C068-1A7C-40DE-8116-5F3CCBB61608}" destId="{D2DAAA64-C9BC-43E6-9DE3-61A114420CF1}" srcOrd="0" destOrd="0" presId="urn:microsoft.com/office/officeart/2005/8/layout/hierarchy4"/>
    <dgm:cxn modelId="{1583346C-98DB-4B58-A869-3A6410FF2B33}" type="presOf" srcId="{9A1AA23F-C1C0-4477-B302-3E60A402D137}" destId="{D2325AFA-C9C0-4A75-A6B5-BA5F65ED3BB1}" srcOrd="0" destOrd="0" presId="urn:microsoft.com/office/officeart/2005/8/layout/hierarchy4"/>
    <dgm:cxn modelId="{ACA09784-305D-4EE5-BCA9-EFFACA2F1BC3}" type="presOf" srcId="{264E86EB-59BD-459B-85BB-BF64ACA0608A}" destId="{A02E9E10-9EFD-4B93-9024-F27DFA07DAF0}" srcOrd="0" destOrd="0" presId="urn:microsoft.com/office/officeart/2005/8/layout/hierarchy4"/>
    <dgm:cxn modelId="{7E623B88-E872-4502-A6CF-DC887C4638C7}" srcId="{D5ED0B09-3CC2-406A-A1A9-488AFBB60D8B}" destId="{3EB5BBF6-FCA7-4E3A-BDFE-A4AAE3DDDAAA}" srcOrd="0" destOrd="0" parTransId="{7B91A456-4B53-4FBE-B958-29A89FFC7A7C}" sibTransId="{A25CB7E6-0DA2-4002-B9A6-C3787F309536}"/>
    <dgm:cxn modelId="{A338B58B-C2F8-41D9-A775-781CB6D84F8C}" srcId="{0972259D-A07B-4081-9258-26BA55892F25}" destId="{C7D5A529-3A7D-47FC-8FBB-0B536C37E55D}" srcOrd="0" destOrd="0" parTransId="{DD226C01-D0F2-4093-9E74-75CE0BFFF02B}" sibTransId="{38302B12-0698-48A4-80A0-F728C945A3FD}"/>
    <dgm:cxn modelId="{B0A00D9A-7503-4677-968A-46D76BC5A133}" type="presOf" srcId="{C7D5A529-3A7D-47FC-8FBB-0B536C37E55D}" destId="{4F70EE44-0EE9-4D32-9F6E-0E663D7B1797}" srcOrd="0" destOrd="0" presId="urn:microsoft.com/office/officeart/2005/8/layout/hierarchy4"/>
    <dgm:cxn modelId="{1A57219C-B6E0-45E4-BBAA-F1E6074A5C73}" srcId="{55A47DEC-5BD8-43FF-92F5-E186C868192C}" destId="{7E1F13C2-8303-4BE6-BD51-58E6E2D0CCBD}" srcOrd="0" destOrd="0" parTransId="{90AD1E71-36FD-4205-8A17-796C347C9A11}" sibTransId="{8034AC81-1C30-4867-B0A4-C93CEE24174C}"/>
    <dgm:cxn modelId="{4D249AA6-DDDF-4BDA-85CE-7BC6027A7075}" type="presOf" srcId="{0972259D-A07B-4081-9258-26BA55892F25}" destId="{91A38FA1-A5BD-4AEA-88BE-34EC6ABDEDE5}" srcOrd="0" destOrd="0" presId="urn:microsoft.com/office/officeart/2005/8/layout/hierarchy4"/>
    <dgm:cxn modelId="{CD6F97B4-2404-4E23-97C5-59C92E403552}" type="presOf" srcId="{7E1F13C2-8303-4BE6-BD51-58E6E2D0CCBD}" destId="{F9A5BDCA-160C-4D0D-BC3B-46DBFB70E008}" srcOrd="0" destOrd="0" presId="urn:microsoft.com/office/officeart/2005/8/layout/hierarchy4"/>
    <dgm:cxn modelId="{C9C92AB6-6F86-44ED-92B3-9E87CC4E4664}" srcId="{3EB5BBF6-FCA7-4E3A-BDFE-A4AAE3DDDAAA}" destId="{F3E2F0B6-E4F5-49C8-A3B6-DCE119FE3F90}" srcOrd="0" destOrd="0" parTransId="{196183CE-F8A3-4787-9EDA-7A991E6301BD}" sibTransId="{5828DA98-FD56-4BC8-8B5C-496113443C5D}"/>
    <dgm:cxn modelId="{BF1A8EB7-EEBD-499C-B4CB-20B2B75BCC2D}" srcId="{3DA4D3B1-BDC4-4286-BC76-1975308602A3}" destId="{264E86EB-59BD-459B-85BB-BF64ACA0608A}" srcOrd="0" destOrd="0" parTransId="{8255ADAA-8291-4A8C-BF8E-4046836270FD}" sibTransId="{7BC419A3-1CF9-4C3A-81EB-E3BDD0029413}"/>
    <dgm:cxn modelId="{899D92BB-5DE3-4F63-9305-A0C8F0D9985D}" type="presOf" srcId="{A49C721B-AC5B-441C-AFA9-A644FC358A66}" destId="{0FD70A2D-5363-4F60-8857-8DCBA108EC51}" srcOrd="0" destOrd="0" presId="urn:microsoft.com/office/officeart/2005/8/layout/hierarchy4"/>
    <dgm:cxn modelId="{673B63C1-65BE-46B4-AF32-5DE07B5BEBA4}" srcId="{6C9654DF-EAAD-41C9-9A04-63DC7DFBB9B5}" destId="{55A47DEC-5BD8-43FF-92F5-E186C868192C}" srcOrd="0" destOrd="0" parTransId="{40DBC75D-7719-446D-9DE5-D46B0AB99411}" sibTransId="{8D5F0354-CDBD-4C47-9193-51362C6B9B55}"/>
    <dgm:cxn modelId="{88E630CE-96D6-481C-B0AB-D3CE0C74F68C}" srcId="{C7D5A529-3A7D-47FC-8FBB-0B536C37E55D}" destId="{7620C068-1A7C-40DE-8116-5F3CCBB61608}" srcOrd="0" destOrd="0" parTransId="{A507DD36-7E8A-42C6-86C5-0668F87BDAAB}" sibTransId="{21A58F11-2D42-4FC0-BF01-E8BD93057A2B}"/>
    <dgm:cxn modelId="{3B7F56DA-E09D-4344-A981-4F06439DFEE8}" type="presOf" srcId="{55A47DEC-5BD8-43FF-92F5-E186C868192C}" destId="{718D3AC5-6553-4309-AF42-FCECAFABA656}" srcOrd="0" destOrd="0" presId="urn:microsoft.com/office/officeart/2005/8/layout/hierarchy4"/>
    <dgm:cxn modelId="{8496A4DC-A5DB-4928-B5C5-81BB1CD84BF4}" srcId="{7E1F13C2-8303-4BE6-BD51-58E6E2D0CCBD}" destId="{9A1AA23F-C1C0-4477-B302-3E60A402D137}" srcOrd="1" destOrd="0" parTransId="{28A8273E-3008-463E-B6B1-241EC867AB43}" sibTransId="{4F13A9A4-4E77-4919-AC40-17A56A38EE26}"/>
    <dgm:cxn modelId="{049743E3-CB29-4510-AB22-C5C7CD7530EB}" srcId="{9A1AA23F-C1C0-4477-B302-3E60A402D137}" destId="{A49C721B-AC5B-441C-AFA9-A644FC358A66}" srcOrd="0" destOrd="0" parTransId="{AA1CEBFC-9415-46ED-8830-648A985C84FE}" sibTransId="{CACA051E-2660-4797-9B54-CCF23A474144}"/>
    <dgm:cxn modelId="{0A5840EC-72B5-4ADB-891F-E0EBD8D4C8FB}" type="presOf" srcId="{6C9654DF-EAAD-41C9-9A04-63DC7DFBB9B5}" destId="{7281DBB9-4EE7-4A14-9CDA-9DB944766842}" srcOrd="0" destOrd="0" presId="urn:microsoft.com/office/officeart/2005/8/layout/hierarchy4"/>
    <dgm:cxn modelId="{8E557EEC-B0E5-4B70-B076-DCA1A6163FD0}" type="presOf" srcId="{3DA4D3B1-BDC4-4286-BC76-1975308602A3}" destId="{1B6E1A6C-15B5-4415-95F1-F7162486BD52}" srcOrd="0" destOrd="0" presId="urn:microsoft.com/office/officeart/2005/8/layout/hierarchy4"/>
    <dgm:cxn modelId="{F9CE3FF2-7229-4B9B-A15E-D1EE5B65078C}" type="presOf" srcId="{D5ED0B09-3CC2-406A-A1A9-488AFBB60D8B}" destId="{CF2E5284-F5F8-48E4-B373-A24D35776BE0}" srcOrd="0" destOrd="0" presId="urn:microsoft.com/office/officeart/2005/8/layout/hierarchy4"/>
    <dgm:cxn modelId="{B27CA988-174B-44FD-AC01-D753F9452693}" type="presParOf" srcId="{7281DBB9-4EE7-4A14-9CDA-9DB944766842}" destId="{2F1E9DB6-F239-464B-8978-85171DC6A13C}" srcOrd="0" destOrd="0" presId="urn:microsoft.com/office/officeart/2005/8/layout/hierarchy4"/>
    <dgm:cxn modelId="{70CD6F37-ECA2-4879-AE3C-00A3071A2D52}" type="presParOf" srcId="{2F1E9DB6-F239-464B-8978-85171DC6A13C}" destId="{718D3AC5-6553-4309-AF42-FCECAFABA656}" srcOrd="0" destOrd="0" presId="urn:microsoft.com/office/officeart/2005/8/layout/hierarchy4"/>
    <dgm:cxn modelId="{F558B8D9-9135-415E-8313-E3D9CC5DCB35}" type="presParOf" srcId="{2F1E9DB6-F239-464B-8978-85171DC6A13C}" destId="{FD3DD701-7BAE-4724-86FD-7A411C0BA911}" srcOrd="1" destOrd="0" presId="urn:microsoft.com/office/officeart/2005/8/layout/hierarchy4"/>
    <dgm:cxn modelId="{3D6B91A1-D52A-417A-A7D9-B1DDB1F1E6ED}" type="presParOf" srcId="{2F1E9DB6-F239-464B-8978-85171DC6A13C}" destId="{62961143-FF02-4A14-8E52-6DDE89741CBC}" srcOrd="2" destOrd="0" presId="urn:microsoft.com/office/officeart/2005/8/layout/hierarchy4"/>
    <dgm:cxn modelId="{BC832060-49F2-41FF-BC23-1E342DDF7625}" type="presParOf" srcId="{62961143-FF02-4A14-8E52-6DDE89741CBC}" destId="{1F53BA3A-0466-4B3E-925E-C15B3723B3C0}" srcOrd="0" destOrd="0" presId="urn:microsoft.com/office/officeart/2005/8/layout/hierarchy4"/>
    <dgm:cxn modelId="{61E5DFE2-D1B9-43D6-85F8-5BD4C320CEA1}" type="presParOf" srcId="{1F53BA3A-0466-4B3E-925E-C15B3723B3C0}" destId="{F9A5BDCA-160C-4D0D-BC3B-46DBFB70E008}" srcOrd="0" destOrd="0" presId="urn:microsoft.com/office/officeart/2005/8/layout/hierarchy4"/>
    <dgm:cxn modelId="{6366A062-B997-43C1-976F-6056138C7880}" type="presParOf" srcId="{1F53BA3A-0466-4B3E-925E-C15B3723B3C0}" destId="{9FCD82B5-B882-4A54-B7E4-3D0E0B87FAFA}" srcOrd="1" destOrd="0" presId="urn:microsoft.com/office/officeart/2005/8/layout/hierarchy4"/>
    <dgm:cxn modelId="{85807286-B725-412A-9CD1-4BB9403023F4}" type="presParOf" srcId="{1F53BA3A-0466-4B3E-925E-C15B3723B3C0}" destId="{8F5464E6-689E-4C8F-9DDF-15E1198A2ED4}" srcOrd="2" destOrd="0" presId="urn:microsoft.com/office/officeart/2005/8/layout/hierarchy4"/>
    <dgm:cxn modelId="{07CD887C-1395-4221-9265-C2C1836399BF}" type="presParOf" srcId="{8F5464E6-689E-4C8F-9DDF-15E1198A2ED4}" destId="{5751DC98-1DFA-492E-A07A-076714AE6B8F}" srcOrd="0" destOrd="0" presId="urn:microsoft.com/office/officeart/2005/8/layout/hierarchy4"/>
    <dgm:cxn modelId="{3C10C414-0FF3-4086-9EB0-CD66798CC8E1}" type="presParOf" srcId="{5751DC98-1DFA-492E-A07A-076714AE6B8F}" destId="{1B6E1A6C-15B5-4415-95F1-F7162486BD52}" srcOrd="0" destOrd="0" presId="urn:microsoft.com/office/officeart/2005/8/layout/hierarchy4"/>
    <dgm:cxn modelId="{1EC9FDA5-B2EA-4BDC-AB22-879422647678}" type="presParOf" srcId="{5751DC98-1DFA-492E-A07A-076714AE6B8F}" destId="{98BB3AC5-EC44-4547-8B72-499A2C81DBE5}" srcOrd="1" destOrd="0" presId="urn:microsoft.com/office/officeart/2005/8/layout/hierarchy4"/>
    <dgm:cxn modelId="{0EDA274B-2300-4D28-945B-ADEF8C1089A6}" type="presParOf" srcId="{5751DC98-1DFA-492E-A07A-076714AE6B8F}" destId="{27752314-A407-4A36-B678-E9A5970E0BD4}" srcOrd="2" destOrd="0" presId="urn:microsoft.com/office/officeart/2005/8/layout/hierarchy4"/>
    <dgm:cxn modelId="{F554D108-9ED3-487E-AC93-377A0A9524AD}" type="presParOf" srcId="{27752314-A407-4A36-B678-E9A5970E0BD4}" destId="{5FE697D5-3E9B-415A-AD1C-37D5386A2B41}" srcOrd="0" destOrd="0" presId="urn:microsoft.com/office/officeart/2005/8/layout/hierarchy4"/>
    <dgm:cxn modelId="{F2E64196-D4C6-434A-A2E3-FA94A86681A7}" type="presParOf" srcId="{5FE697D5-3E9B-415A-AD1C-37D5386A2B41}" destId="{A02E9E10-9EFD-4B93-9024-F27DFA07DAF0}" srcOrd="0" destOrd="0" presId="urn:microsoft.com/office/officeart/2005/8/layout/hierarchy4"/>
    <dgm:cxn modelId="{21846862-866D-47BF-B765-38C6A9C947EE}" type="presParOf" srcId="{5FE697D5-3E9B-415A-AD1C-37D5386A2B41}" destId="{A18FEA76-7BB6-4958-A44A-692E6FBEE75A}" srcOrd="1" destOrd="0" presId="urn:microsoft.com/office/officeart/2005/8/layout/hierarchy4"/>
    <dgm:cxn modelId="{D351231F-E155-49FE-B08E-9CDA8079B7D5}" type="presParOf" srcId="{8F5464E6-689E-4C8F-9DDF-15E1198A2ED4}" destId="{C94DD181-18DE-470D-A9B9-F490FAFE6562}" srcOrd="1" destOrd="0" presId="urn:microsoft.com/office/officeart/2005/8/layout/hierarchy4"/>
    <dgm:cxn modelId="{1F3ACF0B-17D8-4BED-BC29-4869A93FB291}" type="presParOf" srcId="{8F5464E6-689E-4C8F-9DDF-15E1198A2ED4}" destId="{8E950F4B-09F2-451B-9D7F-BB86301BF180}" srcOrd="2" destOrd="0" presId="urn:microsoft.com/office/officeart/2005/8/layout/hierarchy4"/>
    <dgm:cxn modelId="{E5223B2F-04C0-4CD3-8195-21576ACD6CBF}" type="presParOf" srcId="{8E950F4B-09F2-451B-9D7F-BB86301BF180}" destId="{D2325AFA-C9C0-4A75-A6B5-BA5F65ED3BB1}" srcOrd="0" destOrd="0" presId="urn:microsoft.com/office/officeart/2005/8/layout/hierarchy4"/>
    <dgm:cxn modelId="{D606BF1A-85A2-44B9-B482-9379C016F52E}" type="presParOf" srcId="{8E950F4B-09F2-451B-9D7F-BB86301BF180}" destId="{4708C78F-9FF7-4395-B346-8CE5B835B19A}" srcOrd="1" destOrd="0" presId="urn:microsoft.com/office/officeart/2005/8/layout/hierarchy4"/>
    <dgm:cxn modelId="{D243C024-FDD9-4DDC-B122-AFF7F9BD9DB5}" type="presParOf" srcId="{8E950F4B-09F2-451B-9D7F-BB86301BF180}" destId="{81394379-5A0F-434F-92B0-B3898F744DBE}" srcOrd="2" destOrd="0" presId="urn:microsoft.com/office/officeart/2005/8/layout/hierarchy4"/>
    <dgm:cxn modelId="{6953E6FF-7F26-46AB-B25F-750FFC8615E3}" type="presParOf" srcId="{81394379-5A0F-434F-92B0-B3898F744DBE}" destId="{52D88C3F-C342-4D0B-A570-AB44121EF5CF}" srcOrd="0" destOrd="0" presId="urn:microsoft.com/office/officeart/2005/8/layout/hierarchy4"/>
    <dgm:cxn modelId="{A76DBF34-F520-4B42-911E-92FAE80376AA}" type="presParOf" srcId="{52D88C3F-C342-4D0B-A570-AB44121EF5CF}" destId="{0FD70A2D-5363-4F60-8857-8DCBA108EC51}" srcOrd="0" destOrd="0" presId="urn:microsoft.com/office/officeart/2005/8/layout/hierarchy4"/>
    <dgm:cxn modelId="{D92312C2-C0DD-4C4B-AD45-DC91C7690144}" type="presParOf" srcId="{52D88C3F-C342-4D0B-A570-AB44121EF5CF}" destId="{9AC65157-1D3A-4B1B-9642-FE486F292B72}" srcOrd="1" destOrd="0" presId="urn:microsoft.com/office/officeart/2005/8/layout/hierarchy4"/>
    <dgm:cxn modelId="{D6663307-A201-402A-A91E-C26C83DAB6F7}" type="presParOf" srcId="{62961143-FF02-4A14-8E52-6DDE89741CBC}" destId="{B79FC79B-95B0-460F-A9E2-C9EC7326C334}" srcOrd="1" destOrd="0" presId="urn:microsoft.com/office/officeart/2005/8/layout/hierarchy4"/>
    <dgm:cxn modelId="{805F7D1F-4C72-4B33-8949-17F375C6A886}" type="presParOf" srcId="{62961143-FF02-4A14-8E52-6DDE89741CBC}" destId="{43B3714E-05D4-4C8D-8010-CAEF93055560}" srcOrd="2" destOrd="0" presId="urn:microsoft.com/office/officeart/2005/8/layout/hierarchy4"/>
    <dgm:cxn modelId="{B90F69D3-EA17-412F-83D5-E250BDB659EA}" type="presParOf" srcId="{43B3714E-05D4-4C8D-8010-CAEF93055560}" destId="{CF2E5284-F5F8-48E4-B373-A24D35776BE0}" srcOrd="0" destOrd="0" presId="urn:microsoft.com/office/officeart/2005/8/layout/hierarchy4"/>
    <dgm:cxn modelId="{105AF41F-6401-4740-AC56-825C37F42F53}" type="presParOf" srcId="{43B3714E-05D4-4C8D-8010-CAEF93055560}" destId="{598B938B-8160-45F2-ABAD-795190621085}" srcOrd="1" destOrd="0" presId="urn:microsoft.com/office/officeart/2005/8/layout/hierarchy4"/>
    <dgm:cxn modelId="{B5580269-9CCB-444B-9FAE-3F08899288E8}" type="presParOf" srcId="{43B3714E-05D4-4C8D-8010-CAEF93055560}" destId="{92627873-E9AE-43DA-938C-C750A1BF6B61}" srcOrd="2" destOrd="0" presId="urn:microsoft.com/office/officeart/2005/8/layout/hierarchy4"/>
    <dgm:cxn modelId="{81B01207-BFAC-4351-94B4-41F3037F90D7}" type="presParOf" srcId="{92627873-E9AE-43DA-938C-C750A1BF6B61}" destId="{30C202DA-B487-4874-988E-FD2E70174694}" srcOrd="0" destOrd="0" presId="urn:microsoft.com/office/officeart/2005/8/layout/hierarchy4"/>
    <dgm:cxn modelId="{4B97E5B5-371D-4271-869E-41204498E947}" type="presParOf" srcId="{30C202DA-B487-4874-988E-FD2E70174694}" destId="{DBA12B8F-CFD6-40CA-A43B-751407D3F421}" srcOrd="0" destOrd="0" presId="urn:microsoft.com/office/officeart/2005/8/layout/hierarchy4"/>
    <dgm:cxn modelId="{3A420BFC-884F-4062-B723-47B8FB38A1E8}" type="presParOf" srcId="{30C202DA-B487-4874-988E-FD2E70174694}" destId="{4F972BE5-0A80-41B5-9C7F-4EF86D596E94}" srcOrd="1" destOrd="0" presId="urn:microsoft.com/office/officeart/2005/8/layout/hierarchy4"/>
    <dgm:cxn modelId="{B972ADDF-21DE-4823-8DD9-49295DD5BB1D}" type="presParOf" srcId="{30C202DA-B487-4874-988E-FD2E70174694}" destId="{F9FFAB89-C2E1-4D4A-BB80-DE08B2354399}" srcOrd="2" destOrd="0" presId="urn:microsoft.com/office/officeart/2005/8/layout/hierarchy4"/>
    <dgm:cxn modelId="{71272FF5-D236-432C-81FA-0FD1F1CC9B64}" type="presParOf" srcId="{F9FFAB89-C2E1-4D4A-BB80-DE08B2354399}" destId="{E49FC716-2969-4249-B96F-E553B1D9E20F}" srcOrd="0" destOrd="0" presId="urn:microsoft.com/office/officeart/2005/8/layout/hierarchy4"/>
    <dgm:cxn modelId="{54BC1FF7-DB94-4633-A4AD-1B9BC2F6D4C9}" type="presParOf" srcId="{E49FC716-2969-4249-B96F-E553B1D9E20F}" destId="{BB868717-16F5-4D38-9AD8-7855AA823BED}" srcOrd="0" destOrd="0" presId="urn:microsoft.com/office/officeart/2005/8/layout/hierarchy4"/>
    <dgm:cxn modelId="{11ADABDC-5CAF-425A-BDA3-00EE6BD7C3D4}" type="presParOf" srcId="{E49FC716-2969-4249-B96F-E553B1D9E20F}" destId="{F4189AA5-702F-4BCC-BFBB-9C2B34F784A9}" srcOrd="1" destOrd="0" presId="urn:microsoft.com/office/officeart/2005/8/layout/hierarchy4"/>
    <dgm:cxn modelId="{D838DE6B-02F9-480A-ABDF-E33E2CBCAA80}" type="presParOf" srcId="{62961143-FF02-4A14-8E52-6DDE89741CBC}" destId="{3F7F9B29-69DD-4DA1-B75D-C864E8FFB799}" srcOrd="3" destOrd="0" presId="urn:microsoft.com/office/officeart/2005/8/layout/hierarchy4"/>
    <dgm:cxn modelId="{4790E5E6-EF91-4DA8-9EC8-5D8467A19405}" type="presParOf" srcId="{62961143-FF02-4A14-8E52-6DDE89741CBC}" destId="{6B1DACA4-D9F0-43F8-AF5D-7FD7AF71CAEB}" srcOrd="4" destOrd="0" presId="urn:microsoft.com/office/officeart/2005/8/layout/hierarchy4"/>
    <dgm:cxn modelId="{83D6EDEA-62D6-4219-9CA2-BB13FEB469AC}" type="presParOf" srcId="{6B1DACA4-D9F0-43F8-AF5D-7FD7AF71CAEB}" destId="{91A38FA1-A5BD-4AEA-88BE-34EC6ABDEDE5}" srcOrd="0" destOrd="0" presId="urn:microsoft.com/office/officeart/2005/8/layout/hierarchy4"/>
    <dgm:cxn modelId="{F39B8A0A-01B3-4B5D-97DC-2B9BA29003B3}" type="presParOf" srcId="{6B1DACA4-D9F0-43F8-AF5D-7FD7AF71CAEB}" destId="{5CB34F75-835A-4F62-98BD-B8F2D06F5796}" srcOrd="1" destOrd="0" presId="urn:microsoft.com/office/officeart/2005/8/layout/hierarchy4"/>
    <dgm:cxn modelId="{3F0C1CC2-26F9-4E43-B211-3ED5980F93A3}" type="presParOf" srcId="{6B1DACA4-D9F0-43F8-AF5D-7FD7AF71CAEB}" destId="{FAF863C0-70D2-4D0A-B57B-2126794BD37E}" srcOrd="2" destOrd="0" presId="urn:microsoft.com/office/officeart/2005/8/layout/hierarchy4"/>
    <dgm:cxn modelId="{E47F03A3-5D52-4BF3-91E5-7F05CB73060E}" type="presParOf" srcId="{FAF863C0-70D2-4D0A-B57B-2126794BD37E}" destId="{47211008-5016-4889-8A6D-235708A54ED8}" srcOrd="0" destOrd="0" presId="urn:microsoft.com/office/officeart/2005/8/layout/hierarchy4"/>
    <dgm:cxn modelId="{FE147B0A-8CF2-46EC-83BB-D074605AE9E8}" type="presParOf" srcId="{47211008-5016-4889-8A6D-235708A54ED8}" destId="{4F70EE44-0EE9-4D32-9F6E-0E663D7B1797}" srcOrd="0" destOrd="0" presId="urn:microsoft.com/office/officeart/2005/8/layout/hierarchy4"/>
    <dgm:cxn modelId="{BDA4053C-D29C-47F6-A9C3-71556FFA6506}" type="presParOf" srcId="{47211008-5016-4889-8A6D-235708A54ED8}" destId="{0791ECCB-842F-4007-9194-D8A01E5A40D2}" srcOrd="1" destOrd="0" presId="urn:microsoft.com/office/officeart/2005/8/layout/hierarchy4"/>
    <dgm:cxn modelId="{00ECE598-24A0-4C52-A2FC-468BB4D03730}" type="presParOf" srcId="{47211008-5016-4889-8A6D-235708A54ED8}" destId="{303155D3-7ACE-435F-B5DA-330DDE50428B}" srcOrd="2" destOrd="0" presId="urn:microsoft.com/office/officeart/2005/8/layout/hierarchy4"/>
    <dgm:cxn modelId="{18E19246-DAC9-43D0-AC9A-CF2BAAC67032}" type="presParOf" srcId="{303155D3-7ACE-435F-B5DA-330DDE50428B}" destId="{B80F9211-0144-43E5-A826-E5B32CA7BF5C}" srcOrd="0" destOrd="0" presId="urn:microsoft.com/office/officeart/2005/8/layout/hierarchy4"/>
    <dgm:cxn modelId="{9A76191F-0212-4E97-91F2-F1FE25A524F9}" type="presParOf" srcId="{B80F9211-0144-43E5-A826-E5B32CA7BF5C}" destId="{D2DAAA64-C9BC-43E6-9DE3-61A114420CF1}" srcOrd="0" destOrd="0" presId="urn:microsoft.com/office/officeart/2005/8/layout/hierarchy4"/>
    <dgm:cxn modelId="{D7B1EF58-7D57-42B9-8313-77E5CB99910C}" type="presParOf" srcId="{B80F9211-0144-43E5-A826-E5B32CA7BF5C}" destId="{6BDD853D-5BE5-4C98-9CBA-A335E525017A}" srcOrd="1" destOrd="0" presId="urn:microsoft.com/office/officeart/2005/8/layout/hierarchy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18D3AC5-6553-4309-AF42-FCECAFABA656}">
      <dsp:nvSpPr>
        <dsp:cNvPr id="0" name=""/>
        <dsp:cNvSpPr/>
      </dsp:nvSpPr>
      <dsp:spPr>
        <a:xfrm>
          <a:off x="799" y="0"/>
          <a:ext cx="5474170" cy="453415"/>
        </a:xfrm>
        <a:prstGeom prst="roundRect">
          <a:avLst>
            <a:gd name="adj" fmla="val 10000"/>
          </a:avLst>
        </a:prstGeom>
        <a:solidFill>
          <a:srgbClr val="4F81BD">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72390" tIns="72390" rIns="72390" bIns="72390" numCol="1" spcCol="1270" anchor="ctr" anchorCtr="0">
          <a:noAutofit/>
        </a:bodyPr>
        <a:lstStyle/>
        <a:p>
          <a:pPr marL="0" lvl="0" indent="0" algn="ctr" defTabSz="844550">
            <a:lnSpc>
              <a:spcPct val="90000"/>
            </a:lnSpc>
            <a:spcBef>
              <a:spcPct val="0"/>
            </a:spcBef>
            <a:spcAft>
              <a:spcPct val="35000"/>
            </a:spcAft>
            <a:buNone/>
          </a:pPr>
          <a:r>
            <a:rPr lang="en-AU" sz="1900" kern="1200">
              <a:solidFill>
                <a:sysClr val="window" lastClr="FFFFFF"/>
              </a:solidFill>
              <a:latin typeface="Calibri"/>
              <a:ea typeface="+mn-ea"/>
              <a:cs typeface="+mn-cs"/>
            </a:rPr>
            <a:t>Northern Territory distribution services</a:t>
          </a:r>
        </a:p>
      </dsp:txBody>
      <dsp:txXfrm>
        <a:off x="14079" y="13280"/>
        <a:ext cx="5447610" cy="426855"/>
      </dsp:txXfrm>
    </dsp:sp>
    <dsp:sp modelId="{F9A5BDCA-160C-4D0D-BC3B-46DBFB70E008}">
      <dsp:nvSpPr>
        <dsp:cNvPr id="0" name=""/>
        <dsp:cNvSpPr/>
      </dsp:nvSpPr>
      <dsp:spPr>
        <a:xfrm>
          <a:off x="5742" y="498147"/>
          <a:ext cx="3121134" cy="453415"/>
        </a:xfrm>
        <a:prstGeom prst="roundRect">
          <a:avLst>
            <a:gd name="adj" fmla="val 10000"/>
          </a:avLst>
        </a:prstGeo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solidFill>
                <a:sysClr val="windowText" lastClr="000000"/>
              </a:solidFill>
              <a:latin typeface="Calibri"/>
              <a:ea typeface="+mn-ea"/>
              <a:cs typeface="+mn-cs"/>
            </a:rPr>
            <a:t>Direct control (revenue/price regulated)</a:t>
          </a:r>
        </a:p>
      </dsp:txBody>
      <dsp:txXfrm>
        <a:off x="19022" y="511427"/>
        <a:ext cx="3094574" cy="426855"/>
      </dsp:txXfrm>
    </dsp:sp>
    <dsp:sp modelId="{1B6E1A6C-15B5-4415-95F1-F7162486BD52}">
      <dsp:nvSpPr>
        <dsp:cNvPr id="0" name=""/>
        <dsp:cNvSpPr/>
      </dsp:nvSpPr>
      <dsp:spPr>
        <a:xfrm>
          <a:off x="16379" y="995352"/>
          <a:ext cx="1527392" cy="453415"/>
        </a:xfrm>
        <a:prstGeom prst="roundRect">
          <a:avLst>
            <a:gd name="adj" fmla="val 10000"/>
          </a:avLst>
        </a:prstGeom>
        <a:solidFill>
          <a:srgbClr val="4F81B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latin typeface="Calibri"/>
              <a:ea typeface="+mn-ea"/>
              <a:cs typeface="+mn-cs"/>
            </a:rPr>
            <a:t>Standard control </a:t>
          </a:r>
        </a:p>
        <a:p>
          <a:pPr marL="0" lvl="0" indent="0" algn="ctr" defTabSz="444500">
            <a:lnSpc>
              <a:spcPct val="90000"/>
            </a:lnSpc>
            <a:spcBef>
              <a:spcPct val="0"/>
            </a:spcBef>
            <a:spcAft>
              <a:spcPct val="35000"/>
            </a:spcAft>
            <a:buNone/>
          </a:pPr>
          <a:r>
            <a:rPr lang="en-AU" sz="1000" kern="1200">
              <a:solidFill>
                <a:sysClr val="windowText" lastClr="000000"/>
              </a:solidFill>
              <a:latin typeface="Calibri"/>
              <a:ea typeface="+mn-ea"/>
              <a:cs typeface="+mn-cs"/>
            </a:rPr>
            <a:t>(shared network charges)</a:t>
          </a:r>
        </a:p>
      </dsp:txBody>
      <dsp:txXfrm>
        <a:off x="29659" y="1008632"/>
        <a:ext cx="1500832" cy="426855"/>
      </dsp:txXfrm>
    </dsp:sp>
    <dsp:sp modelId="{A02E9E10-9EFD-4B93-9024-F27DFA07DAF0}">
      <dsp:nvSpPr>
        <dsp:cNvPr id="0" name=""/>
        <dsp:cNvSpPr/>
      </dsp:nvSpPr>
      <dsp:spPr>
        <a:xfrm>
          <a:off x="26112" y="1492783"/>
          <a:ext cx="1503701" cy="1681182"/>
        </a:xfrm>
        <a:prstGeom prst="roundRect">
          <a:avLst>
            <a:gd name="adj" fmla="val 10000"/>
          </a:avLst>
        </a:prstGeo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Common distribution services (formerly 'network services')</a:t>
          </a:r>
        </a:p>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Connection services</a:t>
          </a:r>
        </a:p>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Type 7 metering services</a:t>
          </a:r>
        </a:p>
        <a:p>
          <a:pPr marL="0" lvl="0" indent="0" algn="l" defTabSz="444500">
            <a:lnSpc>
              <a:spcPct val="90000"/>
            </a:lnSpc>
            <a:spcBef>
              <a:spcPct val="0"/>
            </a:spcBef>
            <a:spcAft>
              <a:spcPct val="35000"/>
            </a:spcAft>
            <a:buNone/>
          </a:pPr>
          <a:endParaRPr lang="en-AU" sz="1000" kern="1200">
            <a:solidFill>
              <a:sysClr val="windowText" lastClr="000000"/>
            </a:solidFill>
            <a:latin typeface="Calibri"/>
            <a:ea typeface="+mn-ea"/>
            <a:cs typeface="+mn-cs"/>
          </a:endParaRPr>
        </a:p>
      </dsp:txBody>
      <dsp:txXfrm>
        <a:off x="70154" y="1536825"/>
        <a:ext cx="1415617" cy="1593098"/>
      </dsp:txXfrm>
    </dsp:sp>
    <dsp:sp modelId="{D2325AFA-C9C0-4A75-A6B5-BA5F65ED3BB1}">
      <dsp:nvSpPr>
        <dsp:cNvPr id="0" name=""/>
        <dsp:cNvSpPr/>
      </dsp:nvSpPr>
      <dsp:spPr>
        <a:xfrm>
          <a:off x="1588847" y="995352"/>
          <a:ext cx="1527392" cy="453415"/>
        </a:xfrm>
        <a:prstGeom prst="roundRect">
          <a:avLst>
            <a:gd name="adj" fmla="val 10000"/>
          </a:avLst>
        </a:prstGeom>
        <a:solidFill>
          <a:srgbClr val="4F81B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n-AU" sz="1000" kern="1200">
              <a:solidFill>
                <a:sysClr val="windowText" lastClr="000000"/>
              </a:solidFill>
              <a:latin typeface="Calibri"/>
              <a:ea typeface="+mn-ea"/>
              <a:cs typeface="+mn-cs"/>
            </a:rPr>
            <a:t>Alternative control </a:t>
          </a:r>
        </a:p>
        <a:p>
          <a:pPr marL="0" lvl="0" indent="0" algn="ctr" defTabSz="444500">
            <a:lnSpc>
              <a:spcPct val="90000"/>
            </a:lnSpc>
            <a:spcBef>
              <a:spcPct val="0"/>
            </a:spcBef>
            <a:spcAft>
              <a:spcPct val="35000"/>
            </a:spcAft>
            <a:buNone/>
          </a:pPr>
          <a:r>
            <a:rPr lang="en-AU" sz="1000" kern="1200">
              <a:solidFill>
                <a:sysClr val="windowText" lastClr="000000"/>
              </a:solidFill>
              <a:latin typeface="Calibri"/>
              <a:ea typeface="+mn-ea"/>
              <a:cs typeface="+mn-cs"/>
            </a:rPr>
            <a:t>(service specific charges)</a:t>
          </a:r>
        </a:p>
      </dsp:txBody>
      <dsp:txXfrm>
        <a:off x="1602127" y="1008632"/>
        <a:ext cx="1500832" cy="426855"/>
      </dsp:txXfrm>
    </dsp:sp>
    <dsp:sp modelId="{0FD70A2D-5363-4F60-8857-8DCBA108EC51}">
      <dsp:nvSpPr>
        <dsp:cNvPr id="0" name=""/>
        <dsp:cNvSpPr/>
      </dsp:nvSpPr>
      <dsp:spPr>
        <a:xfrm>
          <a:off x="1600693" y="1492556"/>
          <a:ext cx="1503701" cy="1663427"/>
        </a:xfrm>
        <a:prstGeom prst="roundRect">
          <a:avLst>
            <a:gd name="adj" fmla="val 10000"/>
          </a:avLst>
        </a:prstGeo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Ancillary services</a:t>
          </a:r>
        </a:p>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Type 1 to 6 metering services</a:t>
          </a:r>
        </a:p>
        <a:p>
          <a:pPr marL="0" lvl="0" indent="0" algn="l" defTabSz="444500">
            <a:lnSpc>
              <a:spcPct val="90000"/>
            </a:lnSpc>
            <a:spcBef>
              <a:spcPct val="0"/>
            </a:spcBef>
            <a:spcAft>
              <a:spcPct val="35000"/>
            </a:spcAft>
            <a:buNone/>
          </a:pPr>
          <a:endParaRPr lang="en-AU" sz="1000" kern="1200">
            <a:solidFill>
              <a:sysClr val="windowText" lastClr="000000"/>
            </a:solidFill>
            <a:latin typeface="Calibri"/>
            <a:ea typeface="+mn-ea"/>
            <a:cs typeface="+mn-cs"/>
          </a:endParaRPr>
        </a:p>
      </dsp:txBody>
      <dsp:txXfrm>
        <a:off x="1644735" y="1536598"/>
        <a:ext cx="1415617" cy="1575343"/>
      </dsp:txXfrm>
    </dsp:sp>
    <dsp:sp modelId="{CF2E5284-F5F8-48E4-B373-A24D35776BE0}">
      <dsp:nvSpPr>
        <dsp:cNvPr id="0" name=""/>
        <dsp:cNvSpPr/>
      </dsp:nvSpPr>
      <dsp:spPr>
        <a:xfrm>
          <a:off x="3217469" y="498147"/>
          <a:ext cx="1080583" cy="453415"/>
        </a:xfrm>
        <a:prstGeom prst="roundRect">
          <a:avLst>
            <a:gd name="adj" fmla="val 10000"/>
          </a:avLst>
        </a:prstGeo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solidFill>
                <a:sysClr val="windowText" lastClr="000000"/>
              </a:solidFill>
              <a:latin typeface="Calibri"/>
              <a:ea typeface="+mn-ea"/>
              <a:cs typeface="+mn-cs"/>
            </a:rPr>
            <a:t>Negotiated</a:t>
          </a:r>
        </a:p>
      </dsp:txBody>
      <dsp:txXfrm>
        <a:off x="3230749" y="511427"/>
        <a:ext cx="1054023" cy="426855"/>
      </dsp:txXfrm>
    </dsp:sp>
    <dsp:sp modelId="{DBA12B8F-CFD6-40CA-A43B-751407D3F421}">
      <dsp:nvSpPr>
        <dsp:cNvPr id="0" name=""/>
        <dsp:cNvSpPr/>
      </dsp:nvSpPr>
      <dsp:spPr>
        <a:xfrm>
          <a:off x="3221151" y="995352"/>
          <a:ext cx="1073217" cy="453415"/>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endParaRPr lang="en-AU" sz="1000" kern="1200">
            <a:solidFill>
              <a:sysClr val="window" lastClr="FFFFFF"/>
            </a:solidFill>
            <a:latin typeface="Calibri"/>
            <a:ea typeface="+mn-ea"/>
            <a:cs typeface="+mn-cs"/>
          </a:endParaRPr>
        </a:p>
      </dsp:txBody>
      <dsp:txXfrm>
        <a:off x="3234431" y="1008632"/>
        <a:ext cx="1046657" cy="426855"/>
      </dsp:txXfrm>
    </dsp:sp>
    <dsp:sp modelId="{BB868717-16F5-4D38-9AD8-7855AA823BED}">
      <dsp:nvSpPr>
        <dsp:cNvPr id="0" name=""/>
        <dsp:cNvSpPr/>
      </dsp:nvSpPr>
      <dsp:spPr>
        <a:xfrm>
          <a:off x="3228441" y="1492556"/>
          <a:ext cx="1058637" cy="1663427"/>
        </a:xfrm>
        <a:prstGeom prst="roundRect">
          <a:avLst>
            <a:gd name="adj" fmla="val 10000"/>
          </a:avLst>
        </a:prstGeo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l" defTabSz="444500">
            <a:lnSpc>
              <a:spcPct val="90000"/>
            </a:lnSpc>
            <a:spcBef>
              <a:spcPct val="0"/>
            </a:spcBef>
            <a:spcAft>
              <a:spcPct val="35000"/>
            </a:spcAft>
            <a:buNone/>
          </a:pPr>
          <a:endParaRPr lang="en-AU" sz="1000" kern="1200">
            <a:solidFill>
              <a:sysClr val="windowText" lastClr="000000"/>
            </a:solidFill>
            <a:latin typeface="Calibri"/>
            <a:ea typeface="+mn-ea"/>
            <a:cs typeface="+mn-cs"/>
          </a:endParaRPr>
        </a:p>
      </dsp:txBody>
      <dsp:txXfrm>
        <a:off x="3259447" y="1523562"/>
        <a:ext cx="996625" cy="1601415"/>
      </dsp:txXfrm>
    </dsp:sp>
    <dsp:sp modelId="{91A38FA1-A5BD-4AEA-88BE-34EC6ABDEDE5}">
      <dsp:nvSpPr>
        <dsp:cNvPr id="0" name=""/>
        <dsp:cNvSpPr/>
      </dsp:nvSpPr>
      <dsp:spPr>
        <a:xfrm>
          <a:off x="4388644" y="498147"/>
          <a:ext cx="1080583" cy="453415"/>
        </a:xfrm>
        <a:prstGeom prst="roundRect">
          <a:avLst>
            <a:gd name="adj" fmla="val 10000"/>
          </a:avLst>
        </a:prstGeom>
        <a:solidFill>
          <a:srgbClr val="1F497D">
            <a:lumMod val="40000"/>
            <a:lumOff val="60000"/>
          </a:srgbClr>
        </a:solidFill>
        <a:ln w="9525" cap="flat" cmpd="sng" algn="ctr">
          <a:solidFill>
            <a:srgbClr val="4F81BD">
              <a:shade val="95000"/>
              <a:satMod val="105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53340" tIns="53340" rIns="53340" bIns="53340" numCol="1" spcCol="1270" anchor="ctr" anchorCtr="0">
          <a:noAutofit/>
        </a:bodyPr>
        <a:lstStyle/>
        <a:p>
          <a:pPr marL="0" lvl="0" indent="0" algn="ctr" defTabSz="622300">
            <a:lnSpc>
              <a:spcPct val="90000"/>
            </a:lnSpc>
            <a:spcBef>
              <a:spcPct val="0"/>
            </a:spcBef>
            <a:spcAft>
              <a:spcPct val="35000"/>
            </a:spcAft>
            <a:buNone/>
          </a:pPr>
          <a:r>
            <a:rPr lang="en-AU" sz="1400" kern="1200">
              <a:solidFill>
                <a:sysClr val="windowText" lastClr="000000"/>
              </a:solidFill>
              <a:latin typeface="Calibri"/>
              <a:ea typeface="+mn-ea"/>
              <a:cs typeface="+mn-cs"/>
            </a:rPr>
            <a:t>Unclassified</a:t>
          </a:r>
        </a:p>
      </dsp:txBody>
      <dsp:txXfrm>
        <a:off x="4401924" y="511427"/>
        <a:ext cx="1054023" cy="426855"/>
      </dsp:txXfrm>
    </dsp:sp>
    <dsp:sp modelId="{4F70EE44-0EE9-4D32-9F6E-0E663D7B1797}">
      <dsp:nvSpPr>
        <dsp:cNvPr id="0" name=""/>
        <dsp:cNvSpPr/>
      </dsp:nvSpPr>
      <dsp:spPr>
        <a:xfrm>
          <a:off x="4391277" y="995352"/>
          <a:ext cx="1075317" cy="453415"/>
        </a:xfrm>
        <a:prstGeom prst="roundRect">
          <a:avLst>
            <a:gd name="adj" fmla="val 10000"/>
          </a:avLst>
        </a:prstGeom>
        <a:noFill/>
        <a:ln w="25400" cap="flat" cmpd="sng" algn="ctr">
          <a:no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endParaRPr lang="en-AU" sz="1000" kern="1200">
            <a:solidFill>
              <a:sysClr val="window" lastClr="FFFFFF"/>
            </a:solidFill>
            <a:latin typeface="Calibri"/>
            <a:ea typeface="+mn-ea"/>
            <a:cs typeface="+mn-cs"/>
          </a:endParaRPr>
        </a:p>
      </dsp:txBody>
      <dsp:txXfrm>
        <a:off x="4404557" y="1008632"/>
        <a:ext cx="1048757" cy="426855"/>
      </dsp:txXfrm>
    </dsp:sp>
    <dsp:sp modelId="{D2DAAA64-C9BC-43E6-9DE3-61A114420CF1}">
      <dsp:nvSpPr>
        <dsp:cNvPr id="0" name=""/>
        <dsp:cNvSpPr/>
      </dsp:nvSpPr>
      <dsp:spPr>
        <a:xfrm>
          <a:off x="4396504" y="1492556"/>
          <a:ext cx="1064861" cy="1660366"/>
        </a:xfrm>
        <a:prstGeom prst="roundRect">
          <a:avLst>
            <a:gd name="adj" fmla="val 10000"/>
          </a:avLst>
        </a:prstGeom>
        <a:solidFill>
          <a:srgbClr val="4F81BD">
            <a:lumMod val="20000"/>
            <a:lumOff val="80000"/>
          </a:srgbClr>
        </a:solidFill>
        <a:ln w="9525" cap="flat" cmpd="sng" algn="ctr">
          <a:solidFill>
            <a:srgbClr val="1F497D">
              <a:lumMod val="40000"/>
              <a:lumOff val="60000"/>
            </a:srgbClr>
          </a:solidFill>
          <a:prstDash val="solid"/>
        </a:ln>
        <a:effectLst>
          <a:outerShdw blurRad="40000" dist="20000" dir="5400000" rotWithShape="0">
            <a:srgbClr val="000000">
              <a:alpha val="38000"/>
            </a:srgbClr>
          </a:outerShdw>
        </a:effectLst>
      </dsp:spPr>
      <dsp:style>
        <a:lnRef idx="1">
          <a:schemeClr val="accent1"/>
        </a:lnRef>
        <a:fillRef idx="2">
          <a:schemeClr val="accent1"/>
        </a:fillRef>
        <a:effectRef idx="1">
          <a:schemeClr val="accent1"/>
        </a:effectRef>
        <a:fontRef idx="minor">
          <a:schemeClr val="dk1"/>
        </a:fontRef>
      </dsp:style>
      <dsp:txBody>
        <a:bodyPr spcFirstLastPara="0" vert="horz" wrap="square" lIns="38100" tIns="38100" rIns="38100" bIns="38100" numCol="1" spcCol="1270" anchor="ctr" anchorCtr="0">
          <a:noAutofit/>
        </a:bodyPr>
        <a:lstStyle/>
        <a:p>
          <a:pPr marL="0" lvl="0" indent="0" algn="l" defTabSz="444500">
            <a:lnSpc>
              <a:spcPct val="90000"/>
            </a:lnSpc>
            <a:spcBef>
              <a:spcPct val="0"/>
            </a:spcBef>
            <a:spcAft>
              <a:spcPct val="35000"/>
            </a:spcAft>
            <a:buNone/>
          </a:pPr>
          <a:r>
            <a:rPr lang="en-AU" sz="1000" kern="1200">
              <a:solidFill>
                <a:sysClr val="windowText" lastClr="000000"/>
              </a:solidFill>
              <a:latin typeface="Calibri"/>
              <a:ea typeface="+mn-ea"/>
              <a:cs typeface="+mn-cs"/>
            </a:rPr>
            <a:t>Unregulated distribution services</a:t>
          </a:r>
        </a:p>
        <a:p>
          <a:pPr marL="0" lvl="0" indent="0" algn="l" defTabSz="444500">
            <a:lnSpc>
              <a:spcPct val="90000"/>
            </a:lnSpc>
            <a:spcBef>
              <a:spcPct val="0"/>
            </a:spcBef>
            <a:spcAft>
              <a:spcPct val="35000"/>
            </a:spcAft>
            <a:buNone/>
          </a:pPr>
          <a:endParaRPr lang="en-AU" sz="1000" kern="1200">
            <a:solidFill>
              <a:sysClr val="windowText" lastClr="000000"/>
            </a:solidFill>
            <a:latin typeface="Calibri"/>
            <a:ea typeface="+mn-ea"/>
            <a:cs typeface="+mn-cs"/>
          </a:endParaRPr>
        </a:p>
        <a:p>
          <a:pPr marL="0" lvl="0" indent="0" algn="l" defTabSz="444500">
            <a:lnSpc>
              <a:spcPct val="90000"/>
            </a:lnSpc>
            <a:spcBef>
              <a:spcPct val="0"/>
            </a:spcBef>
            <a:spcAft>
              <a:spcPct val="35000"/>
            </a:spcAft>
            <a:buNone/>
          </a:pPr>
          <a:endParaRPr lang="en-AU" sz="1000" kern="1200">
            <a:solidFill>
              <a:sysClr val="windowText" lastClr="000000"/>
            </a:solidFill>
            <a:latin typeface="Calibri"/>
            <a:ea typeface="+mn-ea"/>
            <a:cs typeface="+mn-cs"/>
          </a:endParaRPr>
        </a:p>
      </dsp:txBody>
      <dsp:txXfrm>
        <a:off x="4427693" y="1523745"/>
        <a:ext cx="1002483" cy="159798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4">
  <dgm:title val=""/>
  <dgm:desc val=""/>
  <dgm:catLst>
    <dgm:cat type="hierarchy" pri="4000"/>
    <dgm:cat type="list" pri="24000"/>
    <dgm:cat type="relationship" pri="10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Name0">
    <dgm:varLst>
      <dgm:chPref val="1"/>
      <dgm:dir/>
      <dgm:animOne val="branch"/>
      <dgm:animLvl val="lvl"/>
      <dgm:resizeHandles/>
    </dgm:varLst>
    <dgm:choose name="Name1">
      <dgm:if name="Name2" func="var" arg="dir" op="equ" val="norm">
        <dgm:alg type="lin">
          <dgm:param type="linDir" val="fromL"/>
          <dgm:param type="nodeVertAlign" val="t"/>
        </dgm:alg>
      </dgm:if>
      <dgm:else name="Name3">
        <dgm:alg type="lin">
          <dgm:param type="linDir" val="fromR"/>
          <dgm:param type="nodeVertAlign" val="t"/>
        </dgm:alg>
      </dgm:else>
    </dgm:choose>
    <dgm:shape xmlns:r="http://schemas.openxmlformats.org/officeDocument/2006/relationships" r:blip="">
      <dgm:adjLst/>
    </dgm:shape>
    <dgm:presOf/>
    <dgm:constrLst>
      <dgm:constr type="w" for="ch" forName="vertOne" refType="w"/>
      <dgm:constr type="w" for="des" forName="horzOne" refType="w"/>
      <dgm:constr type="w" for="des" forName="txOne" refType="w"/>
      <dgm:constr type="w" for="des" forName="vertTwo" refType="w"/>
      <dgm:constr type="w" for="des" forName="horzTwo" refType="w"/>
      <dgm:constr type="w" for="des" forName="txTwo" refType="w"/>
      <dgm:constr type="w" for="des" forName="vertThree" refType="w"/>
      <dgm:constr type="w" for="des" forName="horzThree" refType="w"/>
      <dgm:constr type="w" for="des" forName="txThree" refType="w"/>
      <dgm:constr type="w" for="des" forName="vertFour" refType="w"/>
      <dgm:constr type="w" for="des" forName="horzFour" refType="w"/>
      <dgm:constr type="w" for="des" forName="txFour" refType="w"/>
      <dgm:constr type="h" for="des" ptType="node" op="equ"/>
      <dgm:constr type="h" for="des" forName="txOne" refType="h"/>
      <dgm:constr type="userH" for="des" ptType="node" refType="h" refFor="des" refForName="txOne"/>
      <dgm:constr type="primFontSz" for="des" forName="txOne" val="65"/>
      <dgm:constr type="primFontSz" for="des" forName="txTwo" val="65"/>
      <dgm:constr type="primFontSz" for="des" forName="txTwo" refType="primFontSz" refFor="des" refForName="txOne" op="lte"/>
      <dgm:constr type="primFontSz" for="des" forName="txThree" val="65"/>
      <dgm:constr type="primFontSz" for="des" forName="txThree" refType="primFontSz" refFor="des" refForName="txOne" op="lte"/>
      <dgm:constr type="primFontSz" for="des" forName="txThree" refType="primFontSz" refFor="des" refForName="txTwo" op="lte"/>
      <dgm:constr type="primFontSz" for="des" forName="txFour" val="65"/>
      <dgm:constr type="primFontSz" for="des" forName="txFour" refType="primFontSz" refFor="des" refForName="txOne" op="lte"/>
      <dgm:constr type="primFontSz" for="des" forName="txFour" refType="primFontSz" refFor="des" refForName="txTwo" op="lte"/>
      <dgm:constr type="primFontSz" for="des" forName="txFour" refType="primFontSz" refFor="des" refForName="txThree" op="lte"/>
      <dgm:constr type="w" for="des" forName="sibSpaceOne" refType="w" fact="0.168"/>
      <dgm:constr type="w" for="des" forName="sibSpaceTwo" refType="w" refFor="des" refForName="sibSpaceOne" op="equ" fact="0.5"/>
      <dgm:constr type="w" for="des" forName="sibSpaceThree" refType="w" refFor="des" refForName="sibSpaceTwo" op="equ" fact="0.5"/>
      <dgm:constr type="w" for="des" forName="sibSpaceFour" refType="w" refFor="des" refForName="sibSpaceThree" op="equ" fact="0.5"/>
      <dgm:constr type="h" for="des" forName="parTransOne" refType="w" fact="0.056"/>
      <dgm:constr type="h" for="des" forName="parTransTwo" refType="h" refFor="des" refForName="parTransOne" op="equ"/>
      <dgm:constr type="h" for="des" forName="parTransThree" refType="h" refFor="des" refForName="parTransTwo" op="equ"/>
      <dgm:constr type="h" for="des" forName="parTransFour" refType="h" refFor="des" refForName="parTransThree" op="equ"/>
    </dgm:constrLst>
    <dgm:ruleLst/>
    <dgm:forEach name="Name4" axis="ch" ptType="node">
      <dgm:layoutNode name="vertOne">
        <dgm:alg type="lin">
          <dgm:param type="linDir" val="fromT"/>
        </dgm:alg>
        <dgm:shape xmlns:r="http://schemas.openxmlformats.org/officeDocument/2006/relationships" r:blip="">
          <dgm:adjLst/>
        </dgm:shape>
        <dgm:presOf/>
        <dgm:constrLst>
          <dgm:constr type="w" for="ch" forName="txOne" refType="w" refFor="ch" refForName="horzOne" op="gte"/>
        </dgm:constrLst>
        <dgm:ruleLst/>
        <dgm:layoutNode name="txOn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5">
          <dgm:if name="Name6" axis="des" ptType="node" func="cnt" op="gt" val="0">
            <dgm:layoutNode name="parTransOne">
              <dgm:alg type="sp"/>
              <dgm:shape xmlns:r="http://schemas.openxmlformats.org/officeDocument/2006/relationships" r:blip="">
                <dgm:adjLst/>
              </dgm:shape>
              <dgm:presOf/>
              <dgm:constrLst/>
              <dgm:ruleLst/>
            </dgm:layoutNode>
          </dgm:if>
          <dgm:else name="Name7"/>
        </dgm:choose>
        <dgm:layoutNode name="horzOne">
          <dgm:choose name="Name8">
            <dgm:if name="Name9" func="var" arg="dir" op="equ" val="norm">
              <dgm:alg type="lin">
                <dgm:param type="linDir" val="fromL"/>
                <dgm:param type="nodeVertAlign" val="t"/>
              </dgm:alg>
            </dgm:if>
            <dgm:else name="Name1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1" axis="ch" ptType="node">
            <dgm:layoutNode name="vertTwo">
              <dgm:alg type="lin">
                <dgm:param type="linDir" val="fromT"/>
              </dgm:alg>
              <dgm:shape xmlns:r="http://schemas.openxmlformats.org/officeDocument/2006/relationships" r:blip="">
                <dgm:adjLst/>
              </dgm:shape>
              <dgm:presOf/>
              <dgm:constrLst>
                <dgm:constr type="w" for="ch" forName="txTwo" refType="w" refFor="ch" refForName="horzTwo" op="gte"/>
              </dgm:constrLst>
              <dgm:ruleLst/>
              <dgm:layoutNode name="txTwo">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2">
                <dgm:if name="Name13" axis="des" ptType="node" func="cnt" op="gt" val="0">
                  <dgm:layoutNode name="parTransTwo">
                    <dgm:alg type="sp"/>
                    <dgm:shape xmlns:r="http://schemas.openxmlformats.org/officeDocument/2006/relationships" r:blip="">
                      <dgm:adjLst/>
                    </dgm:shape>
                    <dgm:presOf/>
                    <dgm:constrLst/>
                    <dgm:ruleLst/>
                  </dgm:layoutNode>
                </dgm:if>
                <dgm:else name="Name14"/>
              </dgm:choose>
              <dgm:layoutNode name="horzTwo">
                <dgm:choose name="Name15">
                  <dgm:if name="Name16" func="var" arg="dir" op="equ" val="norm">
                    <dgm:alg type="lin">
                      <dgm:param type="linDir" val="fromL"/>
                      <dgm:param type="nodeVertAlign" val="t"/>
                    </dgm:alg>
                  </dgm:if>
                  <dgm:else name="Name17">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18" axis="ch" ptType="node">
                  <dgm:layoutNode name="vertThree">
                    <dgm:alg type="lin">
                      <dgm:param type="linDir" val="fromT"/>
                    </dgm:alg>
                    <dgm:shape xmlns:r="http://schemas.openxmlformats.org/officeDocument/2006/relationships" r:blip="">
                      <dgm:adjLst/>
                    </dgm:shape>
                    <dgm:presOf/>
                    <dgm:constrLst>
                      <dgm:constr type="w" for="ch" forName="txThree" refType="w" refFor="ch" refForName="horzThree" op="gte"/>
                    </dgm:constrLst>
                    <dgm:ruleLst/>
                    <dgm:layoutNode name="txThree">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9">
                      <dgm:if name="Name20" axis="des" ptType="node" func="cnt" op="gt" val="0">
                        <dgm:layoutNode name="parTransThree">
                          <dgm:alg type="sp"/>
                          <dgm:shape xmlns:r="http://schemas.openxmlformats.org/officeDocument/2006/relationships" r:blip="">
                            <dgm:adjLst/>
                          </dgm:shape>
                          <dgm:presOf/>
                          <dgm:constrLst/>
                          <dgm:ruleLst/>
                        </dgm:layoutNode>
                      </dgm:if>
                      <dgm:else name="Name21"/>
                    </dgm:choose>
                    <dgm:layoutNode name="horzThree">
                      <dgm:choose name="Name22">
                        <dgm:if name="Name23" func="var" arg="dir" op="equ" val="norm">
                          <dgm:alg type="lin">
                            <dgm:param type="linDir" val="fromL"/>
                            <dgm:param type="nodeVertAlign" val="t"/>
                          </dgm:alg>
                        </dgm:if>
                        <dgm:else name="Name24">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repeat" axis="ch" ptType="node">
                        <dgm:layoutNode name="vertFour">
                          <dgm:varLst>
                            <dgm:chPref val="3"/>
                          </dgm:varLst>
                          <dgm:alg type="lin">
                            <dgm:param type="linDir" val="fromT"/>
                          </dgm:alg>
                          <dgm:shape xmlns:r="http://schemas.openxmlformats.org/officeDocument/2006/relationships" r:blip="">
                            <dgm:adjLst/>
                          </dgm:shape>
                          <dgm:presOf/>
                          <dgm:constrLst>
                            <dgm:constr type="w" for="ch" forName="txFour" refType="w" refFor="ch" refForName="horzFour" op="gte"/>
                          </dgm:constrLst>
                          <dgm:ruleLst/>
                          <dgm:layoutNode name="txFour">
                            <dgm:varLst>
                              <dgm:chPref val="3"/>
                            </dgm:varLst>
                            <dgm:alg type="tx"/>
                            <dgm:shape xmlns:r="http://schemas.openxmlformats.org/officeDocument/2006/relationships" type="roundRect" r:blip="">
                              <dgm:adjLst>
                                <dgm:adj idx="1" val="0.1"/>
                              </dgm:adjLst>
                            </dgm:shape>
                            <dgm:presOf axis="self"/>
                            <dgm:constrLst>
                              <dgm:constr type="userH"/>
                              <dgm:constr type="h" refType="userH"/>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25">
                            <dgm:if name="Name26" axis="des" ptType="node" func="cnt" op="gt" val="0">
                              <dgm:layoutNode name="parTransFour">
                                <dgm:alg type="sp"/>
                                <dgm:shape xmlns:r="http://schemas.openxmlformats.org/officeDocument/2006/relationships" r:blip="">
                                  <dgm:adjLst/>
                                </dgm:shape>
                                <dgm:presOf/>
                                <dgm:constrLst/>
                                <dgm:ruleLst/>
                              </dgm:layoutNode>
                            </dgm:if>
                            <dgm:else name="Name27"/>
                          </dgm:choose>
                          <dgm:layoutNode name="horzFour">
                            <dgm:choose name="Name28">
                              <dgm:if name="Name29" func="var" arg="dir" op="equ" val="norm">
                                <dgm:alg type="lin">
                                  <dgm:param type="linDir" val="fromL"/>
                                  <dgm:param type="nodeVertAlign" val="t"/>
                                </dgm:alg>
                              </dgm:if>
                              <dgm:else name="Name30">
                                <dgm:alg type="lin">
                                  <dgm:param type="linDir" val="fromR"/>
                                  <dgm:param type="nodeVertAlign" val="t"/>
                                </dgm:alg>
                              </dgm:else>
                            </dgm:choose>
                            <dgm:shape xmlns:r="http://schemas.openxmlformats.org/officeDocument/2006/relationships" r:blip="">
                              <dgm:adjLst/>
                            </dgm:shape>
                            <dgm:presOf/>
                            <dgm:constrLst/>
                            <dgm:ruleLst>
                              <dgm:rule type="w" val="INF" fact="NaN" max="NaN"/>
                            </dgm:ruleLst>
                            <dgm:forEach name="Name31" ref="repeat"/>
                          </dgm:layoutNode>
                        </dgm:layoutNode>
                        <dgm:choose name="Name32">
                          <dgm:if name="Name33" axis="self" ptType="node" func="revPos" op="gte" val="2">
                            <dgm:forEach name="Name34" axis="followSib" ptType="sibTrans" cnt="1">
                              <dgm:layoutNode name="sibSpaceFour">
                                <dgm:alg type="sp"/>
                                <dgm:shape xmlns:r="http://schemas.openxmlformats.org/officeDocument/2006/relationships" r:blip="">
                                  <dgm:adjLst/>
                                </dgm:shape>
                                <dgm:presOf/>
                                <dgm:constrLst/>
                                <dgm:ruleLst/>
                              </dgm:layoutNode>
                            </dgm:forEach>
                          </dgm:if>
                          <dgm:else name="Name35"/>
                        </dgm:choose>
                      </dgm:forEach>
                    </dgm:layoutNode>
                  </dgm:layoutNode>
                  <dgm:choose name="Name36">
                    <dgm:if name="Name37" axis="self" ptType="node" func="revPos" op="gte" val="2">
                      <dgm:forEach name="Name38" axis="followSib" ptType="sibTrans" cnt="1">
                        <dgm:layoutNode name="sibSpaceThree">
                          <dgm:alg type="sp"/>
                          <dgm:shape xmlns:r="http://schemas.openxmlformats.org/officeDocument/2006/relationships" r:blip="">
                            <dgm:adjLst/>
                          </dgm:shape>
                          <dgm:presOf/>
                          <dgm:constrLst/>
                          <dgm:ruleLst/>
                        </dgm:layoutNode>
                      </dgm:forEach>
                    </dgm:if>
                    <dgm:else name="Name39"/>
                  </dgm:choose>
                </dgm:forEach>
              </dgm:layoutNode>
            </dgm:layoutNode>
            <dgm:choose name="Name40">
              <dgm:if name="Name41" axis="self" ptType="node" func="revPos" op="gte" val="2">
                <dgm:forEach name="Name42" axis="followSib" ptType="sibTrans" cnt="1">
                  <dgm:layoutNode name="sibSpaceTwo">
                    <dgm:alg type="sp"/>
                    <dgm:shape xmlns:r="http://schemas.openxmlformats.org/officeDocument/2006/relationships" r:blip="">
                      <dgm:adjLst/>
                    </dgm:shape>
                    <dgm:presOf/>
                    <dgm:constrLst/>
                    <dgm:ruleLst/>
                  </dgm:layoutNode>
                </dgm:forEach>
              </dgm:if>
              <dgm:else name="Name43"/>
            </dgm:choose>
          </dgm:forEach>
        </dgm:layoutNode>
      </dgm:layoutNode>
      <dgm:choose name="Name44">
        <dgm:if name="Name45" axis="self" ptType="node" func="revPos" op="gte" val="2">
          <dgm:forEach name="Name46" axis="followSib" ptType="sibTrans" cnt="1">
            <dgm:layoutNode name="sibSpaceOne">
              <dgm:alg type="sp"/>
              <dgm:shape xmlns:r="http://schemas.openxmlformats.org/officeDocument/2006/relationships" r:blip="">
                <dgm:adjLst/>
              </dgm:shape>
              <dgm:presOf/>
              <dgm:constrLst/>
              <dgm:ruleLst/>
            </dgm:layoutNode>
          </dgm:forEach>
        </dgm:if>
        <dgm:else name="Name47"/>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8" Type="http://schemas.openxmlformats.org/officeDocument/2006/relationships/customXml" Target="../ink/ink4.xml"/><Relationship Id="rId13" Type="http://schemas.openxmlformats.org/officeDocument/2006/relationships/image" Target="../media/image17.png"/><Relationship Id="rId18" Type="http://schemas.openxmlformats.org/officeDocument/2006/relationships/customXml" Target="../ink/ink9.xml"/><Relationship Id="rId3" Type="http://schemas.openxmlformats.org/officeDocument/2006/relationships/image" Target="../media/image12.png"/><Relationship Id="rId21" Type="http://schemas.openxmlformats.org/officeDocument/2006/relationships/image" Target="../media/image21.png"/><Relationship Id="rId7" Type="http://schemas.openxmlformats.org/officeDocument/2006/relationships/image" Target="../media/image14.png"/><Relationship Id="rId12" Type="http://schemas.openxmlformats.org/officeDocument/2006/relationships/customXml" Target="../ink/ink6.xml"/><Relationship Id="rId17" Type="http://schemas.openxmlformats.org/officeDocument/2006/relationships/image" Target="../media/image19.png"/><Relationship Id="rId2" Type="http://schemas.openxmlformats.org/officeDocument/2006/relationships/customXml" Target="../ink/ink1.xml"/><Relationship Id="rId16" Type="http://schemas.openxmlformats.org/officeDocument/2006/relationships/customXml" Target="../ink/ink8.xml"/><Relationship Id="rId20" Type="http://schemas.openxmlformats.org/officeDocument/2006/relationships/customXml" Target="../ink/ink10.xml"/><Relationship Id="rId1" Type="http://schemas.openxmlformats.org/officeDocument/2006/relationships/chart" Target="../charts/chart26.xml"/><Relationship Id="rId6" Type="http://schemas.openxmlformats.org/officeDocument/2006/relationships/customXml" Target="../ink/ink3.xml"/><Relationship Id="rId11" Type="http://schemas.openxmlformats.org/officeDocument/2006/relationships/image" Target="../media/image16.png"/><Relationship Id="rId24" Type="http://schemas.openxmlformats.org/officeDocument/2006/relationships/customXml" Target="../ink/ink12.xml"/><Relationship Id="rId5" Type="http://schemas.openxmlformats.org/officeDocument/2006/relationships/image" Target="../media/image13.png"/><Relationship Id="rId15" Type="http://schemas.openxmlformats.org/officeDocument/2006/relationships/image" Target="../media/image18.png"/><Relationship Id="rId23" Type="http://schemas.openxmlformats.org/officeDocument/2006/relationships/image" Target="../media/image22.png"/><Relationship Id="rId10" Type="http://schemas.openxmlformats.org/officeDocument/2006/relationships/customXml" Target="../ink/ink5.xml"/><Relationship Id="rId19" Type="http://schemas.openxmlformats.org/officeDocument/2006/relationships/image" Target="../media/image20.png"/><Relationship Id="rId4" Type="http://schemas.openxmlformats.org/officeDocument/2006/relationships/customXml" Target="../ink/ink2.xml"/><Relationship Id="rId9" Type="http://schemas.openxmlformats.org/officeDocument/2006/relationships/image" Target="../media/image15.png"/><Relationship Id="rId14" Type="http://schemas.openxmlformats.org/officeDocument/2006/relationships/customXml" Target="../ink/ink7.xml"/><Relationship Id="rId22" Type="http://schemas.openxmlformats.org/officeDocument/2006/relationships/customXml" Target="../ink/ink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image" Target="../media/image24.png"/><Relationship Id="rId7" Type="http://schemas.openxmlformats.org/officeDocument/2006/relationships/image" Target="../media/image28.emf"/><Relationship Id="rId2" Type="http://schemas.openxmlformats.org/officeDocument/2006/relationships/image" Target="../media/image23.png"/><Relationship Id="rId1" Type="http://schemas.openxmlformats.org/officeDocument/2006/relationships/image" Target="../media/image11.jpe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9" Type="http://schemas.openxmlformats.org/officeDocument/2006/relationships/image" Target="../media/image29.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png"/><Relationship Id="rId4" Type="http://schemas.openxmlformats.org/officeDocument/2006/relationships/image" Target="../media/image33.emf"/></Relationships>
</file>

<file path=xl/drawings/_rels/drawing23.xml.rels><?xml version="1.0" encoding="UTF-8" standalone="yes"?>
<Relationships xmlns="http://schemas.openxmlformats.org/package/2006/relationships"><Relationship Id="rId8" Type="http://schemas.openxmlformats.org/officeDocument/2006/relationships/image" Target="../media/image36.emf"/><Relationship Id="rId13" Type="http://schemas.openxmlformats.org/officeDocument/2006/relationships/image" Target="../media/image39.png"/><Relationship Id="rId3" Type="http://schemas.openxmlformats.org/officeDocument/2006/relationships/diagramQuickStyle" Target="../diagrams/quickStyle1.xml"/><Relationship Id="rId7" Type="http://schemas.openxmlformats.org/officeDocument/2006/relationships/image" Target="../media/image35.emf"/><Relationship Id="rId12" Type="http://schemas.openxmlformats.org/officeDocument/2006/relationships/image" Target="../media/image38.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34.png"/><Relationship Id="rId11" Type="http://schemas.openxmlformats.org/officeDocument/2006/relationships/image" Target="../media/image37.jpeg"/><Relationship Id="rId5" Type="http://schemas.microsoft.com/office/2007/relationships/diagramDrawing" Target="../diagrams/drawing1.xml"/><Relationship Id="rId10" Type="http://schemas.openxmlformats.org/officeDocument/2006/relationships/chart" Target="../charts/chart34.xml"/><Relationship Id="rId4" Type="http://schemas.openxmlformats.org/officeDocument/2006/relationships/diagramColors" Target="../diagrams/colors1.xml"/><Relationship Id="rId9" Type="http://schemas.openxmlformats.org/officeDocument/2006/relationships/chart" Target="../charts/chart33.xml"/><Relationship Id="rId14" Type="http://schemas.openxmlformats.org/officeDocument/2006/relationships/image" Target="../media/image4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2.png"/><Relationship Id="rId7" Type="http://schemas.openxmlformats.org/officeDocument/2006/relationships/image" Target="../media/image39.png"/><Relationship Id="rId2" Type="http://schemas.openxmlformats.org/officeDocument/2006/relationships/image" Target="../media/image41.png"/><Relationship Id="rId1" Type="http://schemas.openxmlformats.org/officeDocument/2006/relationships/image" Target="../media/image34.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2" Type="http://schemas.openxmlformats.org/officeDocument/2006/relationships/image" Target="cid:image003.png@01D395B5.417481D0" TargetMode="Externa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emf"/><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238125</xdr:colOff>
      <xdr:row>3</xdr:row>
      <xdr:rowOff>66675</xdr:rowOff>
    </xdr:from>
    <xdr:to>
      <xdr:col>6</xdr:col>
      <xdr:colOff>247650</xdr:colOff>
      <xdr:row>9</xdr:row>
      <xdr:rowOff>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14325" t="12822" r="14313" b="16229"/>
        <a:stretch/>
      </xdr:blipFill>
      <xdr:spPr>
        <a:xfrm>
          <a:off x="771525" y="600075"/>
          <a:ext cx="2562225" cy="790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7</xdr:row>
      <xdr:rowOff>15240</xdr:rowOff>
    </xdr:from>
    <xdr:to>
      <xdr:col>13</xdr:col>
      <xdr:colOff>607695</xdr:colOff>
      <xdr:row>36</xdr:row>
      <xdr:rowOff>138430</xdr:rowOff>
    </xdr:to>
    <xdr:pic>
      <xdr:nvPicPr>
        <xdr:cNvPr id="20" name="Picture 19">
          <a:extLst>
            <a:ext uri="{FF2B5EF4-FFF2-40B4-BE49-F238E27FC236}">
              <a16:creationId xmlns:a16="http://schemas.microsoft.com/office/drawing/2014/main" id="{00000000-0008-0000-0C00-00001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57300"/>
          <a:ext cx="8513445" cy="487426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35</xdr:row>
      <xdr:rowOff>0</xdr:rowOff>
    </xdr:from>
    <xdr:to>
      <xdr:col>9</xdr:col>
      <xdr:colOff>33338</xdr:colOff>
      <xdr:row>52</xdr:row>
      <xdr:rowOff>64295</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238124</xdr:colOff>
      <xdr:row>7</xdr:row>
      <xdr:rowOff>0</xdr:rowOff>
    </xdr:from>
    <xdr:to>
      <xdr:col>9</xdr:col>
      <xdr:colOff>485774</xdr:colOff>
      <xdr:row>24</xdr:row>
      <xdr:rowOff>64295</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0.26303</cdr:x>
      <cdr:y>0.23932</cdr:y>
    </cdr:from>
    <cdr:to>
      <cdr:x>0.38719</cdr:x>
      <cdr:y>0.33913</cdr:y>
    </cdr:to>
    <cdr:sp macro="" textlink="">
      <cdr:nvSpPr>
        <cdr:cNvPr id="2" name="TextBox 1">
          <a:extLst xmlns:a="http://schemas.openxmlformats.org/drawingml/2006/main">
            <a:ext uri="{FF2B5EF4-FFF2-40B4-BE49-F238E27FC236}">
              <a16:creationId xmlns:a16="http://schemas.microsoft.com/office/drawing/2014/main" id="{DF15CF13-4494-463A-8E1F-EA7162A2FE37}"/>
            </a:ext>
          </a:extLst>
        </cdr:cNvPr>
        <cdr:cNvSpPr txBox="1"/>
      </cdr:nvSpPr>
      <cdr:spPr>
        <a:xfrm xmlns:a="http://schemas.openxmlformats.org/drawingml/2006/main" rot="1500452">
          <a:off x="1434235" y="699250"/>
          <a:ext cx="677009" cy="2916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b="1"/>
            <a:t>Demand</a:t>
          </a:r>
        </a:p>
      </cdr:txBody>
    </cdr:sp>
  </cdr:relSizeAnchor>
  <cdr:relSizeAnchor xmlns:cdr="http://schemas.openxmlformats.org/drawingml/2006/chartDrawing">
    <cdr:from>
      <cdr:x>0.80364</cdr:x>
      <cdr:y>0.45906</cdr:y>
    </cdr:from>
    <cdr:to>
      <cdr:x>0.85713</cdr:x>
      <cdr:y>0.68092</cdr:y>
    </cdr:to>
    <cdr:sp macro="" textlink="">
      <cdr:nvSpPr>
        <cdr:cNvPr id="3" name="TextBox 1">
          <a:extLst xmlns:a="http://schemas.openxmlformats.org/drawingml/2006/main">
            <a:ext uri="{FF2B5EF4-FFF2-40B4-BE49-F238E27FC236}">
              <a16:creationId xmlns:a16="http://schemas.microsoft.com/office/drawing/2014/main" id="{F00FE922-E65A-4AE4-AC85-D09019B469F3}"/>
            </a:ext>
          </a:extLst>
        </cdr:cNvPr>
        <cdr:cNvSpPr txBox="1"/>
      </cdr:nvSpPr>
      <cdr:spPr>
        <a:xfrm xmlns:a="http://schemas.openxmlformats.org/drawingml/2006/main" rot="16200000">
          <a:off x="4203795" y="1519556"/>
          <a:ext cx="648229" cy="2916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AU" sz="1100" b="1">
              <a:solidFill>
                <a:schemeClr val="bg1"/>
              </a:solidFill>
            </a:rPr>
            <a:t>Energy</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0</xdr:colOff>
      <xdr:row>72</xdr:row>
      <xdr:rowOff>0</xdr:rowOff>
    </xdr:from>
    <xdr:to>
      <xdr:col>10</xdr:col>
      <xdr:colOff>12887</xdr:colOff>
      <xdr:row>91</xdr:row>
      <xdr:rowOff>127468</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138</xdr:row>
      <xdr:rowOff>0</xdr:rowOff>
    </xdr:from>
    <xdr:to>
      <xdr:col>10</xdr:col>
      <xdr:colOff>12887</xdr:colOff>
      <xdr:row>157</xdr:row>
      <xdr:rowOff>127467</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100</xdr:row>
      <xdr:rowOff>0</xdr:rowOff>
    </xdr:from>
    <xdr:to>
      <xdr:col>10</xdr:col>
      <xdr:colOff>12887</xdr:colOff>
      <xdr:row>119</xdr:row>
      <xdr:rowOff>127468</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178</xdr:row>
      <xdr:rowOff>0</xdr:rowOff>
    </xdr:from>
    <xdr:to>
      <xdr:col>10</xdr:col>
      <xdr:colOff>12887</xdr:colOff>
      <xdr:row>197</xdr:row>
      <xdr:rowOff>127467</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205</xdr:row>
      <xdr:rowOff>0</xdr:rowOff>
    </xdr:from>
    <xdr:to>
      <xdr:col>10</xdr:col>
      <xdr:colOff>12887</xdr:colOff>
      <xdr:row>224</xdr:row>
      <xdr:rowOff>127468</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63</xdr:row>
      <xdr:rowOff>0</xdr:rowOff>
    </xdr:from>
    <xdr:to>
      <xdr:col>9</xdr:col>
      <xdr:colOff>550333</xdr:colOff>
      <xdr:row>82</xdr:row>
      <xdr:rowOff>133703</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2117</xdr:colOff>
      <xdr:row>14</xdr:row>
      <xdr:rowOff>0</xdr:rowOff>
    </xdr:from>
    <xdr:to>
      <xdr:col>9</xdr:col>
      <xdr:colOff>552450</xdr:colOff>
      <xdr:row>33</xdr:row>
      <xdr:rowOff>133704</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0.76915</cdr:x>
      <cdr:y>0.52607</cdr:y>
    </cdr:from>
    <cdr:to>
      <cdr:x>0.82329</cdr:x>
      <cdr:y>0.64188</cdr:y>
    </cdr:to>
    <cdr:sp macro="" textlink="">
      <cdr:nvSpPr>
        <cdr:cNvPr id="4" name="Arrow: Down 3">
          <a:extLst xmlns:a="http://schemas.openxmlformats.org/drawingml/2006/main">
            <a:ext uri="{FF2B5EF4-FFF2-40B4-BE49-F238E27FC236}">
              <a16:creationId xmlns:a16="http://schemas.microsoft.com/office/drawing/2014/main" id="{DD8EE952-00CD-469E-A9EC-137ECC18F3AE}"/>
            </a:ext>
          </a:extLst>
        </cdr:cNvPr>
        <cdr:cNvSpPr/>
      </cdr:nvSpPr>
      <cdr:spPr>
        <a:xfrm xmlns:a="http://schemas.openxmlformats.org/drawingml/2006/main" rot="5400000">
          <a:off x="4188578" y="1767200"/>
          <a:ext cx="379968" cy="297768"/>
        </a:xfrm>
        <a:prstGeom xmlns:a="http://schemas.openxmlformats.org/drawingml/2006/main" prst="downArrow">
          <a:avLst/>
        </a:prstGeom>
        <a:solidFill xmlns:a="http://schemas.openxmlformats.org/drawingml/2006/main">
          <a:schemeClr val="accent1">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0.81817</cdr:x>
      <cdr:y>0.52564</cdr:y>
    </cdr:from>
    <cdr:to>
      <cdr:x>1</cdr:x>
      <cdr:y>0.82546</cdr:y>
    </cdr:to>
    <cdr:sp macro="" textlink="">
      <cdr:nvSpPr>
        <cdr:cNvPr id="5" name="TextBox 4">
          <a:extLst xmlns:a="http://schemas.openxmlformats.org/drawingml/2006/main">
            <a:ext uri="{FF2B5EF4-FFF2-40B4-BE49-F238E27FC236}">
              <a16:creationId xmlns:a16="http://schemas.microsoft.com/office/drawing/2014/main" id="{DF0C38CA-EE58-494D-913E-37F256D63E74}"/>
            </a:ext>
          </a:extLst>
        </cdr:cNvPr>
        <cdr:cNvSpPr txBox="1"/>
      </cdr:nvSpPr>
      <cdr:spPr>
        <a:xfrm xmlns:a="http://schemas.openxmlformats.org/drawingml/2006/main">
          <a:off x="4499267" y="1724687"/>
          <a:ext cx="999925" cy="983725"/>
        </a:xfrm>
        <a:prstGeom xmlns:a="http://schemas.openxmlformats.org/drawingml/2006/main" prst="rect">
          <a:avLst/>
        </a:prstGeom>
      </cdr:spPr>
      <cdr:txBody>
        <a:bodyPr xmlns:a="http://schemas.openxmlformats.org/drawingml/2006/main" vertOverflow="clip" horzOverflow="clip" wrap="square" rtlCol="0"/>
        <a:lstStyle xmlns:a="http://schemas.openxmlformats.org/drawingml/2006/main"/>
        <a:p xmlns:a="http://schemas.openxmlformats.org/drawingml/2006/main">
          <a:r>
            <a:rPr lang="en-AU" sz="1100"/>
            <a:t>Base opex reflects a 10%</a:t>
          </a:r>
          <a:r>
            <a:rPr lang="en-AU" sz="1100" baseline="0"/>
            <a:t> efficiency adjustment of $7M per year</a:t>
          </a:r>
          <a:endParaRPr lang="en-AU" sz="1100"/>
        </a:p>
      </cdr:txBody>
    </cdr:sp>
  </cdr:relSizeAnchor>
</c:userShapes>
</file>

<file path=xl/drawings/drawing16.xml><?xml version="1.0" encoding="utf-8"?>
<xdr:wsDr xmlns:xdr="http://schemas.openxmlformats.org/drawingml/2006/spreadsheetDrawing" xmlns:a="http://schemas.openxmlformats.org/drawingml/2006/main">
  <xdr:twoCellAnchor>
    <xdr:from>
      <xdr:col>3</xdr:col>
      <xdr:colOff>0</xdr:colOff>
      <xdr:row>21</xdr:row>
      <xdr:rowOff>0</xdr:rowOff>
    </xdr:from>
    <xdr:to>
      <xdr:col>9</xdr:col>
      <xdr:colOff>517432</xdr:colOff>
      <xdr:row>40</xdr:row>
      <xdr:rowOff>0</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0.16709</cdr:x>
      <cdr:y>0.94728</cdr:y>
    </cdr:from>
    <cdr:to>
      <cdr:x>0.29958</cdr:x>
      <cdr:y>0.99741</cdr:y>
    </cdr:to>
    <cdr:sp macro="" textlink="">
      <cdr:nvSpPr>
        <cdr:cNvPr id="2" name="Rectangle 1">
          <a:extLst xmlns:a="http://schemas.openxmlformats.org/drawingml/2006/main">
            <a:ext uri="{FF2B5EF4-FFF2-40B4-BE49-F238E27FC236}">
              <a16:creationId xmlns:a16="http://schemas.microsoft.com/office/drawing/2014/main" id="{9C0306E9-DCC9-494C-8FAA-0CDD7973F81C}"/>
            </a:ext>
          </a:extLst>
        </cdr:cNvPr>
        <cdr:cNvSpPr/>
      </cdr:nvSpPr>
      <cdr:spPr>
        <a:xfrm xmlns:a="http://schemas.openxmlformats.org/drawingml/2006/main">
          <a:off x="946896" y="3070412"/>
          <a:ext cx="750795" cy="16248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3</xdr:col>
      <xdr:colOff>0</xdr:colOff>
      <xdr:row>62</xdr:row>
      <xdr:rowOff>0</xdr:rowOff>
    </xdr:from>
    <xdr:to>
      <xdr:col>14</xdr:col>
      <xdr:colOff>114300</xdr:colOff>
      <xdr:row>90</xdr:row>
      <xdr:rowOff>95250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44</xdr:row>
      <xdr:rowOff>0</xdr:rowOff>
    </xdr:from>
    <xdr:to>
      <xdr:col>8</xdr:col>
      <xdr:colOff>371475</xdr:colOff>
      <xdr:row>58</xdr:row>
      <xdr:rowOff>152400</xdr:rowOff>
    </xdr:to>
    <xdr:grpSp>
      <xdr:nvGrpSpPr>
        <xdr:cNvPr id="4" name="Canvas 145">
          <a:extLst>
            <a:ext uri="{FF2B5EF4-FFF2-40B4-BE49-F238E27FC236}">
              <a16:creationId xmlns:a16="http://schemas.microsoft.com/office/drawing/2014/main" id="{00000000-0008-0000-2200-000004000000}"/>
            </a:ext>
          </a:extLst>
        </xdr:cNvPr>
        <xdr:cNvGrpSpPr/>
      </xdr:nvGrpSpPr>
      <xdr:grpSpPr>
        <a:xfrm>
          <a:off x="708660" y="7254240"/>
          <a:ext cx="4733925" cy="2446020"/>
          <a:chOff x="0" y="0"/>
          <a:chExt cx="4743450" cy="2486025"/>
        </a:xfrm>
      </xdr:grpSpPr>
      <xdr:sp macro="" textlink="">
        <xdr:nvSpPr>
          <xdr:cNvPr id="5" name="Rectangle 4">
            <a:extLst>
              <a:ext uri="{FF2B5EF4-FFF2-40B4-BE49-F238E27FC236}">
                <a16:creationId xmlns:a16="http://schemas.microsoft.com/office/drawing/2014/main" id="{00000000-0008-0000-2200-000005000000}"/>
              </a:ext>
            </a:extLst>
          </xdr:cNvPr>
          <xdr:cNvSpPr/>
        </xdr:nvSpPr>
        <xdr:spPr>
          <a:xfrm>
            <a:off x="0" y="0"/>
            <a:ext cx="4743450" cy="2486025"/>
          </a:xfrm>
          <a:prstGeom prst="rect">
            <a:avLst/>
          </a:prstGeom>
        </xdr:spPr>
      </xdr:sp>
      <xdr:sp macro="" textlink="">
        <xdr:nvSpPr>
          <xdr:cNvPr id="6" name="Freeform: Shape 5">
            <a:extLst>
              <a:ext uri="{FF2B5EF4-FFF2-40B4-BE49-F238E27FC236}">
                <a16:creationId xmlns:a16="http://schemas.microsoft.com/office/drawing/2014/main" id="{00000000-0008-0000-2200-000006000000}"/>
              </a:ext>
            </a:extLst>
          </xdr:cNvPr>
          <xdr:cNvSpPr/>
        </xdr:nvSpPr>
        <xdr:spPr>
          <a:xfrm>
            <a:off x="185021" y="102494"/>
            <a:ext cx="4386985" cy="2084974"/>
          </a:xfrm>
          <a:custGeom>
            <a:avLst/>
            <a:gdLst>
              <a:gd name="connsiteX0" fmla="*/ 0 w 4386985"/>
              <a:gd name="connsiteY0" fmla="*/ 0 h 2084974"/>
              <a:gd name="connsiteX1" fmla="*/ 0 w 4386985"/>
              <a:gd name="connsiteY1" fmla="*/ 2084974 h 2084974"/>
              <a:gd name="connsiteX2" fmla="*/ 4386985 w 4386985"/>
              <a:gd name="connsiteY2" fmla="*/ 2084974 h 2084974"/>
            </a:gdLst>
            <a:ahLst/>
            <a:cxnLst>
              <a:cxn ang="0">
                <a:pos x="connsiteX0" y="connsiteY0"/>
              </a:cxn>
              <a:cxn ang="0">
                <a:pos x="connsiteX1" y="connsiteY1"/>
              </a:cxn>
              <a:cxn ang="0">
                <a:pos x="connsiteX2" y="connsiteY2"/>
              </a:cxn>
            </a:cxnLst>
            <a:rect l="l" t="t" r="r" b="b"/>
            <a:pathLst>
              <a:path w="4386985" h="2084974">
                <a:moveTo>
                  <a:pt x="0" y="0"/>
                </a:moveTo>
                <a:lnTo>
                  <a:pt x="0" y="2084974"/>
                </a:lnTo>
                <a:lnTo>
                  <a:pt x="4386985" y="2084974"/>
                </a:lnTo>
              </a:path>
            </a:pathLst>
          </a:custGeom>
          <a:noFill/>
          <a:ln>
            <a:solidFill>
              <a:srgbClr val="0070C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xnSp macro="">
        <xdr:nvCxnSpPr>
          <xdr:cNvPr id="7" name="Straight Connector 6">
            <a:extLst>
              <a:ext uri="{FF2B5EF4-FFF2-40B4-BE49-F238E27FC236}">
                <a16:creationId xmlns:a16="http://schemas.microsoft.com/office/drawing/2014/main" id="{00000000-0008-0000-2200-000007000000}"/>
              </a:ext>
            </a:extLst>
          </xdr:cNvPr>
          <xdr:cNvCxnSpPr/>
        </xdr:nvCxnSpPr>
        <xdr:spPr>
          <a:xfrm>
            <a:off x="882384" y="1336172"/>
            <a:ext cx="0" cy="851295"/>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2200-000008000000}"/>
              </a:ext>
            </a:extLst>
          </xdr:cNvPr>
          <xdr:cNvCxnSpPr/>
        </xdr:nvCxnSpPr>
        <xdr:spPr>
          <a:xfrm>
            <a:off x="2070749" y="1464391"/>
            <a:ext cx="0" cy="72307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2200-000009000000}"/>
              </a:ext>
            </a:extLst>
          </xdr:cNvPr>
          <xdr:cNvCxnSpPr/>
        </xdr:nvCxnSpPr>
        <xdr:spPr>
          <a:xfrm>
            <a:off x="3258834" y="1011662"/>
            <a:ext cx="0" cy="117580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Text Box 125">
            <a:extLst>
              <a:ext uri="{FF2B5EF4-FFF2-40B4-BE49-F238E27FC236}">
                <a16:creationId xmlns:a16="http://schemas.microsoft.com/office/drawing/2014/main" id="{00000000-0008-0000-2200-00000A000000}"/>
              </a:ext>
            </a:extLst>
          </xdr:cNvPr>
          <xdr:cNvSpPr txBox="1"/>
        </xdr:nvSpPr>
        <xdr:spPr>
          <a:xfrm rot="16200000">
            <a:off x="-488327" y="708231"/>
            <a:ext cx="1177691" cy="20102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808080"/>
                </a:solidFill>
                <a:effectLst/>
                <a:latin typeface="Calibri" panose="020F0502020204030204" pitchFamily="34" charset="0"/>
                <a:ea typeface="Times New Roman" panose="02020603050405020304" pitchFamily="18" charset="0"/>
                <a:cs typeface="Times New Roman" panose="02020603050405020304" pitchFamily="18" charset="0"/>
              </a:rPr>
              <a:t>Return on debt</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11" name="Text Box 20">
            <a:extLst>
              <a:ext uri="{FF2B5EF4-FFF2-40B4-BE49-F238E27FC236}">
                <a16:creationId xmlns:a16="http://schemas.microsoft.com/office/drawing/2014/main" id="{00000000-0008-0000-2200-00000B000000}"/>
              </a:ext>
            </a:extLst>
          </xdr:cNvPr>
          <xdr:cNvSpPr txBox="1"/>
        </xdr:nvSpPr>
        <xdr:spPr>
          <a:xfrm>
            <a:off x="3330673" y="2221565"/>
            <a:ext cx="11772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Time</a:t>
            </a:r>
            <a:endParaRPr lang="en-AU" sz="1200">
              <a:effectLst/>
              <a:latin typeface="Times New Roman" panose="02020603050405020304" pitchFamily="18" charset="0"/>
              <a:ea typeface="Times New Roman" panose="02020603050405020304" pitchFamily="18" charset="0"/>
            </a:endParaRPr>
          </a:p>
        </xdr:txBody>
      </xdr:sp>
      <xdr:sp macro="" textlink="">
        <xdr:nvSpPr>
          <xdr:cNvPr id="12" name="Text Box 20">
            <a:extLst>
              <a:ext uri="{FF2B5EF4-FFF2-40B4-BE49-F238E27FC236}">
                <a16:creationId xmlns:a16="http://schemas.microsoft.com/office/drawing/2014/main" id="{00000000-0008-0000-2200-00000C000000}"/>
              </a:ext>
            </a:extLst>
          </xdr:cNvPr>
          <xdr:cNvSpPr txBox="1"/>
        </xdr:nvSpPr>
        <xdr:spPr>
          <a:xfrm>
            <a:off x="1126427" y="1971120"/>
            <a:ext cx="695262"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1</a:t>
            </a:r>
            <a:endParaRPr lang="en-AU" sz="1200">
              <a:effectLst/>
              <a:latin typeface="Times New Roman" panose="02020603050405020304" pitchFamily="18" charset="0"/>
              <a:ea typeface="Times New Roman" panose="02020603050405020304" pitchFamily="18" charset="0"/>
            </a:endParaRPr>
          </a:p>
        </xdr:txBody>
      </xdr:sp>
      <xdr:sp macro="" textlink="">
        <xdr:nvSpPr>
          <xdr:cNvPr id="13" name="Text Box 20">
            <a:extLst>
              <a:ext uri="{FF2B5EF4-FFF2-40B4-BE49-F238E27FC236}">
                <a16:creationId xmlns:a16="http://schemas.microsoft.com/office/drawing/2014/main" id="{00000000-0008-0000-2200-00000D000000}"/>
              </a:ext>
            </a:extLst>
          </xdr:cNvPr>
          <xdr:cNvSpPr txBox="1"/>
        </xdr:nvSpPr>
        <xdr:spPr>
          <a:xfrm>
            <a:off x="2343255" y="1971120"/>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2</a:t>
            </a:r>
            <a:endParaRPr lang="en-AU" sz="1200">
              <a:effectLst/>
              <a:latin typeface="Times New Roman" panose="02020603050405020304" pitchFamily="18" charset="0"/>
              <a:ea typeface="Times New Roman" panose="02020603050405020304" pitchFamily="18" charset="0"/>
            </a:endParaRPr>
          </a:p>
        </xdr:txBody>
      </xdr:sp>
      <xdr:sp macro="" textlink="">
        <xdr:nvSpPr>
          <xdr:cNvPr id="15" name="Text Box 20">
            <a:extLst>
              <a:ext uri="{FF2B5EF4-FFF2-40B4-BE49-F238E27FC236}">
                <a16:creationId xmlns:a16="http://schemas.microsoft.com/office/drawing/2014/main" id="{00000000-0008-0000-2200-00000F000000}"/>
              </a:ext>
            </a:extLst>
          </xdr:cNvPr>
          <xdr:cNvSpPr txBox="1"/>
        </xdr:nvSpPr>
        <xdr:spPr>
          <a:xfrm>
            <a:off x="3531619" y="1987453"/>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3</a:t>
            </a:r>
            <a:endParaRPr lang="en-AU" sz="1200">
              <a:effectLst/>
              <a:latin typeface="Times New Roman" panose="02020603050405020304" pitchFamily="18" charset="0"/>
              <a:ea typeface="Times New Roman" panose="02020603050405020304" pitchFamily="18" charset="0"/>
            </a:endParaRPr>
          </a:p>
        </xdr:txBody>
      </xdr:sp>
      <xdr:sp macro="" textlink="">
        <xdr:nvSpPr>
          <xdr:cNvPr id="16" name="Text Box 20">
            <a:extLst>
              <a:ext uri="{FF2B5EF4-FFF2-40B4-BE49-F238E27FC236}">
                <a16:creationId xmlns:a16="http://schemas.microsoft.com/office/drawing/2014/main" id="{00000000-0008-0000-2200-000010000000}"/>
              </a:ext>
            </a:extLst>
          </xdr:cNvPr>
          <xdr:cNvSpPr txBox="1"/>
        </xdr:nvSpPr>
        <xdr:spPr>
          <a:xfrm rot="545039">
            <a:off x="1046956" y="1333731"/>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17" name="Text Box 20">
            <a:extLst>
              <a:ext uri="{FF2B5EF4-FFF2-40B4-BE49-F238E27FC236}">
                <a16:creationId xmlns:a16="http://schemas.microsoft.com/office/drawing/2014/main" id="{00000000-0008-0000-2200-000011000000}"/>
              </a:ext>
            </a:extLst>
          </xdr:cNvPr>
          <xdr:cNvSpPr txBox="1"/>
        </xdr:nvSpPr>
        <xdr:spPr>
          <a:xfrm rot="18018385">
            <a:off x="199859" y="1644552"/>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Prevailing</a:t>
            </a:r>
            <a:endParaRPr lang="en-AU" sz="1200">
              <a:effectLst/>
              <a:latin typeface="Times New Roman" panose="02020603050405020304" pitchFamily="18" charset="0"/>
              <a:ea typeface="Times New Roman" panose="02020603050405020304" pitchFamily="18" charset="0"/>
            </a:endParaRPr>
          </a:p>
        </xdr:txBody>
      </xdr:sp>
      <mc:AlternateContent xmlns:mc="http://schemas.openxmlformats.org/markup-compatibility/2006" xmlns:xdr14="http://schemas.microsoft.com/office/excel/2010/spreadsheetDrawing">
        <mc:Choice Requires="xdr14">
          <xdr14:contentPart xmlns:r="http://schemas.openxmlformats.org/officeDocument/2006/relationships" r:id="rId2">
            <xdr14:nvContentPartPr>
              <xdr14:cNvPr id="18" name="Ink 17">
                <a:extLst>
                  <a:ext uri="{FF2B5EF4-FFF2-40B4-BE49-F238E27FC236}">
                    <a16:creationId xmlns:a16="http://schemas.microsoft.com/office/drawing/2014/main" id="{00000000-0008-0000-2200-000012000000}"/>
                  </a:ext>
                </a:extLst>
              </xdr14:cNvPr>
              <xdr14:cNvContentPartPr/>
            </xdr14:nvContentPartPr>
            <xdr14:nvPr macro=""/>
            <xdr14:xfrm>
              <a:off x="387707" y="956324"/>
              <a:ext cx="4120256" cy="907436"/>
            </xdr14:xfrm>
          </xdr14:contentPart>
        </mc:Choice>
        <mc:Fallback xmlns="">
          <xdr:pic>
            <xdr:nvPicPr>
              <xdr:cNvPr id="18" name="Ink 17">
                <a:extLst>
                  <a:ext uri="{FF2B5EF4-FFF2-40B4-BE49-F238E27FC236}">
                    <a16:creationId xmlns:a16="http://schemas.microsoft.com/office/drawing/2014/main" id="{A89D38ED-8295-428B-92BF-0F5A9355A683}"/>
                  </a:ext>
                </a:extLst>
              </xdr:cNvPr>
              <xdr:cNvPicPr/>
            </xdr:nvPicPr>
            <xdr:blipFill>
              <a:blip xmlns:r="http://schemas.openxmlformats.org/officeDocument/2006/relationships" r:embed="rId3"/>
              <a:stretch>
                <a:fillRect/>
              </a:stretch>
            </xdr:blipFill>
            <xdr:spPr>
              <a:xfrm>
                <a:off x="368627" y="937239"/>
                <a:ext cx="4158057" cy="945246"/>
              </a:xfrm>
              <a:prstGeom prst="rect">
                <a:avLst/>
              </a:prstGeom>
            </xdr:spPr>
          </xdr:pic>
        </mc:Fallback>
      </mc:AlternateContent>
      <xdr:sp macro="" textlink="">
        <xdr:nvSpPr>
          <xdr:cNvPr id="19" name="Text Box 81">
            <a:extLst>
              <a:ext uri="{FF2B5EF4-FFF2-40B4-BE49-F238E27FC236}">
                <a16:creationId xmlns:a16="http://schemas.microsoft.com/office/drawing/2014/main" id="{00000000-0008-0000-2200-000013000000}"/>
              </a:ext>
            </a:extLst>
          </xdr:cNvPr>
          <xdr:cNvSpPr txBox="1"/>
        </xdr:nvSpPr>
        <xdr:spPr>
          <a:xfrm>
            <a:off x="314808" y="66284"/>
            <a:ext cx="2960370" cy="62674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a:spcAft>
                <a:spcPts val="0"/>
              </a:spcAft>
            </a:pPr>
            <a:r>
              <a:rPr lang="en-AU" sz="800" i="1">
                <a:effectLst/>
                <a:latin typeface="Calibri" panose="020F0502020204030204" pitchFamily="34" charset="0"/>
                <a:ea typeface="Times New Roman" panose="02020603050405020304" pitchFamily="18" charset="0"/>
              </a:rPr>
              <a:t>A firm that does not hedge – and instead incurs a trailing average cost – will have the opportunity to recover its actual costs by aligning with the trailing average allowance (green line).  Unlike example 1, consumers will face a much smoother price path as tariffs are updated annually to reference changes in the trailing average.</a:t>
            </a:r>
            <a:endParaRPr lang="en-AU" sz="1200">
              <a:effectLst/>
              <a:latin typeface="Times New Roman" panose="02020603050405020304" pitchFamily="18" charset="0"/>
              <a:ea typeface="Times New Roman" panose="02020603050405020304" pitchFamily="18" charset="0"/>
            </a:endParaRPr>
          </a:p>
        </xdr:txBody>
      </xdr:sp>
      <mc:AlternateContent xmlns:mc="http://schemas.openxmlformats.org/markup-compatibility/2006" xmlns:xdr14="http://schemas.microsoft.com/office/excel/2010/spreadsheetDrawing">
        <mc:Choice Requires="xdr14">
          <xdr14:contentPart xmlns:r="http://schemas.openxmlformats.org/officeDocument/2006/relationships" r:id="rId4">
            <xdr14:nvContentPartPr>
              <xdr14:cNvPr id="20" name="Ink 19">
                <a:extLst>
                  <a:ext uri="{FF2B5EF4-FFF2-40B4-BE49-F238E27FC236}">
                    <a16:creationId xmlns:a16="http://schemas.microsoft.com/office/drawing/2014/main" id="{00000000-0008-0000-2200-000014000000}"/>
                  </a:ext>
                </a:extLst>
              </xdr14:cNvPr>
              <xdr14:cNvContentPartPr/>
            </xdr14:nvContentPartPr>
            <xdr14:nvPr macro=""/>
            <xdr14:xfrm>
              <a:off x="359786" y="1299257"/>
              <a:ext cx="4119880" cy="238125"/>
            </xdr14:xfrm>
          </xdr14:contentPart>
        </mc:Choice>
        <mc:Fallback xmlns="">
          <xdr:pic>
            <xdr:nvPicPr>
              <xdr:cNvPr id="20" name="Ink 19">
                <a:extLst>
                  <a:ext uri="{FF2B5EF4-FFF2-40B4-BE49-F238E27FC236}">
                    <a16:creationId xmlns:a16="http://schemas.microsoft.com/office/drawing/2014/main" id="{2C5F00B2-6103-4302-B770-9B7E76727B43}"/>
                  </a:ext>
                </a:extLst>
              </xdr:cNvPr>
              <xdr:cNvPicPr/>
            </xdr:nvPicPr>
            <xdr:blipFill>
              <a:blip xmlns:r="http://schemas.openxmlformats.org/officeDocument/2006/relationships" r:embed="rId5"/>
              <a:stretch>
                <a:fillRect/>
              </a:stretch>
            </xdr:blipFill>
            <xdr:spPr>
              <a:xfrm>
                <a:off x="340706" y="1280164"/>
                <a:ext cx="4157680" cy="275951"/>
              </a:xfrm>
              <a:prstGeom prst="rect">
                <a:avLst/>
              </a:prstGeom>
            </xdr:spPr>
          </xdr:pic>
        </mc:Fallback>
      </mc:AlternateContent>
    </xdr:grpSp>
    <xdr:clientData/>
  </xdr:twoCellAnchor>
  <xdr:twoCellAnchor>
    <xdr:from>
      <xdr:col>3</xdr:col>
      <xdr:colOff>0</xdr:colOff>
      <xdr:row>25</xdr:row>
      <xdr:rowOff>0</xdr:rowOff>
    </xdr:from>
    <xdr:to>
      <xdr:col>8</xdr:col>
      <xdr:colOff>371475</xdr:colOff>
      <xdr:row>41</xdr:row>
      <xdr:rowOff>35560</xdr:rowOff>
    </xdr:to>
    <xdr:grpSp>
      <xdr:nvGrpSpPr>
        <xdr:cNvPr id="50" name="Canvas 113">
          <a:extLst>
            <a:ext uri="{FF2B5EF4-FFF2-40B4-BE49-F238E27FC236}">
              <a16:creationId xmlns:a16="http://schemas.microsoft.com/office/drawing/2014/main" id="{00000000-0008-0000-2200-000032000000}"/>
            </a:ext>
          </a:extLst>
        </xdr:cNvPr>
        <xdr:cNvGrpSpPr/>
      </xdr:nvGrpSpPr>
      <xdr:grpSpPr>
        <a:xfrm>
          <a:off x="708660" y="4141470"/>
          <a:ext cx="4733925" cy="2656840"/>
          <a:chOff x="0" y="0"/>
          <a:chExt cx="4743450" cy="2702560"/>
        </a:xfrm>
      </xdr:grpSpPr>
      <xdr:sp macro="" textlink="">
        <xdr:nvSpPr>
          <xdr:cNvPr id="51" name="Rectangle 50">
            <a:extLst>
              <a:ext uri="{FF2B5EF4-FFF2-40B4-BE49-F238E27FC236}">
                <a16:creationId xmlns:a16="http://schemas.microsoft.com/office/drawing/2014/main" id="{00000000-0008-0000-2200-000033000000}"/>
              </a:ext>
            </a:extLst>
          </xdr:cNvPr>
          <xdr:cNvSpPr/>
        </xdr:nvSpPr>
        <xdr:spPr>
          <a:xfrm>
            <a:off x="0" y="0"/>
            <a:ext cx="4743450" cy="2702560"/>
          </a:xfrm>
          <a:prstGeom prst="rect">
            <a:avLst/>
          </a:prstGeom>
        </xdr:spPr>
      </xdr:sp>
      <mc:AlternateContent xmlns:mc="http://schemas.openxmlformats.org/markup-compatibility/2006" xmlns:xdr14="http://schemas.microsoft.com/office/excel/2010/spreadsheetDrawing">
        <mc:Choice Requires="xdr14">
          <xdr14:contentPart xmlns:r="http://schemas.openxmlformats.org/officeDocument/2006/relationships" r:id="rId6">
            <xdr14:nvContentPartPr>
              <xdr14:cNvPr id="52" name="Ink 51">
                <a:extLst>
                  <a:ext uri="{FF2B5EF4-FFF2-40B4-BE49-F238E27FC236}">
                    <a16:creationId xmlns:a16="http://schemas.microsoft.com/office/drawing/2014/main" id="{00000000-0008-0000-2200-000034000000}"/>
                  </a:ext>
                </a:extLst>
              </xdr14:cNvPr>
              <xdr14:cNvContentPartPr/>
            </xdr14:nvContentPartPr>
            <xdr14:nvPr macro=""/>
            <xdr14:xfrm>
              <a:off x="962194" y="1390476"/>
              <a:ext cx="1050510" cy="241920"/>
            </xdr14:xfrm>
          </xdr14:contentPart>
        </mc:Choice>
        <mc:Fallback xmlns="">
          <xdr:pic>
            <xdr:nvPicPr>
              <xdr:cNvPr id="52" name="Ink 51">
                <a:extLst>
                  <a:ext uri="{FF2B5EF4-FFF2-40B4-BE49-F238E27FC236}">
                    <a16:creationId xmlns:a16="http://schemas.microsoft.com/office/drawing/2014/main" id="{74C02482-D424-4732-9273-14E5DFDE7EC4}"/>
                  </a:ext>
                </a:extLst>
              </xdr:cNvPr>
              <xdr:cNvPicPr/>
            </xdr:nvPicPr>
            <xdr:blipFill>
              <a:blip xmlns:r="http://schemas.openxmlformats.org/officeDocument/2006/relationships" r:embed="rId7"/>
              <a:stretch>
                <a:fillRect/>
              </a:stretch>
            </xdr:blipFill>
            <xdr:spPr>
              <a:xfrm>
                <a:off x="935193" y="1336476"/>
                <a:ext cx="1104152" cy="34956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53" name="Ink 52">
                <a:extLst>
                  <a:ext uri="{FF2B5EF4-FFF2-40B4-BE49-F238E27FC236}">
                    <a16:creationId xmlns:a16="http://schemas.microsoft.com/office/drawing/2014/main" id="{00000000-0008-0000-2200-000035000000}"/>
                  </a:ext>
                </a:extLst>
              </xdr14:cNvPr>
              <xdr14:cNvContentPartPr/>
            </xdr14:nvContentPartPr>
            <xdr14:nvPr macro=""/>
            <xdr14:xfrm>
              <a:off x="3292281" y="1221675"/>
              <a:ext cx="1136196" cy="393108"/>
            </xdr14:xfrm>
          </xdr14:contentPart>
        </mc:Choice>
        <mc:Fallback xmlns="">
          <xdr:pic>
            <xdr:nvPicPr>
              <xdr:cNvPr id="53" name="Ink 52">
                <a:extLst>
                  <a:ext uri="{FF2B5EF4-FFF2-40B4-BE49-F238E27FC236}">
                    <a16:creationId xmlns:a16="http://schemas.microsoft.com/office/drawing/2014/main" id="{E3AAF34F-5A77-45BF-89EE-830183B464D4}"/>
                  </a:ext>
                </a:extLst>
              </xdr:cNvPr>
              <xdr:cNvPicPr/>
            </xdr:nvPicPr>
            <xdr:blipFill>
              <a:blip xmlns:r="http://schemas.openxmlformats.org/officeDocument/2006/relationships" r:embed="rId9"/>
              <a:stretch>
                <a:fillRect/>
              </a:stretch>
            </xdr:blipFill>
            <xdr:spPr>
              <a:xfrm>
                <a:off x="3265280" y="1167677"/>
                <a:ext cx="1189838" cy="500745"/>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54" name="Ink 53">
                <a:extLst>
                  <a:ext uri="{FF2B5EF4-FFF2-40B4-BE49-F238E27FC236}">
                    <a16:creationId xmlns:a16="http://schemas.microsoft.com/office/drawing/2014/main" id="{00000000-0008-0000-2200-000036000000}"/>
                  </a:ext>
                </a:extLst>
              </xdr14:cNvPr>
              <xdr14:cNvContentPartPr/>
            </xdr14:nvContentPartPr>
            <xdr14:nvPr macro=""/>
            <xdr14:xfrm>
              <a:off x="2105816" y="1614612"/>
              <a:ext cx="1118520" cy="226782"/>
            </xdr14:xfrm>
          </xdr14:contentPart>
        </mc:Choice>
        <mc:Fallback xmlns="">
          <xdr:pic>
            <xdr:nvPicPr>
              <xdr:cNvPr id="54" name="Ink 53">
                <a:extLst>
                  <a:ext uri="{FF2B5EF4-FFF2-40B4-BE49-F238E27FC236}">
                    <a16:creationId xmlns:a16="http://schemas.microsoft.com/office/drawing/2014/main" id="{0D455D72-BAA9-405E-BAEB-66FABE805D35}"/>
                  </a:ext>
                </a:extLst>
              </xdr:cNvPr>
              <xdr:cNvPicPr/>
            </xdr:nvPicPr>
            <xdr:blipFill>
              <a:blip xmlns:r="http://schemas.openxmlformats.org/officeDocument/2006/relationships" r:embed="rId11"/>
              <a:stretch>
                <a:fillRect/>
              </a:stretch>
            </xdr:blipFill>
            <xdr:spPr>
              <a:xfrm>
                <a:off x="2078816" y="1560616"/>
                <a:ext cx="1172160" cy="334413"/>
              </a:xfrm>
              <a:prstGeom prst="rect">
                <a:avLst/>
              </a:prstGeom>
            </xdr:spPr>
          </xdr:pic>
        </mc:Fallback>
      </mc:AlternateContent>
      <xdr:sp macro="" textlink="">
        <xdr:nvSpPr>
          <xdr:cNvPr id="55" name="Freeform: Shape 54">
            <a:extLst>
              <a:ext uri="{FF2B5EF4-FFF2-40B4-BE49-F238E27FC236}">
                <a16:creationId xmlns:a16="http://schemas.microsoft.com/office/drawing/2014/main" id="{00000000-0008-0000-2200-000037000000}"/>
              </a:ext>
            </a:extLst>
          </xdr:cNvPr>
          <xdr:cNvSpPr/>
        </xdr:nvSpPr>
        <xdr:spPr>
          <a:xfrm>
            <a:off x="185021" y="318440"/>
            <a:ext cx="4386985" cy="2084974"/>
          </a:xfrm>
          <a:custGeom>
            <a:avLst/>
            <a:gdLst>
              <a:gd name="connsiteX0" fmla="*/ 0 w 4386985"/>
              <a:gd name="connsiteY0" fmla="*/ 0 h 2084974"/>
              <a:gd name="connsiteX1" fmla="*/ 0 w 4386985"/>
              <a:gd name="connsiteY1" fmla="*/ 2084974 h 2084974"/>
              <a:gd name="connsiteX2" fmla="*/ 4386985 w 4386985"/>
              <a:gd name="connsiteY2" fmla="*/ 2084974 h 2084974"/>
            </a:gdLst>
            <a:ahLst/>
            <a:cxnLst>
              <a:cxn ang="0">
                <a:pos x="connsiteX0" y="connsiteY0"/>
              </a:cxn>
              <a:cxn ang="0">
                <a:pos x="connsiteX1" y="connsiteY1"/>
              </a:cxn>
              <a:cxn ang="0">
                <a:pos x="connsiteX2" y="connsiteY2"/>
              </a:cxn>
            </a:cxnLst>
            <a:rect l="l" t="t" r="r" b="b"/>
            <a:pathLst>
              <a:path w="4386985" h="2084974">
                <a:moveTo>
                  <a:pt x="0" y="0"/>
                </a:moveTo>
                <a:lnTo>
                  <a:pt x="0" y="2084974"/>
                </a:lnTo>
                <a:lnTo>
                  <a:pt x="4386985" y="2084974"/>
                </a:lnTo>
              </a:path>
            </a:pathLst>
          </a:custGeom>
          <a:noFill/>
          <a:ln>
            <a:solidFill>
              <a:srgbClr val="0070C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xnSp macro="">
        <xdr:nvCxnSpPr>
          <xdr:cNvPr id="56" name="Straight Connector 55">
            <a:extLst>
              <a:ext uri="{FF2B5EF4-FFF2-40B4-BE49-F238E27FC236}">
                <a16:creationId xmlns:a16="http://schemas.microsoft.com/office/drawing/2014/main" id="{00000000-0008-0000-2200-000038000000}"/>
              </a:ext>
            </a:extLst>
          </xdr:cNvPr>
          <xdr:cNvCxnSpPr/>
        </xdr:nvCxnSpPr>
        <xdr:spPr>
          <a:xfrm>
            <a:off x="882384" y="1368043"/>
            <a:ext cx="0" cy="1035371"/>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2200-000039000000}"/>
              </a:ext>
            </a:extLst>
          </xdr:cNvPr>
          <xdr:cNvCxnSpPr/>
        </xdr:nvCxnSpPr>
        <xdr:spPr>
          <a:xfrm>
            <a:off x="2070749" y="1368364"/>
            <a:ext cx="0" cy="103505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2200-00003A000000}"/>
              </a:ext>
            </a:extLst>
          </xdr:cNvPr>
          <xdr:cNvCxnSpPr/>
        </xdr:nvCxnSpPr>
        <xdr:spPr>
          <a:xfrm>
            <a:off x="3258834" y="1227608"/>
            <a:ext cx="0" cy="117580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9" name="Text Box 93">
            <a:extLst>
              <a:ext uri="{FF2B5EF4-FFF2-40B4-BE49-F238E27FC236}">
                <a16:creationId xmlns:a16="http://schemas.microsoft.com/office/drawing/2014/main" id="{00000000-0008-0000-2200-00003B000000}"/>
              </a:ext>
            </a:extLst>
          </xdr:cNvPr>
          <xdr:cNvSpPr txBox="1"/>
        </xdr:nvSpPr>
        <xdr:spPr>
          <a:xfrm rot="16200000">
            <a:off x="-488327" y="924177"/>
            <a:ext cx="1177691" cy="20102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808080"/>
                </a:solidFill>
                <a:effectLst/>
                <a:latin typeface="Calibri" panose="020F0502020204030204" pitchFamily="34" charset="0"/>
                <a:ea typeface="Times New Roman" panose="02020603050405020304" pitchFamily="18" charset="0"/>
                <a:cs typeface="Times New Roman" panose="02020603050405020304" pitchFamily="18" charset="0"/>
              </a:rPr>
              <a:t>Return on debt</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60" name="Text Box 20">
            <a:extLst>
              <a:ext uri="{FF2B5EF4-FFF2-40B4-BE49-F238E27FC236}">
                <a16:creationId xmlns:a16="http://schemas.microsoft.com/office/drawing/2014/main" id="{00000000-0008-0000-2200-00003C000000}"/>
              </a:ext>
            </a:extLst>
          </xdr:cNvPr>
          <xdr:cNvSpPr txBox="1"/>
        </xdr:nvSpPr>
        <xdr:spPr>
          <a:xfrm>
            <a:off x="3330673" y="2437511"/>
            <a:ext cx="11772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Time</a:t>
            </a:r>
            <a:endParaRPr lang="en-AU" sz="1200">
              <a:effectLst/>
              <a:latin typeface="Times New Roman" panose="02020603050405020304" pitchFamily="18" charset="0"/>
              <a:ea typeface="Times New Roman" panose="02020603050405020304" pitchFamily="18" charset="0"/>
            </a:endParaRPr>
          </a:p>
        </xdr:txBody>
      </xdr:sp>
      <xdr:sp macro="" textlink="">
        <xdr:nvSpPr>
          <xdr:cNvPr id="61" name="Text Box 20">
            <a:extLst>
              <a:ext uri="{FF2B5EF4-FFF2-40B4-BE49-F238E27FC236}">
                <a16:creationId xmlns:a16="http://schemas.microsoft.com/office/drawing/2014/main" id="{00000000-0008-0000-2200-00003D000000}"/>
              </a:ext>
            </a:extLst>
          </xdr:cNvPr>
          <xdr:cNvSpPr txBox="1"/>
        </xdr:nvSpPr>
        <xdr:spPr>
          <a:xfrm>
            <a:off x="1126427" y="2187066"/>
            <a:ext cx="695262"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1</a:t>
            </a:r>
            <a:endParaRPr lang="en-AU" sz="1200">
              <a:effectLst/>
              <a:latin typeface="Times New Roman" panose="02020603050405020304" pitchFamily="18" charset="0"/>
              <a:ea typeface="Times New Roman" panose="02020603050405020304" pitchFamily="18" charset="0"/>
            </a:endParaRPr>
          </a:p>
        </xdr:txBody>
      </xdr:sp>
      <xdr:sp macro="" textlink="">
        <xdr:nvSpPr>
          <xdr:cNvPr id="62" name="Text Box 20">
            <a:extLst>
              <a:ext uri="{FF2B5EF4-FFF2-40B4-BE49-F238E27FC236}">
                <a16:creationId xmlns:a16="http://schemas.microsoft.com/office/drawing/2014/main" id="{00000000-0008-0000-2200-00003E000000}"/>
              </a:ext>
            </a:extLst>
          </xdr:cNvPr>
          <xdr:cNvSpPr txBox="1"/>
        </xdr:nvSpPr>
        <xdr:spPr>
          <a:xfrm>
            <a:off x="2343255" y="2187066"/>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2</a:t>
            </a:r>
            <a:endParaRPr lang="en-AU" sz="1200">
              <a:effectLst/>
              <a:latin typeface="Times New Roman" panose="02020603050405020304" pitchFamily="18" charset="0"/>
              <a:ea typeface="Times New Roman" panose="02020603050405020304" pitchFamily="18" charset="0"/>
            </a:endParaRPr>
          </a:p>
        </xdr:txBody>
      </xdr:sp>
      <xdr:sp macro="" textlink="">
        <xdr:nvSpPr>
          <xdr:cNvPr id="63" name="Text Box 20">
            <a:extLst>
              <a:ext uri="{FF2B5EF4-FFF2-40B4-BE49-F238E27FC236}">
                <a16:creationId xmlns:a16="http://schemas.microsoft.com/office/drawing/2014/main" id="{00000000-0008-0000-2200-00003F000000}"/>
              </a:ext>
            </a:extLst>
          </xdr:cNvPr>
          <xdr:cNvSpPr txBox="1"/>
        </xdr:nvSpPr>
        <xdr:spPr>
          <a:xfrm>
            <a:off x="3531619" y="220339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3</a:t>
            </a:r>
            <a:endParaRPr lang="en-AU" sz="1200">
              <a:effectLst/>
              <a:latin typeface="Times New Roman" panose="02020603050405020304" pitchFamily="18" charset="0"/>
              <a:ea typeface="Times New Roman" panose="02020603050405020304" pitchFamily="18" charset="0"/>
            </a:endParaRPr>
          </a:p>
        </xdr:txBody>
      </xdr:sp>
      <xdr:sp macro="" textlink="">
        <xdr:nvSpPr>
          <xdr:cNvPr id="64" name="Text Box 20">
            <a:extLst>
              <a:ext uri="{FF2B5EF4-FFF2-40B4-BE49-F238E27FC236}">
                <a16:creationId xmlns:a16="http://schemas.microsoft.com/office/drawing/2014/main" id="{00000000-0008-0000-2200-000040000000}"/>
              </a:ext>
            </a:extLst>
          </xdr:cNvPr>
          <xdr:cNvSpPr txBox="1"/>
        </xdr:nvSpPr>
        <xdr:spPr>
          <a:xfrm>
            <a:off x="1482224" y="1181893"/>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5" name="Text Box 20">
            <a:extLst>
              <a:ext uri="{FF2B5EF4-FFF2-40B4-BE49-F238E27FC236}">
                <a16:creationId xmlns:a16="http://schemas.microsoft.com/office/drawing/2014/main" id="{00000000-0008-0000-2200-000041000000}"/>
              </a:ext>
            </a:extLst>
          </xdr:cNvPr>
          <xdr:cNvSpPr txBox="1"/>
        </xdr:nvSpPr>
        <xdr:spPr>
          <a:xfrm>
            <a:off x="2635983" y="1829020"/>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6" name="Text Box 20">
            <a:extLst>
              <a:ext uri="{FF2B5EF4-FFF2-40B4-BE49-F238E27FC236}">
                <a16:creationId xmlns:a16="http://schemas.microsoft.com/office/drawing/2014/main" id="{00000000-0008-0000-2200-000042000000}"/>
              </a:ext>
            </a:extLst>
          </xdr:cNvPr>
          <xdr:cNvSpPr txBox="1"/>
        </xdr:nvSpPr>
        <xdr:spPr>
          <a:xfrm>
            <a:off x="3813273" y="101294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67" name="Text Box 20">
            <a:extLst>
              <a:ext uri="{FF2B5EF4-FFF2-40B4-BE49-F238E27FC236}">
                <a16:creationId xmlns:a16="http://schemas.microsoft.com/office/drawing/2014/main" id="{00000000-0008-0000-2200-000043000000}"/>
              </a:ext>
            </a:extLst>
          </xdr:cNvPr>
          <xdr:cNvSpPr txBox="1"/>
        </xdr:nvSpPr>
        <xdr:spPr>
          <a:xfrm rot="18018385">
            <a:off x="199859" y="1860498"/>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Prevailing</a:t>
            </a:r>
            <a:endParaRPr lang="en-AU" sz="1200">
              <a:effectLst/>
              <a:latin typeface="Times New Roman" panose="02020603050405020304" pitchFamily="18" charset="0"/>
              <a:ea typeface="Times New Roman" panose="02020603050405020304" pitchFamily="18" charset="0"/>
            </a:endParaRPr>
          </a:p>
        </xdr:txBody>
      </xdr:sp>
      <mc:AlternateContent xmlns:mc="http://schemas.openxmlformats.org/markup-compatibility/2006" xmlns:xdr14="http://schemas.microsoft.com/office/excel/2010/spreadsheetDrawing">
        <mc:Choice Requires="xdr14">
          <xdr14:contentPart xmlns:r="http://schemas.openxmlformats.org/officeDocument/2006/relationships" r:id="rId12">
            <xdr14:nvContentPartPr>
              <xdr14:cNvPr id="68" name="Ink 67">
                <a:extLst>
                  <a:ext uri="{FF2B5EF4-FFF2-40B4-BE49-F238E27FC236}">
                    <a16:creationId xmlns:a16="http://schemas.microsoft.com/office/drawing/2014/main" id="{00000000-0008-0000-2200-000044000000}"/>
                  </a:ext>
                </a:extLst>
              </xdr14:cNvPr>
              <xdr14:cNvContentPartPr/>
            </xdr14:nvContentPartPr>
            <xdr14:nvPr macro=""/>
            <xdr14:xfrm>
              <a:off x="2108387" y="1700298"/>
              <a:ext cx="15233" cy="53030"/>
            </xdr14:xfrm>
          </xdr14:contentPart>
        </mc:Choice>
        <mc:Fallback xmlns="">
          <xdr:pic>
            <xdr:nvPicPr>
              <xdr:cNvPr id="68" name="Ink 67">
                <a:extLst>
                  <a:ext uri="{FF2B5EF4-FFF2-40B4-BE49-F238E27FC236}">
                    <a16:creationId xmlns:a16="http://schemas.microsoft.com/office/drawing/2014/main" id="{BB83E9E5-AD40-4330-886E-1DF5C8E38893}"/>
                  </a:ext>
                </a:extLst>
              </xdr:cNvPr>
              <xdr:cNvPicPr/>
            </xdr:nvPicPr>
            <xdr:blipFill>
              <a:blip xmlns:r="http://schemas.openxmlformats.org/officeDocument/2006/relationships" r:embed="rId13"/>
              <a:stretch>
                <a:fillRect/>
              </a:stretch>
            </xdr:blipFill>
            <xdr:spPr>
              <a:xfrm>
                <a:off x="2081185" y="1646186"/>
                <a:ext cx="69274" cy="160894"/>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4">
            <xdr14:nvContentPartPr>
              <xdr14:cNvPr id="69" name="Ink 68">
                <a:extLst>
                  <a:ext uri="{FF2B5EF4-FFF2-40B4-BE49-F238E27FC236}">
                    <a16:creationId xmlns:a16="http://schemas.microsoft.com/office/drawing/2014/main" id="{00000000-0008-0000-2200-000045000000}"/>
                  </a:ext>
                </a:extLst>
              </xdr14:cNvPr>
              <xdr14:cNvContentPartPr/>
            </xdr14:nvContentPartPr>
            <xdr14:nvPr macro=""/>
            <xdr14:xfrm>
              <a:off x="359786" y="1515203"/>
              <a:ext cx="4119880" cy="238125"/>
            </xdr14:xfrm>
          </xdr14:contentPart>
        </mc:Choice>
        <mc:Fallback xmlns="">
          <xdr:pic>
            <xdr:nvPicPr>
              <xdr:cNvPr id="69" name="Ink 68">
                <a:extLst>
                  <a:ext uri="{FF2B5EF4-FFF2-40B4-BE49-F238E27FC236}">
                    <a16:creationId xmlns:a16="http://schemas.microsoft.com/office/drawing/2014/main" id="{71CA8043-C1A6-44E9-9E35-8C05B7DB7F10}"/>
                  </a:ext>
                </a:extLst>
              </xdr:cNvPr>
              <xdr:cNvPicPr/>
            </xdr:nvPicPr>
            <xdr:blipFill>
              <a:blip xmlns:r="http://schemas.openxmlformats.org/officeDocument/2006/relationships" r:embed="rId15"/>
              <a:stretch>
                <a:fillRect/>
              </a:stretch>
            </xdr:blipFill>
            <xdr:spPr>
              <a:xfrm>
                <a:off x="340706" y="1496110"/>
                <a:ext cx="4157680" cy="275951"/>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6">
            <xdr14:nvContentPartPr>
              <xdr14:cNvPr id="70" name="Ink 69">
                <a:extLst>
                  <a:ext uri="{FF2B5EF4-FFF2-40B4-BE49-F238E27FC236}">
                    <a16:creationId xmlns:a16="http://schemas.microsoft.com/office/drawing/2014/main" id="{00000000-0008-0000-2200-000046000000}"/>
                  </a:ext>
                </a:extLst>
              </xdr14:cNvPr>
              <xdr14:cNvContentPartPr/>
            </xdr14:nvContentPartPr>
            <xdr14:nvPr macro=""/>
            <xdr14:xfrm>
              <a:off x="387707" y="1172270"/>
              <a:ext cx="4120256" cy="907436"/>
            </xdr14:xfrm>
          </xdr14:contentPart>
        </mc:Choice>
        <mc:Fallback xmlns="">
          <xdr:pic>
            <xdr:nvPicPr>
              <xdr:cNvPr id="70" name="Ink 69">
                <a:extLst>
                  <a:ext uri="{FF2B5EF4-FFF2-40B4-BE49-F238E27FC236}">
                    <a16:creationId xmlns:a16="http://schemas.microsoft.com/office/drawing/2014/main" id="{1BCE04F6-877A-4501-B3AA-546AC732526C}"/>
                  </a:ext>
                </a:extLst>
              </xdr:cNvPr>
              <xdr:cNvPicPr/>
            </xdr:nvPicPr>
            <xdr:blipFill>
              <a:blip xmlns:r="http://schemas.openxmlformats.org/officeDocument/2006/relationships" r:embed="rId17"/>
              <a:stretch>
                <a:fillRect/>
              </a:stretch>
            </xdr:blipFill>
            <xdr:spPr>
              <a:xfrm>
                <a:off x="368627" y="1153193"/>
                <a:ext cx="4158057" cy="945231"/>
              </a:xfrm>
              <a:prstGeom prst="rect">
                <a:avLst/>
              </a:prstGeom>
            </xdr:spPr>
          </xdr:pic>
        </mc:Fallback>
      </mc:AlternateContent>
      <xdr:cxnSp macro="">
        <xdr:nvCxnSpPr>
          <xdr:cNvPr id="71" name="Straight Connector 70">
            <a:extLst>
              <a:ext uri="{FF2B5EF4-FFF2-40B4-BE49-F238E27FC236}">
                <a16:creationId xmlns:a16="http://schemas.microsoft.com/office/drawing/2014/main" id="{00000000-0008-0000-2200-000047000000}"/>
              </a:ext>
            </a:extLst>
          </xdr:cNvPr>
          <xdr:cNvCxnSpPr/>
        </xdr:nvCxnSpPr>
        <xdr:spPr>
          <a:xfrm>
            <a:off x="3258834" y="1204340"/>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00000000-0008-0000-2200-000048000000}"/>
              </a:ext>
            </a:extLst>
          </xdr:cNvPr>
          <xdr:cNvCxnSpPr/>
        </xdr:nvCxnSpPr>
        <xdr:spPr>
          <a:xfrm>
            <a:off x="882384" y="1368043"/>
            <a:ext cx="118836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mc:AlternateContent xmlns:mc="http://schemas.openxmlformats.org/markup-compatibility/2006" xmlns:xdr14="http://schemas.microsoft.com/office/excel/2010/spreadsheetDrawing">
        <mc:Choice Requires="xdr14">
          <xdr14:contentPart xmlns:r="http://schemas.openxmlformats.org/officeDocument/2006/relationships" r:id="rId18">
            <xdr14:nvContentPartPr>
              <xdr14:cNvPr id="73" name="Ink 72">
                <a:extLst>
                  <a:ext uri="{FF2B5EF4-FFF2-40B4-BE49-F238E27FC236}">
                    <a16:creationId xmlns:a16="http://schemas.microsoft.com/office/drawing/2014/main" id="{00000000-0008-0000-2200-000049000000}"/>
                  </a:ext>
                </a:extLst>
              </xdr14:cNvPr>
              <xdr14:cNvContentPartPr/>
            </xdr14:nvContentPartPr>
            <xdr14:nvPr macro=""/>
            <xdr14:xfrm>
              <a:off x="3304944" y="1231767"/>
              <a:ext cx="2570" cy="2570"/>
            </xdr14:xfrm>
          </xdr14:contentPart>
        </mc:Choice>
        <mc:Fallback xmlns="">
          <xdr:pic>
            <xdr:nvPicPr>
              <xdr:cNvPr id="73" name="Ink 72">
                <a:extLst>
                  <a:ext uri="{FF2B5EF4-FFF2-40B4-BE49-F238E27FC236}">
                    <a16:creationId xmlns:a16="http://schemas.microsoft.com/office/drawing/2014/main" id="{73FAEE97-33F7-4B2A-A9F2-52A156474693}"/>
                  </a:ext>
                </a:extLst>
              </xdr:cNvPr>
              <xdr:cNvPicPr/>
            </xdr:nvPicPr>
            <xdr:blipFill>
              <a:blip xmlns:r="http://schemas.openxmlformats.org/officeDocument/2006/relationships" r:embed="rId19"/>
              <a:stretch>
                <a:fillRect/>
              </a:stretch>
            </xdr:blipFill>
            <xdr:spPr>
              <a:xfrm>
                <a:off x="3277408" y="1176696"/>
                <a:ext cx="57274" cy="112346"/>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0">
            <xdr14:nvContentPartPr>
              <xdr14:cNvPr id="74" name="Ink 73">
                <a:extLst>
                  <a:ext uri="{FF2B5EF4-FFF2-40B4-BE49-F238E27FC236}">
                    <a16:creationId xmlns:a16="http://schemas.microsoft.com/office/drawing/2014/main" id="{00000000-0008-0000-2200-00004A000000}"/>
                  </a:ext>
                </a:extLst>
              </xdr14:cNvPr>
              <xdr14:cNvContentPartPr/>
            </xdr14:nvContentPartPr>
            <xdr14:nvPr macro=""/>
            <xdr14:xfrm>
              <a:off x="911830" y="1385430"/>
              <a:ext cx="37892" cy="113486"/>
            </xdr14:xfrm>
          </xdr14:contentPart>
        </mc:Choice>
        <mc:Fallback xmlns="">
          <xdr:pic>
            <xdr:nvPicPr>
              <xdr:cNvPr id="74" name="Ink 73">
                <a:extLst>
                  <a:ext uri="{FF2B5EF4-FFF2-40B4-BE49-F238E27FC236}">
                    <a16:creationId xmlns:a16="http://schemas.microsoft.com/office/drawing/2014/main" id="{37B48F01-A393-4A8B-9E22-9E4CB68198BD}"/>
                  </a:ext>
                </a:extLst>
              </xdr:cNvPr>
              <xdr:cNvPicPr/>
            </xdr:nvPicPr>
            <xdr:blipFill>
              <a:blip xmlns:r="http://schemas.openxmlformats.org/officeDocument/2006/relationships" r:embed="rId21"/>
              <a:stretch>
                <a:fillRect/>
              </a:stretch>
            </xdr:blipFill>
            <xdr:spPr>
              <a:xfrm>
                <a:off x="884764" y="1331389"/>
                <a:ext cx="91663" cy="221208"/>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22">
            <xdr14:nvContentPartPr>
              <xdr14:cNvPr id="75" name="Ink 74">
                <a:extLst>
                  <a:ext uri="{FF2B5EF4-FFF2-40B4-BE49-F238E27FC236}">
                    <a16:creationId xmlns:a16="http://schemas.microsoft.com/office/drawing/2014/main" id="{00000000-0008-0000-2200-00004B000000}"/>
                  </a:ext>
                </a:extLst>
              </xdr14:cNvPr>
              <xdr14:cNvContentPartPr/>
            </xdr14:nvContentPartPr>
            <xdr14:nvPr macro=""/>
            <xdr14:xfrm>
              <a:off x="914401" y="1415611"/>
              <a:ext cx="45413" cy="85781"/>
            </xdr14:xfrm>
          </xdr14:contentPart>
        </mc:Choice>
        <mc:Fallback xmlns="">
          <xdr:pic>
            <xdr:nvPicPr>
              <xdr:cNvPr id="75" name="Ink 74">
                <a:extLst>
                  <a:ext uri="{FF2B5EF4-FFF2-40B4-BE49-F238E27FC236}">
                    <a16:creationId xmlns:a16="http://schemas.microsoft.com/office/drawing/2014/main" id="{2915930E-1648-440E-BC5B-DCEED3A9E897}"/>
                  </a:ext>
                </a:extLst>
              </xdr:cNvPr>
              <xdr:cNvPicPr/>
            </xdr:nvPicPr>
            <xdr:blipFill>
              <a:blip xmlns:r="http://schemas.openxmlformats.org/officeDocument/2006/relationships" r:embed="rId23"/>
              <a:stretch>
                <a:fillRect/>
              </a:stretch>
            </xdr:blipFill>
            <xdr:spPr>
              <a:xfrm>
                <a:off x="887369" y="1361547"/>
                <a:ext cx="99116" cy="193548"/>
              </a:xfrm>
              <a:prstGeom prst="rect">
                <a:avLst/>
              </a:prstGeom>
            </xdr:spPr>
          </xdr:pic>
        </mc:Fallback>
      </mc:AlternateContent>
      <xdr:sp macro="" textlink="">
        <xdr:nvSpPr>
          <xdr:cNvPr id="76" name="Text Box 110">
            <a:extLst>
              <a:ext uri="{FF2B5EF4-FFF2-40B4-BE49-F238E27FC236}">
                <a16:creationId xmlns:a16="http://schemas.microsoft.com/office/drawing/2014/main" id="{00000000-0008-0000-2200-00004C000000}"/>
              </a:ext>
            </a:extLst>
          </xdr:cNvPr>
          <xdr:cNvSpPr txBox="1"/>
        </xdr:nvSpPr>
        <xdr:spPr>
          <a:xfrm>
            <a:off x="80060" y="71635"/>
            <a:ext cx="2556510" cy="21082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1400"/>
              </a:lnSpc>
              <a:spcAft>
                <a:spcPts val="0"/>
              </a:spcAft>
            </a:pPr>
            <a:r>
              <a:rPr lang="en-AU" sz="900" b="1">
                <a:effectLst/>
                <a:latin typeface="Calibri" panose="020F0502020204030204" pitchFamily="34" charset="0"/>
                <a:ea typeface="Times New Roman" panose="02020603050405020304" pitchFamily="18" charset="0"/>
                <a:cs typeface="Times New Roman" panose="02020603050405020304" pitchFamily="18" charset="0"/>
              </a:rPr>
              <a:t>PANEL B: A firm that does </a:t>
            </a:r>
            <a:r>
              <a:rPr lang="en-AU" sz="900" b="1" u="sng">
                <a:effectLst/>
                <a:latin typeface="Calibri" panose="020F0502020204030204" pitchFamily="34" charset="0"/>
                <a:ea typeface="Times New Roman" panose="02020603050405020304" pitchFamily="18" charset="0"/>
                <a:cs typeface="Times New Roman" panose="02020603050405020304" pitchFamily="18" charset="0"/>
              </a:rPr>
              <a:t>not</a:t>
            </a:r>
            <a:r>
              <a:rPr lang="en-AU" sz="900" b="1">
                <a:effectLst/>
                <a:latin typeface="Calibri" panose="020F0502020204030204" pitchFamily="34" charset="0"/>
                <a:ea typeface="Times New Roman" panose="02020603050405020304" pitchFamily="18" charset="0"/>
                <a:cs typeface="Times New Roman" panose="02020603050405020304" pitchFamily="18" charset="0"/>
              </a:rPr>
              <a:t> hedge to the allowance</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77" name="Text Box 81">
            <a:extLst>
              <a:ext uri="{FF2B5EF4-FFF2-40B4-BE49-F238E27FC236}">
                <a16:creationId xmlns:a16="http://schemas.microsoft.com/office/drawing/2014/main" id="{00000000-0008-0000-2200-00004D000000}"/>
              </a:ext>
            </a:extLst>
          </xdr:cNvPr>
          <xdr:cNvSpPr txBox="1"/>
        </xdr:nvSpPr>
        <xdr:spPr>
          <a:xfrm>
            <a:off x="314808" y="282326"/>
            <a:ext cx="2960370" cy="50228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a:spcAft>
                <a:spcPts val="0"/>
              </a:spcAft>
            </a:pPr>
            <a:r>
              <a:rPr lang="en-AU" sz="800" i="1">
                <a:effectLst/>
                <a:latin typeface="Calibri" panose="020F0502020204030204" pitchFamily="34" charset="0"/>
                <a:ea typeface="Times New Roman" panose="02020603050405020304" pitchFamily="18" charset="0"/>
              </a:rPr>
              <a:t>A firm that does not hedge – and instead incurs a trailing average cost – will face the risk that its actual costs (the grey line) are higher (red shading) or lower (green shading) than its allowances.  Consumers will face the same swings in prices as seen in Panel A.</a:t>
            </a:r>
            <a:endParaRPr lang="en-AU" sz="1200">
              <a:effectLst/>
              <a:latin typeface="Times New Roman" panose="02020603050405020304" pitchFamily="18" charset="0"/>
              <a:ea typeface="Times New Roman" panose="02020603050405020304" pitchFamily="18" charset="0"/>
            </a:endParaRPr>
          </a:p>
        </xdr:txBody>
      </xdr:sp>
      <xdr:cxnSp macro="">
        <xdr:nvCxnSpPr>
          <xdr:cNvPr id="78" name="Straight Connector 77">
            <a:extLst>
              <a:ext uri="{FF2B5EF4-FFF2-40B4-BE49-F238E27FC236}">
                <a16:creationId xmlns:a16="http://schemas.microsoft.com/office/drawing/2014/main" id="{00000000-0008-0000-2200-00004E000000}"/>
              </a:ext>
            </a:extLst>
          </xdr:cNvPr>
          <xdr:cNvCxnSpPr/>
        </xdr:nvCxnSpPr>
        <xdr:spPr>
          <a:xfrm>
            <a:off x="2070749" y="1850254"/>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7</xdr:row>
      <xdr:rowOff>0</xdr:rowOff>
    </xdr:from>
    <xdr:to>
      <xdr:col>8</xdr:col>
      <xdr:colOff>371475</xdr:colOff>
      <xdr:row>23</xdr:row>
      <xdr:rowOff>35560</xdr:rowOff>
    </xdr:to>
    <xdr:grpSp>
      <xdr:nvGrpSpPr>
        <xdr:cNvPr id="100" name="Canvas 85">
          <a:extLst>
            <a:ext uri="{FF2B5EF4-FFF2-40B4-BE49-F238E27FC236}">
              <a16:creationId xmlns:a16="http://schemas.microsoft.com/office/drawing/2014/main" id="{00000000-0008-0000-2200-000064000000}"/>
            </a:ext>
          </a:extLst>
        </xdr:cNvPr>
        <xdr:cNvGrpSpPr/>
      </xdr:nvGrpSpPr>
      <xdr:grpSpPr>
        <a:xfrm>
          <a:off x="708660" y="1192530"/>
          <a:ext cx="4733925" cy="2656840"/>
          <a:chOff x="0" y="0"/>
          <a:chExt cx="4743450" cy="2702560"/>
        </a:xfrm>
      </xdr:grpSpPr>
      <xdr:sp macro="" textlink="">
        <xdr:nvSpPr>
          <xdr:cNvPr id="101" name="Rectangle 100">
            <a:extLst>
              <a:ext uri="{FF2B5EF4-FFF2-40B4-BE49-F238E27FC236}">
                <a16:creationId xmlns:a16="http://schemas.microsoft.com/office/drawing/2014/main" id="{00000000-0008-0000-2200-000065000000}"/>
              </a:ext>
            </a:extLst>
          </xdr:cNvPr>
          <xdr:cNvSpPr/>
        </xdr:nvSpPr>
        <xdr:spPr>
          <a:xfrm>
            <a:off x="0" y="0"/>
            <a:ext cx="4743450" cy="2702560"/>
          </a:xfrm>
          <a:prstGeom prst="rect">
            <a:avLst/>
          </a:prstGeom>
        </xdr:spPr>
      </xdr:sp>
      <xdr:sp macro="" textlink="">
        <xdr:nvSpPr>
          <xdr:cNvPr id="102" name="Freeform: Shape 101">
            <a:extLst>
              <a:ext uri="{FF2B5EF4-FFF2-40B4-BE49-F238E27FC236}">
                <a16:creationId xmlns:a16="http://schemas.microsoft.com/office/drawing/2014/main" id="{00000000-0008-0000-2200-000066000000}"/>
              </a:ext>
            </a:extLst>
          </xdr:cNvPr>
          <xdr:cNvSpPr/>
        </xdr:nvSpPr>
        <xdr:spPr>
          <a:xfrm>
            <a:off x="185021" y="318440"/>
            <a:ext cx="4386985" cy="2084974"/>
          </a:xfrm>
          <a:custGeom>
            <a:avLst/>
            <a:gdLst>
              <a:gd name="connsiteX0" fmla="*/ 0 w 4386985"/>
              <a:gd name="connsiteY0" fmla="*/ 0 h 2084974"/>
              <a:gd name="connsiteX1" fmla="*/ 0 w 4386985"/>
              <a:gd name="connsiteY1" fmla="*/ 2084974 h 2084974"/>
              <a:gd name="connsiteX2" fmla="*/ 4386985 w 4386985"/>
              <a:gd name="connsiteY2" fmla="*/ 2084974 h 2084974"/>
            </a:gdLst>
            <a:ahLst/>
            <a:cxnLst>
              <a:cxn ang="0">
                <a:pos x="connsiteX0" y="connsiteY0"/>
              </a:cxn>
              <a:cxn ang="0">
                <a:pos x="connsiteX1" y="connsiteY1"/>
              </a:cxn>
              <a:cxn ang="0">
                <a:pos x="connsiteX2" y="connsiteY2"/>
              </a:cxn>
            </a:cxnLst>
            <a:rect l="l" t="t" r="r" b="b"/>
            <a:pathLst>
              <a:path w="4386985" h="2084974">
                <a:moveTo>
                  <a:pt x="0" y="0"/>
                </a:moveTo>
                <a:lnTo>
                  <a:pt x="0" y="2084974"/>
                </a:lnTo>
                <a:lnTo>
                  <a:pt x="4386985" y="2084974"/>
                </a:lnTo>
              </a:path>
            </a:pathLst>
          </a:custGeom>
          <a:noFill/>
          <a:ln>
            <a:solidFill>
              <a:srgbClr val="0070C0"/>
            </a:solidFill>
            <a:headEnd type="triangl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xnSp macro="">
        <xdr:nvCxnSpPr>
          <xdr:cNvPr id="103" name="Straight Connector 102">
            <a:extLst>
              <a:ext uri="{FF2B5EF4-FFF2-40B4-BE49-F238E27FC236}">
                <a16:creationId xmlns:a16="http://schemas.microsoft.com/office/drawing/2014/main" id="{00000000-0008-0000-2200-000067000000}"/>
              </a:ext>
            </a:extLst>
          </xdr:cNvPr>
          <xdr:cNvCxnSpPr/>
        </xdr:nvCxnSpPr>
        <xdr:spPr>
          <a:xfrm>
            <a:off x="882384" y="1368043"/>
            <a:ext cx="0" cy="1035371"/>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00000000-0008-0000-2200-000068000000}"/>
              </a:ext>
            </a:extLst>
          </xdr:cNvPr>
          <xdr:cNvCxnSpPr/>
        </xdr:nvCxnSpPr>
        <xdr:spPr>
          <a:xfrm>
            <a:off x="2070749" y="1368364"/>
            <a:ext cx="0" cy="1035050"/>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xnSp macro="">
        <xdr:nvCxnSpPr>
          <xdr:cNvPr id="105" name="Straight Connector 104">
            <a:extLst>
              <a:ext uri="{FF2B5EF4-FFF2-40B4-BE49-F238E27FC236}">
                <a16:creationId xmlns:a16="http://schemas.microsoft.com/office/drawing/2014/main" id="{00000000-0008-0000-2200-000069000000}"/>
              </a:ext>
            </a:extLst>
          </xdr:cNvPr>
          <xdr:cNvCxnSpPr/>
        </xdr:nvCxnSpPr>
        <xdr:spPr>
          <a:xfrm>
            <a:off x="3258834" y="1227608"/>
            <a:ext cx="0" cy="1175806"/>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6" name="Text Box 70">
            <a:extLst>
              <a:ext uri="{FF2B5EF4-FFF2-40B4-BE49-F238E27FC236}">
                <a16:creationId xmlns:a16="http://schemas.microsoft.com/office/drawing/2014/main" id="{00000000-0008-0000-2200-00006A000000}"/>
              </a:ext>
            </a:extLst>
          </xdr:cNvPr>
          <xdr:cNvSpPr txBox="1"/>
        </xdr:nvSpPr>
        <xdr:spPr>
          <a:xfrm rot="16200000">
            <a:off x="-488327" y="924177"/>
            <a:ext cx="1177691" cy="20102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808080"/>
                </a:solidFill>
                <a:effectLst/>
                <a:latin typeface="Calibri" panose="020F0502020204030204" pitchFamily="34" charset="0"/>
                <a:ea typeface="Times New Roman" panose="02020603050405020304" pitchFamily="18" charset="0"/>
                <a:cs typeface="Times New Roman" panose="02020603050405020304" pitchFamily="18" charset="0"/>
              </a:rPr>
              <a:t>Return on debt</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107" name="Text Box 20">
            <a:extLst>
              <a:ext uri="{FF2B5EF4-FFF2-40B4-BE49-F238E27FC236}">
                <a16:creationId xmlns:a16="http://schemas.microsoft.com/office/drawing/2014/main" id="{00000000-0008-0000-2200-00006B000000}"/>
              </a:ext>
            </a:extLst>
          </xdr:cNvPr>
          <xdr:cNvSpPr txBox="1"/>
        </xdr:nvSpPr>
        <xdr:spPr>
          <a:xfrm>
            <a:off x="3330673" y="2437511"/>
            <a:ext cx="11772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Time</a:t>
            </a:r>
            <a:endParaRPr lang="en-AU" sz="1200">
              <a:effectLst/>
              <a:latin typeface="Times New Roman" panose="02020603050405020304" pitchFamily="18" charset="0"/>
              <a:ea typeface="Times New Roman" panose="02020603050405020304" pitchFamily="18" charset="0"/>
            </a:endParaRPr>
          </a:p>
        </xdr:txBody>
      </xdr:sp>
      <xdr:sp macro="" textlink="">
        <xdr:nvSpPr>
          <xdr:cNvPr id="108" name="Text Box 20">
            <a:extLst>
              <a:ext uri="{FF2B5EF4-FFF2-40B4-BE49-F238E27FC236}">
                <a16:creationId xmlns:a16="http://schemas.microsoft.com/office/drawing/2014/main" id="{00000000-0008-0000-2200-00006C000000}"/>
              </a:ext>
            </a:extLst>
          </xdr:cNvPr>
          <xdr:cNvSpPr txBox="1"/>
        </xdr:nvSpPr>
        <xdr:spPr>
          <a:xfrm>
            <a:off x="1126427" y="2187066"/>
            <a:ext cx="695262"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1</a:t>
            </a:r>
            <a:endParaRPr lang="en-AU" sz="1200">
              <a:effectLst/>
              <a:latin typeface="Times New Roman" panose="02020603050405020304" pitchFamily="18" charset="0"/>
              <a:ea typeface="Times New Roman" panose="02020603050405020304" pitchFamily="18" charset="0"/>
            </a:endParaRPr>
          </a:p>
        </xdr:txBody>
      </xdr:sp>
      <xdr:sp macro="" textlink="">
        <xdr:nvSpPr>
          <xdr:cNvPr id="109" name="Text Box 20">
            <a:extLst>
              <a:ext uri="{FF2B5EF4-FFF2-40B4-BE49-F238E27FC236}">
                <a16:creationId xmlns:a16="http://schemas.microsoft.com/office/drawing/2014/main" id="{00000000-0008-0000-2200-00006D000000}"/>
              </a:ext>
            </a:extLst>
          </xdr:cNvPr>
          <xdr:cNvSpPr txBox="1"/>
        </xdr:nvSpPr>
        <xdr:spPr>
          <a:xfrm>
            <a:off x="2343255" y="2187066"/>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2</a:t>
            </a:r>
            <a:endParaRPr lang="en-AU" sz="1200">
              <a:effectLst/>
              <a:latin typeface="Times New Roman" panose="02020603050405020304" pitchFamily="18" charset="0"/>
              <a:ea typeface="Times New Roman" panose="02020603050405020304" pitchFamily="18" charset="0"/>
            </a:endParaRPr>
          </a:p>
        </xdr:txBody>
      </xdr:sp>
      <xdr:sp macro="" textlink="">
        <xdr:nvSpPr>
          <xdr:cNvPr id="110" name="Text Box 20">
            <a:extLst>
              <a:ext uri="{FF2B5EF4-FFF2-40B4-BE49-F238E27FC236}">
                <a16:creationId xmlns:a16="http://schemas.microsoft.com/office/drawing/2014/main" id="{00000000-0008-0000-2200-00006E000000}"/>
              </a:ext>
            </a:extLst>
          </xdr:cNvPr>
          <xdr:cNvSpPr txBox="1"/>
        </xdr:nvSpPr>
        <xdr:spPr>
          <a:xfrm>
            <a:off x="3531619" y="220339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1100" b="1">
                <a:solidFill>
                  <a:srgbClr val="7F7F7F"/>
                </a:solidFill>
                <a:effectLst/>
                <a:latin typeface="Calibri" panose="020F0502020204030204" pitchFamily="34" charset="0"/>
                <a:ea typeface="Times New Roman" panose="02020603050405020304" pitchFamily="18" charset="0"/>
              </a:rPr>
              <a:t>Period 3</a:t>
            </a:r>
            <a:endParaRPr lang="en-AU" sz="1200">
              <a:effectLst/>
              <a:latin typeface="Times New Roman" panose="02020603050405020304" pitchFamily="18" charset="0"/>
              <a:ea typeface="Times New Roman" panose="02020603050405020304" pitchFamily="18" charset="0"/>
            </a:endParaRPr>
          </a:p>
        </xdr:txBody>
      </xdr:sp>
      <xdr:sp macro="" textlink="">
        <xdr:nvSpPr>
          <xdr:cNvPr id="111" name="Text Box 20">
            <a:extLst>
              <a:ext uri="{FF2B5EF4-FFF2-40B4-BE49-F238E27FC236}">
                <a16:creationId xmlns:a16="http://schemas.microsoft.com/office/drawing/2014/main" id="{00000000-0008-0000-2200-00006F000000}"/>
              </a:ext>
            </a:extLst>
          </xdr:cNvPr>
          <xdr:cNvSpPr txBox="1"/>
        </xdr:nvSpPr>
        <xdr:spPr>
          <a:xfrm>
            <a:off x="1482224" y="1181893"/>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112" name="Text Box 20">
            <a:extLst>
              <a:ext uri="{FF2B5EF4-FFF2-40B4-BE49-F238E27FC236}">
                <a16:creationId xmlns:a16="http://schemas.microsoft.com/office/drawing/2014/main" id="{00000000-0008-0000-2200-000070000000}"/>
              </a:ext>
            </a:extLst>
          </xdr:cNvPr>
          <xdr:cNvSpPr txBox="1"/>
        </xdr:nvSpPr>
        <xdr:spPr>
          <a:xfrm>
            <a:off x="2635983" y="1829020"/>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113" name="Text Box 20">
            <a:extLst>
              <a:ext uri="{FF2B5EF4-FFF2-40B4-BE49-F238E27FC236}">
                <a16:creationId xmlns:a16="http://schemas.microsoft.com/office/drawing/2014/main" id="{00000000-0008-0000-2200-000071000000}"/>
              </a:ext>
            </a:extLst>
          </xdr:cNvPr>
          <xdr:cNvSpPr txBox="1"/>
        </xdr:nvSpPr>
        <xdr:spPr>
          <a:xfrm>
            <a:off x="3813273" y="1012949"/>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Allowance</a:t>
            </a:r>
            <a:endParaRPr lang="en-AU" sz="1200">
              <a:effectLst/>
              <a:latin typeface="Times New Roman" panose="02020603050405020304" pitchFamily="18" charset="0"/>
              <a:ea typeface="Times New Roman" panose="02020603050405020304" pitchFamily="18" charset="0"/>
            </a:endParaRPr>
          </a:p>
        </xdr:txBody>
      </xdr:sp>
      <xdr:sp macro="" textlink="">
        <xdr:nvSpPr>
          <xdr:cNvPr id="114" name="Text Box 20">
            <a:extLst>
              <a:ext uri="{FF2B5EF4-FFF2-40B4-BE49-F238E27FC236}">
                <a16:creationId xmlns:a16="http://schemas.microsoft.com/office/drawing/2014/main" id="{00000000-0008-0000-2200-000072000000}"/>
              </a:ext>
            </a:extLst>
          </xdr:cNvPr>
          <xdr:cNvSpPr txBox="1"/>
        </xdr:nvSpPr>
        <xdr:spPr>
          <a:xfrm rot="18018385">
            <a:off x="199859" y="1860498"/>
            <a:ext cx="694690" cy="20066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gn="ctr">
              <a:lnSpc>
                <a:spcPts val="1400"/>
              </a:lnSpc>
              <a:spcAft>
                <a:spcPts val="0"/>
              </a:spcAft>
            </a:pPr>
            <a:r>
              <a:rPr lang="en-AU" sz="900" b="1">
                <a:solidFill>
                  <a:srgbClr val="7F7F7F"/>
                </a:solidFill>
                <a:effectLst/>
                <a:latin typeface="Calibri" panose="020F0502020204030204" pitchFamily="34" charset="0"/>
                <a:ea typeface="Times New Roman" panose="02020603050405020304" pitchFamily="18" charset="0"/>
              </a:rPr>
              <a:t>Prevailing</a:t>
            </a:r>
            <a:endParaRPr lang="en-AU" sz="1200">
              <a:effectLst/>
              <a:latin typeface="Times New Roman" panose="02020603050405020304" pitchFamily="18" charset="0"/>
              <a:ea typeface="Times New Roman" panose="02020603050405020304" pitchFamily="18" charset="0"/>
            </a:endParaRPr>
          </a:p>
        </xdr:txBody>
      </xdr:sp>
      <mc:AlternateContent xmlns:mc="http://schemas.openxmlformats.org/markup-compatibility/2006" xmlns:xdr14="http://schemas.microsoft.com/office/excel/2010/spreadsheetDrawing">
        <mc:Choice Requires="xdr14">
          <xdr14:contentPart xmlns:r="http://schemas.openxmlformats.org/officeDocument/2006/relationships" r:id="rId24">
            <xdr14:nvContentPartPr>
              <xdr14:cNvPr id="115" name="Ink 114">
                <a:extLst>
                  <a:ext uri="{FF2B5EF4-FFF2-40B4-BE49-F238E27FC236}">
                    <a16:creationId xmlns:a16="http://schemas.microsoft.com/office/drawing/2014/main" id="{00000000-0008-0000-2200-000073000000}"/>
                  </a:ext>
                </a:extLst>
              </xdr14:cNvPr>
              <xdr14:cNvContentPartPr/>
            </xdr14:nvContentPartPr>
            <xdr14:nvPr macro=""/>
            <xdr14:xfrm>
              <a:off x="387707" y="1172270"/>
              <a:ext cx="4120256" cy="907436"/>
            </xdr14:xfrm>
          </xdr14:contentPart>
        </mc:Choice>
        <mc:Fallback xmlns="">
          <xdr:pic>
            <xdr:nvPicPr>
              <xdr:cNvPr id="115" name="Ink 114">
                <a:extLst>
                  <a:ext uri="{FF2B5EF4-FFF2-40B4-BE49-F238E27FC236}">
                    <a16:creationId xmlns:a16="http://schemas.microsoft.com/office/drawing/2014/main" id="{DB3F4B60-18F8-4CCF-8692-749457EB99BB}"/>
                  </a:ext>
                </a:extLst>
              </xdr:cNvPr>
              <xdr:cNvPicPr/>
            </xdr:nvPicPr>
            <xdr:blipFill>
              <a:blip xmlns:r="http://schemas.openxmlformats.org/officeDocument/2006/relationships" r:embed="rId17"/>
              <a:stretch>
                <a:fillRect/>
              </a:stretch>
            </xdr:blipFill>
            <xdr:spPr>
              <a:xfrm>
                <a:off x="368627" y="1153193"/>
                <a:ext cx="4158057" cy="945231"/>
              </a:xfrm>
              <a:prstGeom prst="rect">
                <a:avLst/>
              </a:prstGeom>
            </xdr:spPr>
          </xdr:pic>
        </mc:Fallback>
      </mc:AlternateContent>
      <xdr:cxnSp macro="">
        <xdr:nvCxnSpPr>
          <xdr:cNvPr id="116" name="Straight Connector 115">
            <a:extLst>
              <a:ext uri="{FF2B5EF4-FFF2-40B4-BE49-F238E27FC236}">
                <a16:creationId xmlns:a16="http://schemas.microsoft.com/office/drawing/2014/main" id="{00000000-0008-0000-2200-000074000000}"/>
              </a:ext>
            </a:extLst>
          </xdr:cNvPr>
          <xdr:cNvCxnSpPr/>
        </xdr:nvCxnSpPr>
        <xdr:spPr>
          <a:xfrm>
            <a:off x="3258834" y="1204340"/>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cxnSp macro="">
        <xdr:nvCxnSpPr>
          <xdr:cNvPr id="117" name="Straight Connector 116">
            <a:extLst>
              <a:ext uri="{FF2B5EF4-FFF2-40B4-BE49-F238E27FC236}">
                <a16:creationId xmlns:a16="http://schemas.microsoft.com/office/drawing/2014/main" id="{00000000-0008-0000-2200-000075000000}"/>
              </a:ext>
            </a:extLst>
          </xdr:cNvPr>
          <xdr:cNvCxnSpPr/>
        </xdr:nvCxnSpPr>
        <xdr:spPr>
          <a:xfrm>
            <a:off x="882384" y="1368043"/>
            <a:ext cx="118836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118" name="Text Box 82">
            <a:extLst>
              <a:ext uri="{FF2B5EF4-FFF2-40B4-BE49-F238E27FC236}">
                <a16:creationId xmlns:a16="http://schemas.microsoft.com/office/drawing/2014/main" id="{00000000-0008-0000-2200-000076000000}"/>
              </a:ext>
            </a:extLst>
          </xdr:cNvPr>
          <xdr:cNvSpPr txBox="1"/>
        </xdr:nvSpPr>
        <xdr:spPr>
          <a:xfrm>
            <a:off x="80060" y="71635"/>
            <a:ext cx="2167255" cy="21082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1400"/>
              </a:lnSpc>
              <a:spcAft>
                <a:spcPts val="0"/>
              </a:spcAft>
            </a:pPr>
            <a:r>
              <a:rPr lang="en-AU" sz="900" b="1">
                <a:effectLst/>
                <a:latin typeface="Calibri" panose="020F0502020204030204" pitchFamily="34" charset="0"/>
                <a:ea typeface="Times New Roman" panose="02020603050405020304" pitchFamily="18" charset="0"/>
                <a:cs typeface="Times New Roman" panose="02020603050405020304" pitchFamily="18" charset="0"/>
              </a:rPr>
              <a:t>PANEL A: A firm that hedges to the allowance</a:t>
            </a:r>
            <a:endParaRPr lang="en-AU" sz="1100">
              <a:effectLst/>
              <a:latin typeface="Goudy Old Style" panose="02020502050305020303" pitchFamily="18" charset="0"/>
              <a:ea typeface="Times New Roman" panose="02020603050405020304" pitchFamily="18" charset="0"/>
              <a:cs typeface="Times New Roman" panose="02020603050405020304" pitchFamily="18" charset="0"/>
            </a:endParaRPr>
          </a:p>
        </xdr:txBody>
      </xdr:sp>
      <xdr:sp macro="" textlink="">
        <xdr:nvSpPr>
          <xdr:cNvPr id="119" name="Text Box 81">
            <a:extLst>
              <a:ext uri="{FF2B5EF4-FFF2-40B4-BE49-F238E27FC236}">
                <a16:creationId xmlns:a16="http://schemas.microsoft.com/office/drawing/2014/main" id="{00000000-0008-0000-2200-000077000000}"/>
              </a:ext>
            </a:extLst>
          </xdr:cNvPr>
          <xdr:cNvSpPr txBox="1"/>
        </xdr:nvSpPr>
        <xdr:spPr>
          <a:xfrm>
            <a:off x="314808" y="282326"/>
            <a:ext cx="2960370" cy="62674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a:spcAft>
                <a:spcPts val="0"/>
              </a:spcAft>
            </a:pPr>
            <a:r>
              <a:rPr lang="en-AU" sz="800" i="1">
                <a:effectLst/>
                <a:latin typeface="Calibri" panose="020F0502020204030204" pitchFamily="34" charset="0"/>
                <a:ea typeface="Times New Roman" panose="02020603050405020304" pitchFamily="18" charset="0"/>
              </a:rPr>
              <a:t>A firm that hedges will have the opportunity to recover its actual costs by aligning them to the allowance.  If successful, it will not recover more or less than its actual costs – it faces little or no risk.  However, its consumers will face swings in prices as they are reset periodically to match the prevailing return on debt.</a:t>
            </a:r>
            <a:endParaRPr lang="en-AU" sz="1200">
              <a:effectLst/>
              <a:latin typeface="Times New Roman" panose="02020603050405020304" pitchFamily="18" charset="0"/>
              <a:ea typeface="Times New Roman" panose="02020603050405020304" pitchFamily="18" charset="0"/>
            </a:endParaRPr>
          </a:p>
        </xdr:txBody>
      </xdr:sp>
      <xdr:cxnSp macro="">
        <xdr:nvCxnSpPr>
          <xdr:cNvPr id="120" name="Straight Connector 119">
            <a:extLst>
              <a:ext uri="{FF2B5EF4-FFF2-40B4-BE49-F238E27FC236}">
                <a16:creationId xmlns:a16="http://schemas.microsoft.com/office/drawing/2014/main" id="{00000000-0008-0000-2200-000078000000}"/>
              </a:ext>
            </a:extLst>
          </xdr:cNvPr>
          <xdr:cNvCxnSpPr/>
        </xdr:nvCxnSpPr>
        <xdr:spPr>
          <a:xfrm>
            <a:off x="2070749" y="1850254"/>
            <a:ext cx="1188085" cy="0"/>
          </a:xfrm>
          <a:prstGeom prst="line">
            <a:avLst/>
          </a:prstGeom>
          <a:ln w="38100">
            <a:headEnd type="ova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9.xml><?xml version="1.0" encoding="utf-8"?>
<c:userShapes xmlns:c="http://schemas.openxmlformats.org/drawingml/2006/chart">
  <cdr:relSizeAnchor xmlns:cdr="http://schemas.openxmlformats.org/drawingml/2006/chartDrawing">
    <cdr:from>
      <cdr:x>0.09878</cdr:x>
      <cdr:y>0.08867</cdr:y>
    </cdr:from>
    <cdr:to>
      <cdr:x>0.22778</cdr:x>
      <cdr:y>0.332</cdr:y>
    </cdr:to>
    <cdr:sp macro="" textlink="">
      <cdr:nvSpPr>
        <cdr:cNvPr id="3" name="Rectangle 2">
          <a:extLst xmlns:a="http://schemas.openxmlformats.org/drawingml/2006/main">
            <a:ext uri="{FF2B5EF4-FFF2-40B4-BE49-F238E27FC236}">
              <a16:creationId xmlns:a16="http://schemas.microsoft.com/office/drawing/2014/main" id="{53977BC8-46A3-45FB-AC6A-6E3ADDF3636D}"/>
            </a:ext>
          </a:extLst>
        </cdr:cNvPr>
        <cdr:cNvSpPr/>
      </cdr:nvSpPr>
      <cdr:spPr>
        <a:xfrm xmlns:a="http://schemas.openxmlformats.org/drawingml/2006/main">
          <a:off x="836442" y="422291"/>
          <a:ext cx="1092372" cy="115885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en-US" sz="900">
              <a:solidFill>
                <a:schemeClr val="tx2"/>
              </a:solidFill>
            </a:rPr>
            <a:t>Averaging</a:t>
          </a:r>
          <a:r>
            <a:rPr lang="en-US" sz="900" baseline="0">
              <a:solidFill>
                <a:schemeClr val="tx2"/>
              </a:solidFill>
            </a:rPr>
            <a:t> period used for our proposed trailing average estimate does </a:t>
          </a:r>
          <a:r>
            <a:rPr lang="en-US" sz="900" b="1" baseline="0">
              <a:solidFill>
                <a:schemeClr val="tx2"/>
              </a:solidFill>
            </a:rPr>
            <a:t>not</a:t>
          </a:r>
          <a:r>
            <a:rPr lang="en-US" sz="900" b="0" baseline="0">
              <a:solidFill>
                <a:schemeClr val="tx2"/>
              </a:solidFill>
            </a:rPr>
            <a:t> include the peak of the GFC - which leads to a lower average</a:t>
          </a:r>
          <a:endParaRPr lang="en-US" sz="900">
            <a:solidFill>
              <a:schemeClr val="tx2"/>
            </a:solidFill>
          </a:endParaRPr>
        </a:p>
      </cdr:txBody>
    </cdr:sp>
  </cdr:relSizeAnchor>
  <cdr:relSizeAnchor xmlns:cdr="http://schemas.openxmlformats.org/drawingml/2006/chartDrawing">
    <cdr:from>
      <cdr:x>0.38896</cdr:x>
      <cdr:y>0.72259</cdr:y>
    </cdr:from>
    <cdr:to>
      <cdr:x>0.73618</cdr:x>
      <cdr:y>0.83645</cdr:y>
    </cdr:to>
    <cdr:sp macro="" textlink="">
      <cdr:nvSpPr>
        <cdr:cNvPr id="4" name="Rectangle 3">
          <a:extLst xmlns:a="http://schemas.openxmlformats.org/drawingml/2006/main">
            <a:ext uri="{FF2B5EF4-FFF2-40B4-BE49-F238E27FC236}">
              <a16:creationId xmlns:a16="http://schemas.microsoft.com/office/drawing/2014/main" id="{2953EAC8-86CC-4A5A-8C3D-6D4D270061F0}"/>
            </a:ext>
          </a:extLst>
        </cdr:cNvPr>
        <cdr:cNvSpPr/>
      </cdr:nvSpPr>
      <cdr:spPr>
        <a:xfrm xmlns:a="http://schemas.openxmlformats.org/drawingml/2006/main">
          <a:off x="3041650" y="3441319"/>
          <a:ext cx="2715302" cy="54227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r"/>
          <a:r>
            <a:rPr lang="en-US" sz="900" i="1">
              <a:solidFill>
                <a:schemeClr val="tx2"/>
              </a:solidFill>
            </a:rPr>
            <a:t>Effective</a:t>
          </a:r>
          <a:r>
            <a:rPr lang="en-US" sz="900" baseline="0">
              <a:solidFill>
                <a:schemeClr val="tx2"/>
              </a:solidFill>
            </a:rPr>
            <a:t> rate of return allowed by the Ministerial Direction is </a:t>
          </a:r>
          <a:r>
            <a:rPr lang="en-US" sz="900" b="1" baseline="0">
              <a:solidFill>
                <a:schemeClr val="tx2"/>
              </a:solidFill>
            </a:rPr>
            <a:t>significantly </a:t>
          </a:r>
          <a:r>
            <a:rPr lang="en-US" sz="900" b="0" baseline="0">
              <a:solidFill>
                <a:schemeClr val="tx2"/>
              </a:solidFill>
            </a:rPr>
            <a:t>bel</a:t>
          </a:r>
          <a:r>
            <a:rPr lang="en-US" sz="900" baseline="0">
              <a:solidFill>
                <a:schemeClr val="tx2"/>
              </a:solidFill>
            </a:rPr>
            <a:t>ow both the current trailing average and the on the day (i.e. market) rate that would have applied for the current period</a:t>
          </a:r>
          <a:endParaRPr lang="en-US" sz="900">
            <a:solidFill>
              <a:schemeClr val="tx2"/>
            </a:solidFill>
          </a:endParaRPr>
        </a:p>
      </cdr:txBody>
    </cdr:sp>
  </cdr:relSizeAnchor>
  <cdr:relSizeAnchor xmlns:cdr="http://schemas.openxmlformats.org/drawingml/2006/chartDrawing">
    <cdr:from>
      <cdr:x>0.73618</cdr:x>
      <cdr:y>0.71467</cdr:y>
    </cdr:from>
    <cdr:to>
      <cdr:x>0.75317</cdr:x>
      <cdr:y>0.77952</cdr:y>
    </cdr:to>
    <cdr:cxnSp macro="">
      <cdr:nvCxnSpPr>
        <cdr:cNvPr id="5" name="Straight Connector 4">
          <a:extLst xmlns:a="http://schemas.openxmlformats.org/drawingml/2006/main">
            <a:ext uri="{FF2B5EF4-FFF2-40B4-BE49-F238E27FC236}">
              <a16:creationId xmlns:a16="http://schemas.microsoft.com/office/drawing/2014/main" id="{B82E3FCC-D703-4C8D-80EB-DD7514C69874}"/>
            </a:ext>
          </a:extLst>
        </cdr:cNvPr>
        <cdr:cNvCxnSpPr>
          <a:stCxn xmlns:a="http://schemas.openxmlformats.org/drawingml/2006/main" id="4" idx="3"/>
        </cdr:cNvCxnSpPr>
      </cdr:nvCxnSpPr>
      <cdr:spPr>
        <a:xfrm xmlns:a="http://schemas.openxmlformats.org/drawingml/2006/main" flipV="1">
          <a:off x="5756952" y="3403600"/>
          <a:ext cx="132842" cy="308857"/>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3"/>
        </a:lnRef>
        <a:fillRef xmlns:a="http://schemas.openxmlformats.org/drawingml/2006/main" idx="0">
          <a:schemeClr val="accent3"/>
        </a:fillRef>
        <a:effectRef xmlns:a="http://schemas.openxmlformats.org/drawingml/2006/main" idx="1">
          <a:schemeClr val="accent3"/>
        </a:effectRef>
        <a:fontRef xmlns:a="http://schemas.openxmlformats.org/drawingml/2006/main" idx="minor">
          <a:schemeClr val="tx1"/>
        </a:fontRef>
      </cdr:style>
    </cdr:cxnSp>
  </cdr:relSizeAnchor>
  <cdr:relSizeAnchor xmlns:cdr="http://schemas.openxmlformats.org/drawingml/2006/chartDrawing">
    <cdr:from>
      <cdr:x>0.83719</cdr:x>
      <cdr:y>0.29867</cdr:y>
    </cdr:from>
    <cdr:to>
      <cdr:x>0.9833</cdr:x>
      <cdr:y>0.43685</cdr:y>
    </cdr:to>
    <cdr:sp macro="" textlink="">
      <cdr:nvSpPr>
        <cdr:cNvPr id="6" name="Rectangle 5">
          <a:extLst xmlns:a="http://schemas.openxmlformats.org/drawingml/2006/main">
            <a:ext uri="{FF2B5EF4-FFF2-40B4-BE49-F238E27FC236}">
              <a16:creationId xmlns:a16="http://schemas.microsoft.com/office/drawing/2014/main" id="{76379083-E99B-43C9-8046-D0EA9D9043BF}"/>
            </a:ext>
          </a:extLst>
        </cdr:cNvPr>
        <cdr:cNvSpPr/>
      </cdr:nvSpPr>
      <cdr:spPr>
        <a:xfrm xmlns:a="http://schemas.openxmlformats.org/drawingml/2006/main">
          <a:off x="6546850" y="1422400"/>
          <a:ext cx="1142592" cy="65811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lgn="r"/>
          <a:r>
            <a:rPr lang="en-US" sz="900" i="1">
              <a:solidFill>
                <a:schemeClr val="tx2"/>
              </a:solidFill>
            </a:rPr>
            <a:t>Value</a:t>
          </a:r>
          <a:r>
            <a:rPr lang="en-US" sz="900">
              <a:solidFill>
                <a:schemeClr val="tx2"/>
              </a:solidFill>
            </a:rPr>
            <a:t> reflects the on the day rate observed prior to</a:t>
          </a:r>
          <a:r>
            <a:rPr lang="en-US" sz="900" baseline="0">
              <a:solidFill>
                <a:schemeClr val="tx2"/>
              </a:solidFill>
            </a:rPr>
            <a:t> the start of the current period</a:t>
          </a:r>
          <a:r>
            <a:rPr lang="en-US" sz="900">
              <a:solidFill>
                <a:schemeClr val="tx2"/>
              </a:solidFill>
            </a:rPr>
            <a:t> </a:t>
          </a:r>
        </a:p>
      </cdr:txBody>
    </cdr:sp>
  </cdr:relSizeAnchor>
  <cdr:relSizeAnchor xmlns:cdr="http://schemas.openxmlformats.org/drawingml/2006/chartDrawing">
    <cdr:from>
      <cdr:x>0.94125</cdr:x>
      <cdr:y>0.45585</cdr:y>
    </cdr:from>
    <cdr:to>
      <cdr:x>0.94232</cdr:x>
      <cdr:y>0.54999</cdr:y>
    </cdr:to>
    <cdr:cxnSp macro="">
      <cdr:nvCxnSpPr>
        <cdr:cNvPr id="7" name="Straight Connector 6">
          <a:extLst xmlns:a="http://schemas.openxmlformats.org/drawingml/2006/main">
            <a:ext uri="{FF2B5EF4-FFF2-40B4-BE49-F238E27FC236}">
              <a16:creationId xmlns:a16="http://schemas.microsoft.com/office/drawing/2014/main" id="{34484342-8235-41BE-83A4-83388F0A0FCB}"/>
            </a:ext>
          </a:extLst>
        </cdr:cNvPr>
        <cdr:cNvCxnSpPr/>
      </cdr:nvCxnSpPr>
      <cdr:spPr>
        <a:xfrm xmlns:a="http://schemas.openxmlformats.org/drawingml/2006/main" flipH="1">
          <a:off x="7360615" y="2171005"/>
          <a:ext cx="8314" cy="448341"/>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0.63817</cdr:x>
      <cdr:y>0.12967</cdr:y>
    </cdr:from>
    <cdr:to>
      <cdr:x>0.82265</cdr:x>
      <cdr:y>0.26785</cdr:y>
    </cdr:to>
    <cdr:sp macro="" textlink="">
      <cdr:nvSpPr>
        <cdr:cNvPr id="8" name="Rectangle 7">
          <a:extLst xmlns:a="http://schemas.openxmlformats.org/drawingml/2006/main">
            <a:ext uri="{FF2B5EF4-FFF2-40B4-BE49-F238E27FC236}">
              <a16:creationId xmlns:a16="http://schemas.microsoft.com/office/drawing/2014/main" id="{1CD5D2F5-9277-4B49-B927-C96EA0B4D74E}"/>
            </a:ext>
          </a:extLst>
        </cdr:cNvPr>
        <cdr:cNvSpPr/>
      </cdr:nvSpPr>
      <cdr:spPr>
        <a:xfrm xmlns:a="http://schemas.openxmlformats.org/drawingml/2006/main">
          <a:off x="5403850" y="617538"/>
          <a:ext cx="1562100" cy="65811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lgn="ctr"/>
          <a:r>
            <a:rPr lang="en-US" sz="900" i="0">
              <a:solidFill>
                <a:schemeClr val="tx2"/>
              </a:solidFill>
            </a:rPr>
            <a:t>This</a:t>
          </a:r>
          <a:r>
            <a:rPr lang="en-US" sz="900" i="0" baseline="0">
              <a:solidFill>
                <a:schemeClr val="tx2"/>
              </a:solidFill>
            </a:rPr>
            <a:t> reflects the estimated 10 year trailing average over the current period, which is noticeably is above - but converging to - the UC allowance over the current period</a:t>
          </a:r>
          <a:endParaRPr lang="en-US" sz="900" i="0">
            <a:solidFill>
              <a:schemeClr val="tx2"/>
            </a:solidFill>
          </a:endParaRPr>
        </a:p>
      </cdr:txBody>
    </cdr:sp>
  </cdr:relSizeAnchor>
  <cdr:relSizeAnchor xmlns:cdr="http://schemas.openxmlformats.org/drawingml/2006/chartDrawing">
    <cdr:from>
      <cdr:x>0.73547</cdr:x>
      <cdr:y>0.359</cdr:y>
    </cdr:from>
    <cdr:to>
      <cdr:x>0.76937</cdr:x>
      <cdr:y>0.45799</cdr:y>
    </cdr:to>
    <cdr:cxnSp macro="">
      <cdr:nvCxnSpPr>
        <cdr:cNvPr id="9" name="Straight Connector 8">
          <a:extLst xmlns:a="http://schemas.openxmlformats.org/drawingml/2006/main">
            <a:ext uri="{FF2B5EF4-FFF2-40B4-BE49-F238E27FC236}">
              <a16:creationId xmlns:a16="http://schemas.microsoft.com/office/drawing/2014/main" id="{0B5B93C4-7254-4C8B-8F08-3A579294E41F}"/>
            </a:ext>
          </a:extLst>
        </cdr:cNvPr>
        <cdr:cNvCxnSpPr/>
      </cdr:nvCxnSpPr>
      <cdr:spPr>
        <a:xfrm xmlns:a="http://schemas.openxmlformats.org/drawingml/2006/main">
          <a:off x="6227761" y="1709751"/>
          <a:ext cx="287069" cy="471449"/>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5"/>
        </a:lnRef>
        <a:fillRef xmlns:a="http://schemas.openxmlformats.org/drawingml/2006/main" idx="0">
          <a:schemeClr val="accent5"/>
        </a:fillRef>
        <a:effectRef xmlns:a="http://schemas.openxmlformats.org/drawingml/2006/main" idx="1">
          <a:schemeClr val="accent5"/>
        </a:effectRef>
        <a:fontRef xmlns:a="http://schemas.openxmlformats.org/drawingml/2006/main" idx="minor">
          <a:schemeClr val="tx1"/>
        </a:fontRef>
      </cdr:style>
    </cdr:cxnSp>
  </cdr:relSizeAnchor>
  <cdr:relSizeAnchor xmlns:cdr="http://schemas.openxmlformats.org/drawingml/2006/chartDrawing">
    <cdr:from>
      <cdr:x>0.39229</cdr:x>
      <cdr:y>0.02904</cdr:y>
    </cdr:from>
    <cdr:to>
      <cdr:x>0.39229</cdr:x>
      <cdr:y>0.92887</cdr:y>
    </cdr:to>
    <cdr:cxnSp macro="">
      <cdr:nvCxnSpPr>
        <cdr:cNvPr id="10" name="Straight Connector 9">
          <a:extLst xmlns:a="http://schemas.openxmlformats.org/drawingml/2006/main">
            <a:ext uri="{FF2B5EF4-FFF2-40B4-BE49-F238E27FC236}">
              <a16:creationId xmlns:a16="http://schemas.microsoft.com/office/drawing/2014/main" id="{F4037FD8-19A6-47DC-A1BA-B921639C3231}"/>
            </a:ext>
          </a:extLst>
        </cdr:cNvPr>
        <cdr:cNvCxnSpPr/>
      </cdr:nvCxnSpPr>
      <cdr:spPr>
        <a:xfrm xmlns:a="http://schemas.openxmlformats.org/drawingml/2006/main" flipV="1">
          <a:off x="3312989" y="137446"/>
          <a:ext cx="0" cy="4258952"/>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0.40284</cdr:x>
      <cdr:y>0.16454</cdr:y>
    </cdr:from>
    <cdr:to>
      <cdr:x>0.54895</cdr:x>
      <cdr:y>0.30272</cdr:y>
    </cdr:to>
    <cdr:sp macro="" textlink="">
      <cdr:nvSpPr>
        <cdr:cNvPr id="13" name="Rectangle 12">
          <a:extLst xmlns:a="http://schemas.openxmlformats.org/drawingml/2006/main">
            <a:ext uri="{FF2B5EF4-FFF2-40B4-BE49-F238E27FC236}">
              <a16:creationId xmlns:a16="http://schemas.microsoft.com/office/drawing/2014/main" id="{8D22229E-D59B-4637-A42F-0542A2491643}"/>
            </a:ext>
          </a:extLst>
        </cdr:cNvPr>
        <cdr:cNvSpPr/>
      </cdr:nvSpPr>
      <cdr:spPr>
        <a:xfrm xmlns:a="http://schemas.openxmlformats.org/drawingml/2006/main">
          <a:off x="3411131" y="783621"/>
          <a:ext cx="1237219" cy="65808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lvl="0" algn="ctr"/>
          <a:r>
            <a:rPr lang="en-US" sz="900" i="1">
              <a:solidFill>
                <a:schemeClr val="tx2"/>
              </a:solidFill>
            </a:rPr>
            <a:t>Value</a:t>
          </a:r>
          <a:r>
            <a:rPr lang="en-US" sz="900" i="0">
              <a:solidFill>
                <a:schemeClr val="tx2"/>
              </a:solidFill>
            </a:rPr>
            <a:t> reflects</a:t>
          </a:r>
          <a:r>
            <a:rPr lang="en-US" sz="900" i="0" baseline="0">
              <a:solidFill>
                <a:schemeClr val="tx2"/>
              </a:solidFill>
            </a:rPr>
            <a:t> the on the day rate observed prior to the start of the previous regulatory period</a:t>
          </a:r>
          <a:endParaRPr lang="en-US" sz="900">
            <a:solidFill>
              <a:schemeClr val="tx2"/>
            </a:solidFill>
          </a:endParaRPr>
        </a:p>
      </cdr:txBody>
    </cdr:sp>
  </cdr:relSizeAnchor>
  <cdr:relSizeAnchor xmlns:cdr="http://schemas.openxmlformats.org/drawingml/2006/chartDrawing">
    <cdr:from>
      <cdr:x>0.44105</cdr:x>
      <cdr:y>0.34705</cdr:y>
    </cdr:from>
    <cdr:to>
      <cdr:x>0.44212</cdr:x>
      <cdr:y>0.44119</cdr:y>
    </cdr:to>
    <cdr:cxnSp macro="">
      <cdr:nvCxnSpPr>
        <cdr:cNvPr id="14" name="Straight Connector 13">
          <a:extLst xmlns:a="http://schemas.openxmlformats.org/drawingml/2006/main">
            <a:ext uri="{FF2B5EF4-FFF2-40B4-BE49-F238E27FC236}">
              <a16:creationId xmlns:a16="http://schemas.microsoft.com/office/drawing/2014/main" id="{EFED2FD9-3768-4C0B-8C61-2E57BE15ECCC}"/>
            </a:ext>
          </a:extLst>
        </cdr:cNvPr>
        <cdr:cNvCxnSpPr/>
      </cdr:nvCxnSpPr>
      <cdr:spPr>
        <a:xfrm xmlns:a="http://schemas.openxmlformats.org/drawingml/2006/main" flipH="1">
          <a:off x="3734682" y="1652825"/>
          <a:ext cx="9061" cy="448342"/>
        </a:xfrm>
        <a:prstGeom xmlns:a="http://schemas.openxmlformats.org/drawingml/2006/main" prst="line">
          <a:avLst/>
        </a:prstGeom>
        <a:ln xmlns:a="http://schemas.openxmlformats.org/drawingml/2006/main">
          <a:headEnd type="none" w="med" len="med"/>
          <a:tailEnd type="triangle" w="med" len="med"/>
        </a:ln>
      </cdr:spPr>
      <cdr:style>
        <a:lnRef xmlns:a="http://schemas.openxmlformats.org/drawingml/2006/main" idx="2">
          <a:schemeClr val="accent2"/>
        </a:lnRef>
        <a:fillRef xmlns:a="http://schemas.openxmlformats.org/drawingml/2006/main" idx="0">
          <a:schemeClr val="accent2"/>
        </a:fillRef>
        <a:effectRef xmlns:a="http://schemas.openxmlformats.org/drawingml/2006/main" idx="1">
          <a:schemeClr val="accent2"/>
        </a:effectRef>
        <a:fontRef xmlns:a="http://schemas.openxmlformats.org/drawingml/2006/main" idx="minor">
          <a:schemeClr val="tx1"/>
        </a:fontRef>
      </cdr:style>
    </cdr:cxnSp>
  </cdr:relSizeAnchor>
  <cdr:relSizeAnchor xmlns:cdr="http://schemas.openxmlformats.org/drawingml/2006/chartDrawing">
    <cdr:from>
      <cdr:x>0.74068</cdr:x>
      <cdr:y>0.79039</cdr:y>
    </cdr:from>
    <cdr:to>
      <cdr:x>0.77972</cdr:x>
      <cdr:y>0.84035</cdr:y>
    </cdr:to>
    <cdr:sp macro="" textlink="">
      <cdr:nvSpPr>
        <cdr:cNvPr id="15" name="Arrow: Right 14">
          <a:extLst xmlns:a="http://schemas.openxmlformats.org/drawingml/2006/main">
            <a:ext uri="{FF2B5EF4-FFF2-40B4-BE49-F238E27FC236}">
              <a16:creationId xmlns:a16="http://schemas.microsoft.com/office/drawing/2014/main" id="{CE7B320C-B9E3-451E-B32A-5A4539AFD6D0}"/>
            </a:ext>
          </a:extLst>
        </cdr:cNvPr>
        <cdr:cNvSpPr/>
      </cdr:nvSpPr>
      <cdr:spPr>
        <a:xfrm xmlns:a="http://schemas.openxmlformats.org/drawingml/2006/main" rot="10800000">
          <a:off x="6255327" y="3740960"/>
          <a:ext cx="329711" cy="236460"/>
        </a:xfrm>
        <a:prstGeom xmlns:a="http://schemas.openxmlformats.org/drawingml/2006/main" prst="rightArrow">
          <a:avLst/>
        </a:prstGeom>
        <a:solidFill xmlns:a="http://schemas.openxmlformats.org/drawingml/2006/main">
          <a:schemeClr val="accent3">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0.78706</cdr:x>
      <cdr:y>0.76645</cdr:y>
    </cdr:from>
    <cdr:to>
      <cdr:x>0.97927</cdr:x>
      <cdr:y>0.91071</cdr:y>
    </cdr:to>
    <cdr:sp macro="" textlink="">
      <cdr:nvSpPr>
        <cdr:cNvPr id="16" name="Rectangle 15">
          <a:extLst xmlns:a="http://schemas.openxmlformats.org/drawingml/2006/main">
            <a:ext uri="{FF2B5EF4-FFF2-40B4-BE49-F238E27FC236}">
              <a16:creationId xmlns:a16="http://schemas.microsoft.com/office/drawing/2014/main" id="{84F3E267-180C-4FB0-8AF4-0E419E841449}"/>
            </a:ext>
          </a:extLst>
        </cdr:cNvPr>
        <cdr:cNvSpPr/>
      </cdr:nvSpPr>
      <cdr:spPr>
        <a:xfrm xmlns:a="http://schemas.openxmlformats.org/drawingml/2006/main">
          <a:off x="6646962" y="3627669"/>
          <a:ext cx="1623269" cy="68279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en-US" sz="900" i="0">
              <a:solidFill>
                <a:schemeClr val="tx2"/>
              </a:solidFill>
            </a:rPr>
            <a:t>When</a:t>
          </a:r>
          <a:r>
            <a:rPr lang="en-US" sz="900" i="0" baseline="0">
              <a:solidFill>
                <a:schemeClr val="tx2"/>
              </a:solidFill>
            </a:rPr>
            <a:t> averaged with the UC determination for the prior period, gives a value (6.36%) consistent with our proposed trailing average (6.37%)</a:t>
          </a:r>
          <a:endParaRPr lang="en-US" sz="900" i="0">
            <a:solidFill>
              <a:schemeClr val="tx2"/>
            </a:solidFill>
          </a:endParaRPr>
        </a:p>
      </cdr:txBody>
    </cdr:sp>
  </cdr:relSizeAnchor>
  <cdr:relSizeAnchor xmlns:cdr="http://schemas.openxmlformats.org/drawingml/2006/chartDrawing">
    <cdr:from>
      <cdr:x>0.22355</cdr:x>
      <cdr:y>0.06067</cdr:y>
    </cdr:from>
    <cdr:to>
      <cdr:x>0.35287</cdr:x>
      <cdr:y>0.39</cdr:y>
    </cdr:to>
    <cdr:sp macro="" textlink="">
      <cdr:nvSpPr>
        <cdr:cNvPr id="2" name="Oval 1">
          <a:extLst xmlns:a="http://schemas.openxmlformats.org/drawingml/2006/main">
            <a:ext uri="{FF2B5EF4-FFF2-40B4-BE49-F238E27FC236}">
              <a16:creationId xmlns:a16="http://schemas.microsoft.com/office/drawing/2014/main" id="{05388C99-4C25-4B2E-8CD5-79800085020D}"/>
            </a:ext>
          </a:extLst>
        </cdr:cNvPr>
        <cdr:cNvSpPr/>
      </cdr:nvSpPr>
      <cdr:spPr>
        <a:xfrm xmlns:a="http://schemas.openxmlformats.org/drawingml/2006/main">
          <a:off x="1892969" y="288941"/>
          <a:ext cx="1095046" cy="1568434"/>
        </a:xfrm>
        <a:prstGeom xmlns:a="http://schemas.openxmlformats.org/drawingml/2006/main" prst="ellipse">
          <a:avLst/>
        </a:prstGeom>
        <a:solidFill xmlns:a="http://schemas.openxmlformats.org/drawingml/2006/main">
          <a:schemeClr val="accent4">
            <a:alpha val="50000"/>
          </a:scheme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157163</xdr:colOff>
      <xdr:row>9</xdr:row>
      <xdr:rowOff>85725</xdr:rowOff>
    </xdr:from>
    <xdr:to>
      <xdr:col>9</xdr:col>
      <xdr:colOff>133351</xdr:colOff>
      <xdr:row>28</xdr:row>
      <xdr:rowOff>133351</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249</xdr:row>
      <xdr:rowOff>0</xdr:rowOff>
    </xdr:from>
    <xdr:to>
      <xdr:col>3</xdr:col>
      <xdr:colOff>502920</xdr:colOff>
      <xdr:row>267</xdr:row>
      <xdr:rowOff>45720</xdr:rowOff>
    </xdr:to>
    <xdr:pic>
      <xdr:nvPicPr>
        <xdr:cNvPr id="5" name="Picture 4">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948380"/>
          <a:ext cx="2731770" cy="2994660"/>
        </a:xfrm>
        <a:prstGeom prst="rect">
          <a:avLst/>
        </a:prstGeom>
        <a:noFill/>
      </xdr:spPr>
    </xdr:pic>
    <xdr:clientData/>
  </xdr:twoCellAnchor>
  <xdr:twoCellAnchor editAs="oneCell">
    <xdr:from>
      <xdr:col>2</xdr:col>
      <xdr:colOff>0</xdr:colOff>
      <xdr:row>140</xdr:row>
      <xdr:rowOff>0</xdr:rowOff>
    </xdr:from>
    <xdr:to>
      <xdr:col>6</xdr:col>
      <xdr:colOff>533954</xdr:colOff>
      <xdr:row>158</xdr:row>
      <xdr:rowOff>114300</xdr:rowOff>
    </xdr:to>
    <xdr:pic>
      <xdr:nvPicPr>
        <xdr:cNvPr id="7" name="Picture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stretch>
          <a:fillRect/>
        </a:stretch>
      </xdr:blipFill>
      <xdr:spPr>
        <a:xfrm>
          <a:off x="476250" y="27917775"/>
          <a:ext cx="4905929" cy="3114675"/>
        </a:xfrm>
        <a:prstGeom prst="rect">
          <a:avLst/>
        </a:prstGeom>
      </xdr:spPr>
    </xdr:pic>
    <xdr:clientData/>
  </xdr:twoCellAnchor>
  <xdr:twoCellAnchor editAs="oneCell">
    <xdr:from>
      <xdr:col>2</xdr:col>
      <xdr:colOff>1</xdr:colOff>
      <xdr:row>7</xdr:row>
      <xdr:rowOff>1</xdr:rowOff>
    </xdr:from>
    <xdr:to>
      <xdr:col>8</xdr:col>
      <xdr:colOff>425672</xdr:colOff>
      <xdr:row>42</xdr:row>
      <xdr:rowOff>61914</xdr:rowOff>
    </xdr:to>
    <xdr:pic>
      <xdr:nvPicPr>
        <xdr:cNvPr id="8" name="Picture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3"/>
        <a:stretch>
          <a:fillRect/>
        </a:stretch>
      </xdr:blipFill>
      <xdr:spPr>
        <a:xfrm>
          <a:off x="476251" y="1223964"/>
          <a:ext cx="6226396" cy="5943600"/>
        </a:xfrm>
        <a:prstGeom prst="rect">
          <a:avLst/>
        </a:prstGeom>
      </xdr:spPr>
    </xdr:pic>
    <xdr:clientData/>
  </xdr:twoCellAnchor>
  <xdr:twoCellAnchor editAs="oneCell">
    <xdr:from>
      <xdr:col>2</xdr:col>
      <xdr:colOff>0</xdr:colOff>
      <xdr:row>161</xdr:row>
      <xdr:rowOff>0</xdr:rowOff>
    </xdr:from>
    <xdr:to>
      <xdr:col>5</xdr:col>
      <xdr:colOff>143451</xdr:colOff>
      <xdr:row>184</xdr:row>
      <xdr:rowOff>19049</xdr:rowOff>
    </xdr:to>
    <xdr:pic>
      <xdr:nvPicPr>
        <xdr:cNvPr id="9" name="Picture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4"/>
        <a:stretch>
          <a:fillRect/>
        </a:stretch>
      </xdr:blipFill>
      <xdr:spPr>
        <a:xfrm>
          <a:off x="476250" y="31418213"/>
          <a:ext cx="3801051" cy="3852862"/>
        </a:xfrm>
        <a:prstGeom prst="rect">
          <a:avLst/>
        </a:prstGeom>
      </xdr:spPr>
    </xdr:pic>
    <xdr:clientData/>
  </xdr:twoCellAnchor>
  <xdr:twoCellAnchor editAs="oneCell">
    <xdr:from>
      <xdr:col>2</xdr:col>
      <xdr:colOff>0</xdr:colOff>
      <xdr:row>209</xdr:row>
      <xdr:rowOff>0</xdr:rowOff>
    </xdr:from>
    <xdr:to>
      <xdr:col>10</xdr:col>
      <xdr:colOff>71904</xdr:colOff>
      <xdr:row>231</xdr:row>
      <xdr:rowOff>71437</xdr:rowOff>
    </xdr:to>
    <xdr:pic>
      <xdr:nvPicPr>
        <xdr:cNvPr id="10" name="Picture 9">
          <a:extLst>
            <a:ext uri="{FF2B5EF4-FFF2-40B4-BE49-F238E27FC236}">
              <a16:creationId xmlns:a16="http://schemas.microsoft.com/office/drawing/2014/main" id="{00000000-0008-0000-2500-00000A000000}"/>
            </a:ext>
          </a:extLst>
        </xdr:cNvPr>
        <xdr:cNvPicPr>
          <a:picLocks noChangeAspect="1"/>
        </xdr:cNvPicPr>
      </xdr:nvPicPr>
      <xdr:blipFill>
        <a:blip xmlns:r="http://schemas.openxmlformats.org/officeDocument/2006/relationships" r:embed="rId5"/>
        <a:stretch>
          <a:fillRect/>
        </a:stretch>
      </xdr:blipFill>
      <xdr:spPr>
        <a:xfrm>
          <a:off x="476250" y="39838313"/>
          <a:ext cx="7301379" cy="3738562"/>
        </a:xfrm>
        <a:prstGeom prst="rect">
          <a:avLst/>
        </a:prstGeom>
      </xdr:spPr>
    </xdr:pic>
    <xdr:clientData/>
  </xdr:twoCellAnchor>
  <xdr:twoCellAnchor editAs="oneCell">
    <xdr:from>
      <xdr:col>2</xdr:col>
      <xdr:colOff>0</xdr:colOff>
      <xdr:row>407</xdr:row>
      <xdr:rowOff>0</xdr:rowOff>
    </xdr:from>
    <xdr:to>
      <xdr:col>6</xdr:col>
      <xdr:colOff>285115</xdr:colOff>
      <xdr:row>422</xdr:row>
      <xdr:rowOff>127636</xdr:rowOff>
    </xdr:to>
    <xdr:pic>
      <xdr:nvPicPr>
        <xdr:cNvPr id="11" name="Picture 10">
          <a:extLst>
            <a:ext uri="{FF2B5EF4-FFF2-40B4-BE49-F238E27FC236}">
              <a16:creationId xmlns:a16="http://schemas.microsoft.com/office/drawing/2014/main" id="{00000000-0008-0000-2500-00000B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72440" y="76958190"/>
          <a:ext cx="4651375" cy="2585085"/>
        </a:xfrm>
        <a:prstGeom prst="rect">
          <a:avLst/>
        </a:prstGeom>
        <a:noFill/>
      </xdr:spPr>
    </xdr:pic>
    <xdr:clientData/>
  </xdr:twoCellAnchor>
  <xdr:twoCellAnchor editAs="oneCell">
    <xdr:from>
      <xdr:col>2</xdr:col>
      <xdr:colOff>0</xdr:colOff>
      <xdr:row>426</xdr:row>
      <xdr:rowOff>0</xdr:rowOff>
    </xdr:from>
    <xdr:to>
      <xdr:col>6</xdr:col>
      <xdr:colOff>495935</xdr:colOff>
      <xdr:row>447</xdr:row>
      <xdr:rowOff>1269</xdr:rowOff>
    </xdr:to>
    <xdr:pic>
      <xdr:nvPicPr>
        <xdr:cNvPr id="12" name="Picture 11">
          <a:extLst>
            <a:ext uri="{FF2B5EF4-FFF2-40B4-BE49-F238E27FC236}">
              <a16:creationId xmlns:a16="http://schemas.microsoft.com/office/drawing/2014/main" id="{00000000-0008-0000-2500-00000C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2440" y="80070960"/>
          <a:ext cx="4862195" cy="3441700"/>
        </a:xfrm>
        <a:prstGeom prst="rect">
          <a:avLst/>
        </a:prstGeom>
        <a:noFill/>
        <a:ln>
          <a:noFill/>
        </a:ln>
      </xdr:spPr>
    </xdr:pic>
    <xdr:clientData/>
  </xdr:twoCellAnchor>
  <xdr:twoCellAnchor>
    <xdr:from>
      <xdr:col>2</xdr:col>
      <xdr:colOff>0</xdr:colOff>
      <xdr:row>500</xdr:row>
      <xdr:rowOff>0</xdr:rowOff>
    </xdr:from>
    <xdr:to>
      <xdr:col>7</xdr:col>
      <xdr:colOff>454847</xdr:colOff>
      <xdr:row>519</xdr:row>
      <xdr:rowOff>127467</xdr:rowOff>
    </xdr:to>
    <xdr:graphicFrame macro="">
      <xdr:nvGraphicFramePr>
        <xdr:cNvPr id="13" name="Chart 12">
          <a:extLst>
            <a:ext uri="{FF2B5EF4-FFF2-40B4-BE49-F238E27FC236}">
              <a16:creationId xmlns:a16="http://schemas.microsoft.com/office/drawing/2014/main" id="{00000000-0008-0000-2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61</xdr:row>
      <xdr:rowOff>0</xdr:rowOff>
    </xdr:from>
    <xdr:to>
      <xdr:col>6</xdr:col>
      <xdr:colOff>485775</xdr:colOff>
      <xdr:row>82</xdr:row>
      <xdr:rowOff>23813</xdr:rowOff>
    </xdr:to>
    <xdr:pic>
      <xdr:nvPicPr>
        <xdr:cNvPr id="14" name="Picture 9" descr="image002">
          <a:extLst>
            <a:ext uri="{FF2B5EF4-FFF2-40B4-BE49-F238E27FC236}">
              <a16:creationId xmlns:a16="http://schemas.microsoft.com/office/drawing/2014/main" id="{851FB35D-45B3-439D-8ACA-7A4952CB16D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76250" y="10339388"/>
          <a:ext cx="485775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228600</xdr:colOff>
      <xdr:row>39</xdr:row>
      <xdr:rowOff>13335</xdr:rowOff>
    </xdr:from>
    <xdr:to>
      <xdr:col>7</xdr:col>
      <xdr:colOff>3810</xdr:colOff>
      <xdr:row>55</xdr:row>
      <xdr:rowOff>135255</xdr:rowOff>
    </xdr:to>
    <xdr:graphicFrame macro="">
      <xdr:nvGraphicFramePr>
        <xdr:cNvPr id="10" name="Chart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87</xdr:row>
      <xdr:rowOff>13335</xdr:rowOff>
    </xdr:from>
    <xdr:to>
      <xdr:col>7</xdr:col>
      <xdr:colOff>3810</xdr:colOff>
      <xdr:row>103</xdr:row>
      <xdr:rowOff>135255</xdr:rowOff>
    </xdr:to>
    <xdr:graphicFrame macro="">
      <xdr:nvGraphicFramePr>
        <xdr:cNvPr id="11" name="Chart 10">
          <a:extLst>
            <a:ext uri="{FF2B5EF4-FFF2-40B4-BE49-F238E27FC236}">
              <a16:creationId xmlns:a16="http://schemas.microsoft.com/office/drawing/2014/main" id="{00000000-0008-0000-2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63</xdr:row>
      <xdr:rowOff>0</xdr:rowOff>
    </xdr:from>
    <xdr:to>
      <xdr:col>7</xdr:col>
      <xdr:colOff>22860</xdr:colOff>
      <xdr:row>79</xdr:row>
      <xdr:rowOff>121920</xdr:rowOff>
    </xdr:to>
    <xdr:graphicFrame macro="">
      <xdr:nvGraphicFramePr>
        <xdr:cNvPr id="21" name="Chart 20">
          <a:extLst>
            <a:ext uri="{FF2B5EF4-FFF2-40B4-BE49-F238E27FC236}">
              <a16:creationId xmlns:a16="http://schemas.microsoft.com/office/drawing/2014/main" id="{00000000-0008-0000-2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815340</xdr:colOff>
      <xdr:row>39</xdr:row>
      <xdr:rowOff>7620</xdr:rowOff>
    </xdr:from>
    <xdr:to>
      <xdr:col>4</xdr:col>
      <xdr:colOff>102870</xdr:colOff>
      <xdr:row>40</xdr:row>
      <xdr:rowOff>114300</xdr:rowOff>
    </xdr:to>
    <xdr:sp macro="" textlink="$R$36">
      <xdr:nvSpPr>
        <xdr:cNvPr id="13" name="Rectangle 12">
          <a:extLst>
            <a:ext uri="{FF2B5EF4-FFF2-40B4-BE49-F238E27FC236}">
              <a16:creationId xmlns:a16="http://schemas.microsoft.com/office/drawing/2014/main" id="{00000000-0008-0000-2700-00000D000000}"/>
            </a:ext>
          </a:extLst>
        </xdr:cNvPr>
        <xdr:cNvSpPr/>
      </xdr:nvSpPr>
      <xdr:spPr>
        <a:xfrm>
          <a:off x="1558290" y="9986010"/>
          <a:ext cx="1333500" cy="270510"/>
        </a:xfrm>
        <a:prstGeom prst="rect">
          <a:avLst/>
        </a:prstGeom>
        <a:solidFill>
          <a:srgbClr val="2A3D6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9121F80-6A7C-46B4-A5D1-FE17D1823905}" type="TxLink">
            <a:rPr lang="en-US" sz="800" b="1" i="0" u="none" strike="noStrike">
              <a:solidFill>
                <a:schemeClr val="bg1"/>
              </a:solidFill>
              <a:latin typeface="Goudy Old Style"/>
            </a:rPr>
            <a:pPr algn="ctr"/>
            <a:t>Period 1: $389.2</a:t>
          </a:fld>
          <a:endParaRPr lang="en-AU" sz="800" b="1">
            <a:solidFill>
              <a:schemeClr val="bg1"/>
            </a:solidFill>
          </a:endParaRPr>
        </a:p>
      </xdr:txBody>
    </xdr:sp>
    <xdr:clientData/>
  </xdr:twoCellAnchor>
  <xdr:twoCellAnchor>
    <xdr:from>
      <xdr:col>4</xdr:col>
      <xdr:colOff>217170</xdr:colOff>
      <xdr:row>39</xdr:row>
      <xdr:rowOff>7620</xdr:rowOff>
    </xdr:from>
    <xdr:to>
      <xdr:col>5</xdr:col>
      <xdr:colOff>716280</xdr:colOff>
      <xdr:row>40</xdr:row>
      <xdr:rowOff>114300</xdr:rowOff>
    </xdr:to>
    <xdr:sp macro="" textlink="$S$36">
      <xdr:nvSpPr>
        <xdr:cNvPr id="14" name="Rectangle 13">
          <a:extLst>
            <a:ext uri="{FF2B5EF4-FFF2-40B4-BE49-F238E27FC236}">
              <a16:creationId xmlns:a16="http://schemas.microsoft.com/office/drawing/2014/main" id="{00000000-0008-0000-2700-00000E000000}"/>
            </a:ext>
          </a:extLst>
        </xdr:cNvPr>
        <xdr:cNvSpPr/>
      </xdr:nvSpPr>
      <xdr:spPr>
        <a:xfrm>
          <a:off x="3006090" y="9986010"/>
          <a:ext cx="1333500" cy="270510"/>
        </a:xfrm>
        <a:prstGeom prst="rect">
          <a:avLst/>
        </a:prstGeom>
        <a:solidFill>
          <a:srgbClr val="75842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C047AE7-6339-4979-9C9F-4C2437D7A3B5}" type="TxLink">
            <a:rPr lang="en-US" sz="800" b="1" i="0" u="none" strike="noStrike">
              <a:solidFill>
                <a:schemeClr val="bg1"/>
              </a:solidFill>
              <a:latin typeface="Goudy Old Style"/>
            </a:rPr>
            <a:pPr algn="ctr"/>
            <a:t>Period 2: $339.3 (--12.84%)</a:t>
          </a:fld>
          <a:endParaRPr lang="en-AU" sz="800" b="1">
            <a:solidFill>
              <a:schemeClr val="bg1"/>
            </a:solidFill>
          </a:endParaRPr>
        </a:p>
      </xdr:txBody>
    </xdr:sp>
    <xdr:clientData/>
  </xdr:twoCellAnchor>
  <xdr:twoCellAnchor>
    <xdr:from>
      <xdr:col>3</xdr:col>
      <xdr:colOff>857250</xdr:colOff>
      <xdr:row>87</xdr:row>
      <xdr:rowOff>34290</xdr:rowOff>
    </xdr:from>
    <xdr:to>
      <xdr:col>4</xdr:col>
      <xdr:colOff>144780</xdr:colOff>
      <xdr:row>88</xdr:row>
      <xdr:rowOff>140970</xdr:rowOff>
    </xdr:to>
    <xdr:sp macro="" textlink="$R$85">
      <xdr:nvSpPr>
        <xdr:cNvPr id="15" name="Rectangle 14">
          <a:extLst>
            <a:ext uri="{FF2B5EF4-FFF2-40B4-BE49-F238E27FC236}">
              <a16:creationId xmlns:a16="http://schemas.microsoft.com/office/drawing/2014/main" id="{00000000-0008-0000-2700-00000F000000}"/>
            </a:ext>
          </a:extLst>
        </xdr:cNvPr>
        <xdr:cNvSpPr/>
      </xdr:nvSpPr>
      <xdr:spPr>
        <a:xfrm>
          <a:off x="1600200" y="13975080"/>
          <a:ext cx="1333500" cy="270510"/>
        </a:xfrm>
        <a:prstGeom prst="rect">
          <a:avLst/>
        </a:prstGeom>
        <a:solidFill>
          <a:srgbClr val="2A3D6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BD329F5-7019-426E-8136-54ED0B99EB13}" type="TxLink">
            <a:rPr lang="en-US" sz="800" b="1" i="0" u="none" strike="noStrike">
              <a:solidFill>
                <a:schemeClr val="bg1"/>
              </a:solidFill>
              <a:latin typeface="Goudy Old Style"/>
            </a:rPr>
            <a:pPr algn="ctr"/>
            <a:t>Period 1: $356.4</a:t>
          </a:fld>
          <a:endParaRPr lang="en-AU" sz="800" b="1">
            <a:solidFill>
              <a:schemeClr val="bg1"/>
            </a:solidFill>
          </a:endParaRPr>
        </a:p>
      </xdr:txBody>
    </xdr:sp>
    <xdr:clientData/>
  </xdr:twoCellAnchor>
  <xdr:twoCellAnchor>
    <xdr:from>
      <xdr:col>4</xdr:col>
      <xdr:colOff>270510</xdr:colOff>
      <xdr:row>87</xdr:row>
      <xdr:rowOff>38100</xdr:rowOff>
    </xdr:from>
    <xdr:to>
      <xdr:col>5</xdr:col>
      <xdr:colOff>769620</xdr:colOff>
      <xdr:row>88</xdr:row>
      <xdr:rowOff>144780</xdr:rowOff>
    </xdr:to>
    <xdr:sp macro="" textlink="$S$85">
      <xdr:nvSpPr>
        <xdr:cNvPr id="16" name="Rectangle 15">
          <a:extLst>
            <a:ext uri="{FF2B5EF4-FFF2-40B4-BE49-F238E27FC236}">
              <a16:creationId xmlns:a16="http://schemas.microsoft.com/office/drawing/2014/main" id="{00000000-0008-0000-2700-000010000000}"/>
            </a:ext>
          </a:extLst>
        </xdr:cNvPr>
        <xdr:cNvSpPr/>
      </xdr:nvSpPr>
      <xdr:spPr>
        <a:xfrm>
          <a:off x="3059430" y="13978890"/>
          <a:ext cx="1333500" cy="270510"/>
        </a:xfrm>
        <a:prstGeom prst="rect">
          <a:avLst/>
        </a:prstGeom>
        <a:solidFill>
          <a:srgbClr val="75842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021F8EA-8EEF-4A1E-BA60-2A629BD87CCA}" type="TxLink">
            <a:rPr lang="en-US" sz="800" b="1" i="0" u="none" strike="noStrike">
              <a:solidFill>
                <a:schemeClr val="bg1"/>
              </a:solidFill>
              <a:latin typeface="Goudy Old Style"/>
            </a:rPr>
            <a:pPr algn="ctr"/>
            <a:t>Period 2: $445.6 (+25.06%)</a:t>
          </a:fld>
          <a:endParaRPr lang="en-AU" sz="800" b="1">
            <a:solidFill>
              <a:schemeClr val="bg1"/>
            </a:solidFill>
          </a:endParaRPr>
        </a:p>
      </xdr:txBody>
    </xdr:sp>
    <xdr:clientData/>
  </xdr:twoCellAnchor>
  <xdr:twoCellAnchor>
    <xdr:from>
      <xdr:col>3</xdr:col>
      <xdr:colOff>1</xdr:colOff>
      <xdr:row>13</xdr:row>
      <xdr:rowOff>0</xdr:rowOff>
    </xdr:from>
    <xdr:to>
      <xdr:col>8</xdr:col>
      <xdr:colOff>785814</xdr:colOff>
      <xdr:row>29</xdr:row>
      <xdr:rowOff>121920</xdr:rowOff>
    </xdr:to>
    <xdr:graphicFrame macro="">
      <xdr:nvGraphicFramePr>
        <xdr:cNvPr id="9" name="Chart 8">
          <a:extLst>
            <a:ext uri="{FF2B5EF4-FFF2-40B4-BE49-F238E27FC236}">
              <a16:creationId xmlns:a16="http://schemas.microsoft.com/office/drawing/2014/main" id="{C615A9E3-879A-4891-8A0C-DD0CD44B5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228600</xdr:colOff>
      <xdr:row>111</xdr:row>
      <xdr:rowOff>13335</xdr:rowOff>
    </xdr:from>
    <xdr:to>
      <xdr:col>7</xdr:col>
      <xdr:colOff>3810</xdr:colOff>
      <xdr:row>127</xdr:row>
      <xdr:rowOff>135255</xdr:rowOff>
    </xdr:to>
    <xdr:graphicFrame macro="">
      <xdr:nvGraphicFramePr>
        <xdr:cNvPr id="12" name="Chart 11">
          <a:extLst>
            <a:ext uri="{FF2B5EF4-FFF2-40B4-BE49-F238E27FC236}">
              <a16:creationId xmlns:a16="http://schemas.microsoft.com/office/drawing/2014/main" id="{A80BC5E6-4734-4AD4-B3B7-EBB4246B5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857250</xdr:colOff>
      <xdr:row>111</xdr:row>
      <xdr:rowOff>34290</xdr:rowOff>
    </xdr:from>
    <xdr:to>
      <xdr:col>4</xdr:col>
      <xdr:colOff>144780</xdr:colOff>
      <xdr:row>112</xdr:row>
      <xdr:rowOff>140970</xdr:rowOff>
    </xdr:to>
    <xdr:sp macro="" textlink="$R$109">
      <xdr:nvSpPr>
        <xdr:cNvPr id="17" name="Rectangle 16">
          <a:extLst>
            <a:ext uri="{FF2B5EF4-FFF2-40B4-BE49-F238E27FC236}">
              <a16:creationId xmlns:a16="http://schemas.microsoft.com/office/drawing/2014/main" id="{D8C2C73A-A102-4EFE-9A9F-CB51B7E0D5F9}"/>
            </a:ext>
          </a:extLst>
        </xdr:cNvPr>
        <xdr:cNvSpPr/>
      </xdr:nvSpPr>
      <xdr:spPr>
        <a:xfrm>
          <a:off x="1565910" y="14489430"/>
          <a:ext cx="1333500" cy="270510"/>
        </a:xfrm>
        <a:prstGeom prst="rect">
          <a:avLst/>
        </a:prstGeom>
        <a:solidFill>
          <a:srgbClr val="2A3D6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184AD3A-DA66-4A94-A9AE-488BBE450325}" type="TxLink">
            <a:rPr lang="en-US" sz="800" b="0" i="0" u="none" strike="noStrike">
              <a:solidFill>
                <a:schemeClr val="bg1"/>
              </a:solidFill>
              <a:latin typeface="Goudy Old Style"/>
            </a:rPr>
            <a:pPr algn="ctr"/>
            <a:t>Period 1: $870.4</a:t>
          </a:fld>
          <a:endParaRPr lang="en-AU" sz="800" b="1">
            <a:solidFill>
              <a:schemeClr val="bg1"/>
            </a:solidFill>
          </a:endParaRPr>
        </a:p>
      </xdr:txBody>
    </xdr:sp>
    <xdr:clientData/>
  </xdr:twoCellAnchor>
  <xdr:twoCellAnchor>
    <xdr:from>
      <xdr:col>4</xdr:col>
      <xdr:colOff>270510</xdr:colOff>
      <xdr:row>111</xdr:row>
      <xdr:rowOff>38100</xdr:rowOff>
    </xdr:from>
    <xdr:to>
      <xdr:col>5</xdr:col>
      <xdr:colOff>769620</xdr:colOff>
      <xdr:row>112</xdr:row>
      <xdr:rowOff>144780</xdr:rowOff>
    </xdr:to>
    <xdr:sp macro="" textlink="$S$109">
      <xdr:nvSpPr>
        <xdr:cNvPr id="18" name="Rectangle 17">
          <a:extLst>
            <a:ext uri="{FF2B5EF4-FFF2-40B4-BE49-F238E27FC236}">
              <a16:creationId xmlns:a16="http://schemas.microsoft.com/office/drawing/2014/main" id="{E23C9690-94F2-4AD6-8D52-84EE21760EC6}"/>
            </a:ext>
          </a:extLst>
        </xdr:cNvPr>
        <xdr:cNvSpPr/>
      </xdr:nvSpPr>
      <xdr:spPr>
        <a:xfrm>
          <a:off x="3025140" y="14493240"/>
          <a:ext cx="1325880" cy="270510"/>
        </a:xfrm>
        <a:prstGeom prst="rect">
          <a:avLst/>
        </a:prstGeom>
        <a:solidFill>
          <a:srgbClr val="75842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DCE7B4-279B-4527-B993-D5F785164F4A}" type="TxLink">
            <a:rPr lang="en-US" sz="800" b="0" i="0" u="none" strike="noStrike">
              <a:solidFill>
                <a:schemeClr val="bg1"/>
              </a:solidFill>
              <a:latin typeface="Goudy Old Style"/>
            </a:rPr>
            <a:pPr algn="ctr"/>
            <a:t>Period 2: $861.7 (--1.00%)</a:t>
          </a:fld>
          <a:endParaRPr lang="en-AU" sz="800" b="1">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48</xdr:row>
      <xdr:rowOff>0</xdr:rowOff>
    </xdr:from>
    <xdr:to>
      <xdr:col>8</xdr:col>
      <xdr:colOff>493055</xdr:colOff>
      <xdr:row>67</xdr:row>
      <xdr:rowOff>9229</xdr:rowOff>
    </xdr:to>
    <xdr:pic>
      <xdr:nvPicPr>
        <xdr:cNvPr id="7" name="Picture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1"/>
        <a:stretch>
          <a:fillRect/>
        </a:stretch>
      </xdr:blipFill>
      <xdr:spPr>
        <a:xfrm>
          <a:off x="714375" y="9625013"/>
          <a:ext cx="4865030" cy="3176291"/>
        </a:xfrm>
        <a:prstGeom prst="rect">
          <a:avLst/>
        </a:prstGeom>
      </xdr:spPr>
    </xdr:pic>
    <xdr:clientData/>
  </xdr:twoCellAnchor>
  <xdr:twoCellAnchor editAs="oneCell">
    <xdr:from>
      <xdr:col>3</xdr:col>
      <xdr:colOff>0</xdr:colOff>
      <xdr:row>205</xdr:row>
      <xdr:rowOff>0</xdr:rowOff>
    </xdr:from>
    <xdr:to>
      <xdr:col>8</xdr:col>
      <xdr:colOff>131445</xdr:colOff>
      <xdr:row>232</xdr:row>
      <xdr:rowOff>118111</xdr:rowOff>
    </xdr:to>
    <xdr:pic>
      <xdr:nvPicPr>
        <xdr:cNvPr id="4" name="Picture 3">
          <a:extLst>
            <a:ext uri="{FF2B5EF4-FFF2-40B4-BE49-F238E27FC236}">
              <a16:creationId xmlns:a16="http://schemas.microsoft.com/office/drawing/2014/main" id="{00000000-0008-0000-2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8660" y="37101780"/>
          <a:ext cx="4493895" cy="4541520"/>
        </a:xfrm>
        <a:prstGeom prst="rect">
          <a:avLst/>
        </a:prstGeom>
        <a:noFill/>
        <a:ln>
          <a:noFill/>
        </a:ln>
      </xdr:spPr>
    </xdr:pic>
    <xdr:clientData/>
  </xdr:twoCellAnchor>
  <xdr:twoCellAnchor editAs="oneCell">
    <xdr:from>
      <xdr:col>3</xdr:col>
      <xdr:colOff>0</xdr:colOff>
      <xdr:row>236</xdr:row>
      <xdr:rowOff>0</xdr:rowOff>
    </xdr:from>
    <xdr:to>
      <xdr:col>8</xdr:col>
      <xdr:colOff>499745</xdr:colOff>
      <xdr:row>270</xdr:row>
      <xdr:rowOff>25400</xdr:rowOff>
    </xdr:to>
    <xdr:pic>
      <xdr:nvPicPr>
        <xdr:cNvPr id="5" name="Picture 4">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8660" y="42180510"/>
          <a:ext cx="4862195" cy="5595620"/>
        </a:xfrm>
        <a:prstGeom prst="rect">
          <a:avLst/>
        </a:prstGeom>
        <a:noFill/>
        <a:ln>
          <a:noFill/>
        </a:ln>
      </xdr:spPr>
    </xdr:pic>
    <xdr:clientData/>
  </xdr:twoCellAnchor>
  <xdr:twoCellAnchor editAs="oneCell">
    <xdr:from>
      <xdr:col>3</xdr:col>
      <xdr:colOff>0</xdr:colOff>
      <xdr:row>14</xdr:row>
      <xdr:rowOff>0</xdr:rowOff>
    </xdr:from>
    <xdr:to>
      <xdr:col>8</xdr:col>
      <xdr:colOff>490220</xdr:colOff>
      <xdr:row>31</xdr:row>
      <xdr:rowOff>136208</xdr:rowOff>
    </xdr:to>
    <xdr:pic>
      <xdr:nvPicPr>
        <xdr:cNvPr id="6" name="Picture 5">
          <a:extLst>
            <a:ext uri="{FF2B5EF4-FFF2-40B4-BE49-F238E27FC236}">
              <a16:creationId xmlns:a16="http://schemas.microsoft.com/office/drawing/2014/main" id="{26D933C5-6378-4BED-9674-51C5861600CC}"/>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3081338"/>
          <a:ext cx="4862195" cy="296989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7</xdr:row>
      <xdr:rowOff>0</xdr:rowOff>
    </xdr:from>
    <xdr:to>
      <xdr:col>9</xdr:col>
      <xdr:colOff>533400</xdr:colOff>
      <xdr:row>26</xdr:row>
      <xdr:rowOff>61913</xdr:rowOff>
    </xdr:to>
    <xdr:graphicFrame macro="">
      <xdr:nvGraphicFramePr>
        <xdr:cNvPr id="3" name="Diagram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3</xdr:col>
      <xdr:colOff>0</xdr:colOff>
      <xdr:row>58</xdr:row>
      <xdr:rowOff>0</xdr:rowOff>
    </xdr:from>
    <xdr:to>
      <xdr:col>10</xdr:col>
      <xdr:colOff>71755</xdr:colOff>
      <xdr:row>72</xdr:row>
      <xdr:rowOff>52705</xdr:rowOff>
    </xdr:to>
    <xdr:pic>
      <xdr:nvPicPr>
        <xdr:cNvPr id="4" name="Picture 3">
          <a:extLst>
            <a:ext uri="{FF2B5EF4-FFF2-40B4-BE49-F238E27FC236}">
              <a16:creationId xmlns:a16="http://schemas.microsoft.com/office/drawing/2014/main" id="{00000000-0008-0000-2900-000004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865"/>
        <a:stretch/>
      </xdr:blipFill>
      <xdr:spPr bwMode="auto">
        <a:xfrm>
          <a:off x="714375" y="12015788"/>
          <a:ext cx="5605780" cy="23863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99</xdr:row>
      <xdr:rowOff>0</xdr:rowOff>
    </xdr:from>
    <xdr:to>
      <xdr:col>5</xdr:col>
      <xdr:colOff>213995</xdr:colOff>
      <xdr:row>108</xdr:row>
      <xdr:rowOff>66358</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4375" y="18349913"/>
          <a:ext cx="2842895" cy="1566545"/>
        </a:xfrm>
        <a:prstGeom prst="rect">
          <a:avLst/>
        </a:prstGeom>
        <a:noFill/>
        <a:ln>
          <a:noFill/>
        </a:ln>
      </xdr:spPr>
    </xdr:pic>
    <xdr:clientData/>
  </xdr:twoCellAnchor>
  <xdr:twoCellAnchor editAs="oneCell">
    <xdr:from>
      <xdr:col>3</xdr:col>
      <xdr:colOff>0</xdr:colOff>
      <xdr:row>160</xdr:row>
      <xdr:rowOff>0</xdr:rowOff>
    </xdr:from>
    <xdr:to>
      <xdr:col>7</xdr:col>
      <xdr:colOff>467995</xdr:colOff>
      <xdr:row>177</xdr:row>
      <xdr:rowOff>94298</xdr:rowOff>
    </xdr:to>
    <xdr:pic>
      <xdr:nvPicPr>
        <xdr:cNvPr id="7" name="Picture 6">
          <a:extLst>
            <a:ext uri="{FF2B5EF4-FFF2-40B4-BE49-F238E27FC236}">
              <a16:creationId xmlns:a16="http://schemas.microsoft.com/office/drawing/2014/main" id="{00000000-0008-0000-2900-000007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4375" y="22383750"/>
          <a:ext cx="4258945" cy="2927985"/>
        </a:xfrm>
        <a:prstGeom prst="rect">
          <a:avLst/>
        </a:prstGeom>
        <a:noFill/>
        <a:ln>
          <a:noFill/>
        </a:ln>
        <a:effectLst/>
        <a:extLst/>
      </xdr:spPr>
    </xdr:pic>
    <xdr:clientData/>
  </xdr:twoCellAnchor>
  <xdr:twoCellAnchor>
    <xdr:from>
      <xdr:col>3</xdr:col>
      <xdr:colOff>1</xdr:colOff>
      <xdr:row>224</xdr:row>
      <xdr:rowOff>1</xdr:rowOff>
    </xdr:from>
    <xdr:to>
      <xdr:col>9</xdr:col>
      <xdr:colOff>571500</xdr:colOff>
      <xdr:row>246</xdr:row>
      <xdr:rowOff>71438</xdr:rowOff>
    </xdr:to>
    <xdr:graphicFrame macro="">
      <xdr:nvGraphicFramePr>
        <xdr:cNvPr id="11" name="Chart 10">
          <a:extLst>
            <a:ext uri="{FF2B5EF4-FFF2-40B4-BE49-F238E27FC236}">
              <a16:creationId xmlns:a16="http://schemas.microsoft.com/office/drawing/2014/main" id="{00000000-0008-0000-2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80</xdr:row>
      <xdr:rowOff>0</xdr:rowOff>
    </xdr:from>
    <xdr:to>
      <xdr:col>7</xdr:col>
      <xdr:colOff>22860</xdr:colOff>
      <xdr:row>96</xdr:row>
      <xdr:rowOff>121920</xdr:rowOff>
    </xdr:to>
    <xdr:graphicFrame macro="">
      <xdr:nvGraphicFramePr>
        <xdr:cNvPr id="12" name="Chart 11">
          <a:extLst>
            <a:ext uri="{FF2B5EF4-FFF2-40B4-BE49-F238E27FC236}">
              <a16:creationId xmlns:a16="http://schemas.microsoft.com/office/drawing/2014/main" id="{00000000-0008-0000-2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xdr:col>
      <xdr:colOff>0</xdr:colOff>
      <xdr:row>111</xdr:row>
      <xdr:rowOff>0</xdr:rowOff>
    </xdr:from>
    <xdr:to>
      <xdr:col>6</xdr:col>
      <xdr:colOff>572770</xdr:colOff>
      <xdr:row>122</xdr:row>
      <xdr:rowOff>79375</xdr:rowOff>
    </xdr:to>
    <xdr:pic>
      <xdr:nvPicPr>
        <xdr:cNvPr id="8" name="Picture 7" descr="Related image">
          <a:extLst>
            <a:ext uri="{FF2B5EF4-FFF2-40B4-BE49-F238E27FC236}">
              <a16:creationId xmlns:a16="http://schemas.microsoft.com/office/drawing/2014/main" id="{00000000-0008-0000-2900-000008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08660" y="20539710"/>
          <a:ext cx="3776980" cy="1881505"/>
        </a:xfrm>
        <a:prstGeom prst="rect">
          <a:avLst/>
        </a:prstGeom>
        <a:noFill/>
        <a:extLst/>
      </xdr:spPr>
    </xdr:pic>
    <xdr:clientData/>
  </xdr:twoCellAnchor>
  <xdr:twoCellAnchor editAs="oneCell">
    <xdr:from>
      <xdr:col>3</xdr:col>
      <xdr:colOff>0</xdr:colOff>
      <xdr:row>125</xdr:row>
      <xdr:rowOff>0</xdr:rowOff>
    </xdr:from>
    <xdr:to>
      <xdr:col>8</xdr:col>
      <xdr:colOff>549275</xdr:colOff>
      <xdr:row>130</xdr:row>
      <xdr:rowOff>113665</xdr:rowOff>
    </xdr:to>
    <xdr:pic>
      <xdr:nvPicPr>
        <xdr:cNvPr id="9" name="Picture 8">
          <a:extLst>
            <a:ext uri="{FF2B5EF4-FFF2-40B4-BE49-F238E27FC236}">
              <a16:creationId xmlns:a16="http://schemas.microsoft.com/office/drawing/2014/main" id="{00000000-0008-0000-2900-000009000000}"/>
            </a:ext>
          </a:extLst>
        </xdr:cNvPr>
        <xdr:cNvPicPr/>
      </xdr:nvPicPr>
      <xdr:blipFill>
        <a:blip xmlns:r="http://schemas.openxmlformats.org/officeDocument/2006/relationships" r:embed="rId1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708660" y="22833330"/>
          <a:ext cx="4911725" cy="932815"/>
        </a:xfrm>
        <a:prstGeom prst="rect">
          <a:avLst/>
        </a:prstGeom>
      </xdr:spPr>
    </xdr:pic>
    <xdr:clientData/>
  </xdr:twoCellAnchor>
  <xdr:twoCellAnchor editAs="oneCell">
    <xdr:from>
      <xdr:col>3</xdr:col>
      <xdr:colOff>0</xdr:colOff>
      <xdr:row>144</xdr:row>
      <xdr:rowOff>0</xdr:rowOff>
    </xdr:from>
    <xdr:to>
      <xdr:col>9</xdr:col>
      <xdr:colOff>433070</xdr:colOff>
      <xdr:row>156</xdr:row>
      <xdr:rowOff>81915</xdr:rowOff>
    </xdr:to>
    <xdr:pic>
      <xdr:nvPicPr>
        <xdr:cNvPr id="10" name="Picture 9">
          <a:extLst>
            <a:ext uri="{FF2B5EF4-FFF2-40B4-BE49-F238E27FC236}">
              <a16:creationId xmlns:a16="http://schemas.microsoft.com/office/drawing/2014/main" id="{00000000-0008-0000-2900-00000A000000}"/>
            </a:ext>
          </a:extLst>
        </xdr:cNvPr>
        <xdr:cNvPicPr/>
      </xdr:nvPicPr>
      <xdr:blipFill rotWithShape="1">
        <a:blip xmlns:r="http://schemas.openxmlformats.org/officeDocument/2006/relationships" r:embed="rId13">
          <a:duotone>
            <a:schemeClr val="accent1">
              <a:shade val="45000"/>
              <a:satMod val="135000"/>
            </a:schemeClr>
            <a:prstClr val="white"/>
          </a:duotone>
          <a:extLst>
            <a:ext uri="{28A0092B-C50C-407E-A947-70E740481C1C}">
              <a14:useLocalDpi xmlns:a14="http://schemas.microsoft.com/office/drawing/2010/main" val="0"/>
            </a:ext>
          </a:extLst>
        </a:blip>
        <a:srcRect l="2441"/>
        <a:stretch/>
      </xdr:blipFill>
      <xdr:spPr bwMode="auto">
        <a:xfrm>
          <a:off x="708660" y="26750010"/>
          <a:ext cx="5374640" cy="20478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0</xdr:colOff>
      <xdr:row>209</xdr:row>
      <xdr:rowOff>0</xdr:rowOff>
    </xdr:from>
    <xdr:to>
      <xdr:col>10</xdr:col>
      <xdr:colOff>422910</xdr:colOff>
      <xdr:row>213</xdr:row>
      <xdr:rowOff>18415</xdr:rowOff>
    </xdr:to>
    <xdr:pic>
      <xdr:nvPicPr>
        <xdr:cNvPr id="13" name="Picture 12">
          <a:extLst>
            <a:ext uri="{FF2B5EF4-FFF2-40B4-BE49-F238E27FC236}">
              <a16:creationId xmlns:a16="http://schemas.microsoft.com/office/drawing/2014/main" id="{00000000-0008-0000-2900-00000D000000}"/>
            </a:ext>
          </a:extLst>
        </xdr:cNvPr>
        <xdr:cNvPicPr/>
      </xdr:nvPicPr>
      <xdr:blipFill>
        <a:blip xmlns:r="http://schemas.openxmlformats.org/officeDocument/2006/relationships" r:embed="rId14"/>
        <a:stretch>
          <a:fillRect/>
        </a:stretch>
      </xdr:blipFill>
      <xdr:spPr>
        <a:xfrm>
          <a:off x="708660" y="38705790"/>
          <a:ext cx="5943600" cy="67373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0.575</cdr:x>
      <cdr:y>0.75414</cdr:y>
    </cdr:from>
    <cdr:to>
      <cdr:x>0.74052</cdr:x>
      <cdr:y>0.83567</cdr:y>
    </cdr:to>
    <cdr:sp macro="" textlink="">
      <cdr:nvSpPr>
        <cdr:cNvPr id="2" name="TextBox 1">
          <a:extLst xmlns:a="http://schemas.openxmlformats.org/drawingml/2006/main">
            <a:ext uri="{FF2B5EF4-FFF2-40B4-BE49-F238E27FC236}">
              <a16:creationId xmlns:a16="http://schemas.microsoft.com/office/drawing/2014/main" id="{CAD33054-9E39-4810-84FD-0AAC3A2A49DC}"/>
            </a:ext>
          </a:extLst>
        </cdr:cNvPr>
        <cdr:cNvSpPr txBox="1"/>
      </cdr:nvSpPr>
      <cdr:spPr>
        <a:xfrm xmlns:a="http://schemas.openxmlformats.org/drawingml/2006/main" rot="234106">
          <a:off x="3176587" y="2819398"/>
          <a:ext cx="914400"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b="1"/>
            <a:t>Customers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10</xdr:col>
      <xdr:colOff>71755</xdr:colOff>
      <xdr:row>21</xdr:row>
      <xdr:rowOff>52705</xdr:rowOff>
    </xdr:to>
    <xdr:pic>
      <xdr:nvPicPr>
        <xdr:cNvPr id="3" name="Picture 2">
          <a:extLst>
            <a:ext uri="{FF2B5EF4-FFF2-40B4-BE49-F238E27FC236}">
              <a16:creationId xmlns:a16="http://schemas.microsoft.com/office/drawing/2014/main" id="{00000000-0008-0000-2A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65"/>
        <a:stretch/>
      </xdr:blipFill>
      <xdr:spPr bwMode="auto">
        <a:xfrm>
          <a:off x="714375" y="12015788"/>
          <a:ext cx="5605780" cy="23863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25</xdr:row>
      <xdr:rowOff>0</xdr:rowOff>
    </xdr:from>
    <xdr:to>
      <xdr:col>6</xdr:col>
      <xdr:colOff>181000</xdr:colOff>
      <xdr:row>38</xdr:row>
      <xdr:rowOff>157180</xdr:rowOff>
    </xdr:to>
    <xdr:pic>
      <xdr:nvPicPr>
        <xdr:cNvPr id="19" name="Picture 18">
          <a:extLst>
            <a:ext uri="{FF2B5EF4-FFF2-40B4-BE49-F238E27FC236}">
              <a16:creationId xmlns:a16="http://schemas.microsoft.com/office/drawing/2014/main" id="{00000000-0008-0000-2A00-000013000000}"/>
            </a:ext>
          </a:extLst>
        </xdr:cNvPr>
        <xdr:cNvPicPr>
          <a:picLocks noChangeAspect="1"/>
        </xdr:cNvPicPr>
      </xdr:nvPicPr>
      <xdr:blipFill>
        <a:blip xmlns:r="http://schemas.openxmlformats.org/officeDocument/2006/relationships" r:embed="rId2"/>
        <a:stretch>
          <a:fillRect/>
        </a:stretch>
      </xdr:blipFill>
      <xdr:spPr>
        <a:xfrm>
          <a:off x="714375" y="4224338"/>
          <a:ext cx="3390925" cy="2324117"/>
        </a:xfrm>
        <a:prstGeom prst="rect">
          <a:avLst/>
        </a:prstGeom>
      </xdr:spPr>
    </xdr:pic>
    <xdr:clientData/>
  </xdr:twoCellAnchor>
  <xdr:twoCellAnchor editAs="oneCell">
    <xdr:from>
      <xdr:col>3</xdr:col>
      <xdr:colOff>0</xdr:colOff>
      <xdr:row>42</xdr:row>
      <xdr:rowOff>0</xdr:rowOff>
    </xdr:from>
    <xdr:to>
      <xdr:col>8</xdr:col>
      <xdr:colOff>539750</xdr:colOff>
      <xdr:row>47</xdr:row>
      <xdr:rowOff>99377</xdr:rowOff>
    </xdr:to>
    <xdr:pic>
      <xdr:nvPicPr>
        <xdr:cNvPr id="20" name="Picture 19">
          <a:extLst>
            <a:ext uri="{FF2B5EF4-FFF2-40B4-BE49-F238E27FC236}">
              <a16:creationId xmlns:a16="http://schemas.microsoft.com/office/drawing/2014/main" id="{00000000-0008-0000-2A00-000014000000}"/>
            </a:ext>
          </a:extLst>
        </xdr:cNvPr>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714375" y="7058025"/>
          <a:ext cx="4911725" cy="932815"/>
        </a:xfrm>
        <a:prstGeom prst="rect">
          <a:avLst/>
        </a:prstGeom>
      </xdr:spPr>
    </xdr:pic>
    <xdr:clientData/>
  </xdr:twoCellAnchor>
  <xdr:twoCellAnchor editAs="oneCell">
    <xdr:from>
      <xdr:col>3</xdr:col>
      <xdr:colOff>0</xdr:colOff>
      <xdr:row>51</xdr:row>
      <xdr:rowOff>0</xdr:rowOff>
    </xdr:from>
    <xdr:to>
      <xdr:col>5</xdr:col>
      <xdr:colOff>201295</xdr:colOff>
      <xdr:row>61</xdr:row>
      <xdr:rowOff>42545</xdr:rowOff>
    </xdr:to>
    <xdr:pic>
      <xdr:nvPicPr>
        <xdr:cNvPr id="21" name="Picture 20">
          <a:extLst>
            <a:ext uri="{FF2B5EF4-FFF2-40B4-BE49-F238E27FC236}">
              <a16:creationId xmlns:a16="http://schemas.microsoft.com/office/drawing/2014/main" id="{00000000-0008-0000-2A00-000015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8724900"/>
          <a:ext cx="2830195" cy="1709420"/>
        </a:xfrm>
        <a:prstGeom prst="rect">
          <a:avLst/>
        </a:prstGeom>
      </xdr:spPr>
    </xdr:pic>
    <xdr:clientData/>
  </xdr:twoCellAnchor>
  <xdr:twoCellAnchor editAs="oneCell">
    <xdr:from>
      <xdr:col>3</xdr:col>
      <xdr:colOff>0</xdr:colOff>
      <xdr:row>102</xdr:row>
      <xdr:rowOff>0</xdr:rowOff>
    </xdr:from>
    <xdr:to>
      <xdr:col>5</xdr:col>
      <xdr:colOff>29845</xdr:colOff>
      <xdr:row>111</xdr:row>
      <xdr:rowOff>124142</xdr:rowOff>
    </xdr:to>
    <xdr:pic>
      <xdr:nvPicPr>
        <xdr:cNvPr id="22" name="Picture 21">
          <a:extLst>
            <a:ext uri="{FF2B5EF4-FFF2-40B4-BE49-F238E27FC236}">
              <a16:creationId xmlns:a16="http://schemas.microsoft.com/office/drawing/2014/main" id="{00000000-0008-0000-2A00-000016000000}"/>
            </a:ext>
          </a:extLst>
        </xdr:cNvPr>
        <xdr:cNvPicPr/>
      </xdr:nvPicPr>
      <xdr:blipFill>
        <a:blip xmlns:r="http://schemas.openxmlformats.org/officeDocument/2006/relationships" r:embed="rId5"/>
        <a:stretch>
          <a:fillRect/>
        </a:stretch>
      </xdr:blipFill>
      <xdr:spPr>
        <a:xfrm>
          <a:off x="714375" y="15163800"/>
          <a:ext cx="2658745" cy="1624330"/>
        </a:xfrm>
        <a:prstGeom prst="rect">
          <a:avLst/>
        </a:prstGeom>
      </xdr:spPr>
    </xdr:pic>
    <xdr:clientData/>
  </xdr:twoCellAnchor>
  <xdr:twoCellAnchor editAs="oneCell">
    <xdr:from>
      <xdr:col>6</xdr:col>
      <xdr:colOff>0</xdr:colOff>
      <xdr:row>102</xdr:row>
      <xdr:rowOff>0</xdr:rowOff>
    </xdr:from>
    <xdr:to>
      <xdr:col>10</xdr:col>
      <xdr:colOff>393065</xdr:colOff>
      <xdr:row>111</xdr:row>
      <xdr:rowOff>150812</xdr:rowOff>
    </xdr:to>
    <xdr:pic>
      <xdr:nvPicPr>
        <xdr:cNvPr id="23" name="Picture 22">
          <a:extLst>
            <a:ext uri="{FF2B5EF4-FFF2-40B4-BE49-F238E27FC236}">
              <a16:creationId xmlns:a16="http://schemas.microsoft.com/office/drawing/2014/main" id="{00000000-0008-0000-2A00-000017000000}"/>
            </a:ext>
          </a:extLst>
        </xdr:cNvPr>
        <xdr:cNvPicPr/>
      </xdr:nvPicPr>
      <xdr:blipFill>
        <a:blip xmlns:r="http://schemas.openxmlformats.org/officeDocument/2006/relationships" r:embed="rId6"/>
        <a:stretch>
          <a:fillRect/>
        </a:stretch>
      </xdr:blipFill>
      <xdr:spPr>
        <a:xfrm>
          <a:off x="3924300" y="15163800"/>
          <a:ext cx="2717165" cy="1651000"/>
        </a:xfrm>
        <a:prstGeom prst="rect">
          <a:avLst/>
        </a:prstGeom>
      </xdr:spPr>
    </xdr:pic>
    <xdr:clientData/>
  </xdr:twoCellAnchor>
  <xdr:twoCellAnchor editAs="oneCell">
    <xdr:from>
      <xdr:col>3</xdr:col>
      <xdr:colOff>0</xdr:colOff>
      <xdr:row>74</xdr:row>
      <xdr:rowOff>0</xdr:rowOff>
    </xdr:from>
    <xdr:to>
      <xdr:col>9</xdr:col>
      <xdr:colOff>58420</xdr:colOff>
      <xdr:row>84</xdr:row>
      <xdr:rowOff>47625</xdr:rowOff>
    </xdr:to>
    <xdr:pic>
      <xdr:nvPicPr>
        <xdr:cNvPr id="8" name="Picture 7">
          <a:extLst>
            <a:ext uri="{FF2B5EF4-FFF2-40B4-BE49-F238E27FC236}">
              <a16:creationId xmlns:a16="http://schemas.microsoft.com/office/drawing/2014/main" id="{00000000-0008-0000-2A00-000008000000}"/>
            </a:ext>
          </a:extLst>
        </xdr:cNvPr>
        <xdr:cNvPicPr/>
      </xdr:nvPicPr>
      <xdr:blipFill rotWithShape="1">
        <a:blip xmlns:r="http://schemas.openxmlformats.org/officeDocument/2006/relationships" r:embed="rId7">
          <a:duotone>
            <a:schemeClr val="accent1">
              <a:shade val="45000"/>
              <a:satMod val="135000"/>
            </a:schemeClr>
            <a:prstClr val="white"/>
          </a:duotone>
          <a:extLst>
            <a:ext uri="{28A0092B-C50C-407E-A947-70E740481C1C}">
              <a14:useLocalDpi xmlns:a14="http://schemas.microsoft.com/office/drawing/2010/main" val="0"/>
            </a:ext>
          </a:extLst>
        </a:blip>
        <a:srcRect l="2441"/>
        <a:stretch/>
      </xdr:blipFill>
      <xdr:spPr bwMode="auto">
        <a:xfrm>
          <a:off x="708660" y="12973050"/>
          <a:ext cx="4999990" cy="168592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0.16709</cdr:x>
      <cdr:y>0.94728</cdr:y>
    </cdr:from>
    <cdr:to>
      <cdr:x>0.29958</cdr:x>
      <cdr:y>0.99741</cdr:y>
    </cdr:to>
    <cdr:sp macro="" textlink="">
      <cdr:nvSpPr>
        <cdr:cNvPr id="2" name="Rectangle 1">
          <a:extLst xmlns:a="http://schemas.openxmlformats.org/drawingml/2006/main">
            <a:ext uri="{FF2B5EF4-FFF2-40B4-BE49-F238E27FC236}">
              <a16:creationId xmlns:a16="http://schemas.microsoft.com/office/drawing/2014/main" id="{9C0306E9-DCC9-494C-8FAA-0CDD7973F81C}"/>
            </a:ext>
          </a:extLst>
        </cdr:cNvPr>
        <cdr:cNvSpPr/>
      </cdr:nvSpPr>
      <cdr:spPr>
        <a:xfrm xmlns:a="http://schemas.openxmlformats.org/drawingml/2006/main">
          <a:off x="946896" y="3070412"/>
          <a:ext cx="750795" cy="16248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0</xdr:colOff>
      <xdr:row>9</xdr:row>
      <xdr:rowOff>0</xdr:rowOff>
    </xdr:from>
    <xdr:to>
      <xdr:col>12</xdr:col>
      <xdr:colOff>0</xdr:colOff>
      <xdr:row>30</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34</xdr:row>
      <xdr:rowOff>0</xdr:rowOff>
    </xdr:from>
    <xdr:to>
      <xdr:col>12</xdr:col>
      <xdr:colOff>0</xdr:colOff>
      <xdr:row>55</xdr:row>
      <xdr:rowOff>0</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60</xdr:row>
      <xdr:rowOff>0</xdr:rowOff>
    </xdr:from>
    <xdr:to>
      <xdr:col>12</xdr:col>
      <xdr:colOff>0</xdr:colOff>
      <xdr:row>81</xdr:row>
      <xdr:rowOff>0</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85</xdr:row>
      <xdr:rowOff>0</xdr:rowOff>
    </xdr:from>
    <xdr:to>
      <xdr:col>12</xdr:col>
      <xdr:colOff>0</xdr:colOff>
      <xdr:row>106</xdr:row>
      <xdr:rowOff>0</xdr:rowOff>
    </xdr:to>
    <xdr:graphicFrame macro="">
      <xdr:nvGraphicFramePr>
        <xdr:cNvPr id="15" name="Chart 14">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111</xdr:row>
      <xdr:rowOff>0</xdr:rowOff>
    </xdr:from>
    <xdr:to>
      <xdr:col>12</xdr:col>
      <xdr:colOff>0</xdr:colOff>
      <xdr:row>132</xdr:row>
      <xdr:rowOff>0</xdr:rowOff>
    </xdr:to>
    <xdr:graphicFrame macro="">
      <xdr:nvGraphicFramePr>
        <xdr:cNvPr id="22" name="Chart 21">
          <a:extLst>
            <a:ext uri="{FF2B5EF4-FFF2-40B4-BE49-F238E27FC236}">
              <a16:creationId xmlns:a16="http://schemas.microsoft.com/office/drawing/2014/main" i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136</xdr:row>
      <xdr:rowOff>0</xdr:rowOff>
    </xdr:from>
    <xdr:to>
      <xdr:col>12</xdr:col>
      <xdr:colOff>0</xdr:colOff>
      <xdr:row>157</xdr:row>
      <xdr:rowOff>0</xdr:rowOff>
    </xdr:to>
    <xdr:graphicFrame macro="">
      <xdr:nvGraphicFramePr>
        <xdr:cNvPr id="23" name="Chart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162</xdr:row>
      <xdr:rowOff>0</xdr:rowOff>
    </xdr:from>
    <xdr:to>
      <xdr:col>12</xdr:col>
      <xdr:colOff>0</xdr:colOff>
      <xdr:row>183</xdr:row>
      <xdr:rowOff>0</xdr:rowOff>
    </xdr:to>
    <xdr:graphicFrame macro="">
      <xdr:nvGraphicFramePr>
        <xdr:cNvPr id="28" name="Chart 27">
          <a:extLst>
            <a:ext uri="{FF2B5EF4-FFF2-40B4-BE49-F238E27FC236}">
              <a16:creationId xmlns:a16="http://schemas.microsoft.com/office/drawing/2014/main" id="{00000000-0008-0000-05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187</xdr:row>
      <xdr:rowOff>0</xdr:rowOff>
    </xdr:from>
    <xdr:to>
      <xdr:col>12</xdr:col>
      <xdr:colOff>0</xdr:colOff>
      <xdr:row>208</xdr:row>
      <xdr:rowOff>0</xdr:rowOff>
    </xdr:to>
    <xdr:graphicFrame macro="">
      <xdr:nvGraphicFramePr>
        <xdr:cNvPr id="29" name="Chart 28">
          <a:extLst>
            <a:ext uri="{FF2B5EF4-FFF2-40B4-BE49-F238E27FC236}">
              <a16:creationId xmlns:a16="http://schemas.microsoft.com/office/drawing/2014/main" id="{00000000-0008-0000-05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213</xdr:row>
      <xdr:rowOff>0</xdr:rowOff>
    </xdr:from>
    <xdr:to>
      <xdr:col>12</xdr:col>
      <xdr:colOff>0</xdr:colOff>
      <xdr:row>234</xdr:row>
      <xdr:rowOff>0</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238</xdr:row>
      <xdr:rowOff>0</xdr:rowOff>
    </xdr:from>
    <xdr:to>
      <xdr:col>12</xdr:col>
      <xdr:colOff>0</xdr:colOff>
      <xdr:row>259</xdr:row>
      <xdr:rowOff>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327</xdr:row>
      <xdr:rowOff>0</xdr:rowOff>
    </xdr:from>
    <xdr:to>
      <xdr:col>12</xdr:col>
      <xdr:colOff>0</xdr:colOff>
      <xdr:row>348</xdr:row>
      <xdr:rowOff>0</xdr:rowOff>
    </xdr:to>
    <xdr:graphicFrame macro="">
      <xdr:nvGraphicFramePr>
        <xdr:cNvPr id="16" name="Chart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352</xdr:row>
      <xdr:rowOff>0</xdr:rowOff>
    </xdr:from>
    <xdr:to>
      <xdr:col>12</xdr:col>
      <xdr:colOff>0</xdr:colOff>
      <xdr:row>373</xdr:row>
      <xdr:rowOff>0</xdr:rowOff>
    </xdr:to>
    <xdr:graphicFrame macro="">
      <xdr:nvGraphicFramePr>
        <xdr:cNvPr id="17" name="Chart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9</xdr:row>
      <xdr:rowOff>0</xdr:rowOff>
    </xdr:from>
    <xdr:to>
      <xdr:col>12</xdr:col>
      <xdr:colOff>0</xdr:colOff>
      <xdr:row>30</xdr:row>
      <xdr:rowOff>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34</xdr:row>
      <xdr:rowOff>19050</xdr:rowOff>
    </xdr:from>
    <xdr:to>
      <xdr:col>12</xdr:col>
      <xdr:colOff>0</xdr:colOff>
      <xdr:row>55</xdr:row>
      <xdr:rowOff>19050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695325</xdr:colOff>
      <xdr:row>7</xdr:row>
      <xdr:rowOff>9525</xdr:rowOff>
    </xdr:from>
    <xdr:to>
      <xdr:col>11</xdr:col>
      <xdr:colOff>371475</xdr:colOff>
      <xdr:row>19</xdr:row>
      <xdr:rowOff>104775</xdr:rowOff>
    </xdr:to>
    <xdr:sp macro="" textlink="">
      <xdr:nvSpPr>
        <xdr:cNvPr id="2" name="Right Arrow 1">
          <a:extLst>
            <a:ext uri="{FF2B5EF4-FFF2-40B4-BE49-F238E27FC236}">
              <a16:creationId xmlns:a16="http://schemas.microsoft.com/office/drawing/2014/main" id="{00000000-0008-0000-0700-000002000000}"/>
            </a:ext>
          </a:extLst>
        </xdr:cNvPr>
        <xdr:cNvSpPr/>
      </xdr:nvSpPr>
      <xdr:spPr>
        <a:xfrm>
          <a:off x="1438275" y="1247775"/>
          <a:ext cx="5924550" cy="2038350"/>
        </a:xfrm>
        <a:prstGeom prst="rightArrow">
          <a:avLst/>
        </a:prstGeom>
        <a:solidFill>
          <a:srgbClr val="2A3D6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600"/>
            <a:t>The following section contains the</a:t>
          </a:r>
          <a:r>
            <a:rPr lang="en-AU" sz="1600" baseline="0"/>
            <a:t> charts &amp; tables for the regulatory proposal</a:t>
          </a:r>
          <a:endParaRPr lang="en-AU" sz="16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48</xdr:row>
      <xdr:rowOff>0</xdr:rowOff>
    </xdr:from>
    <xdr:to>
      <xdr:col>8</xdr:col>
      <xdr:colOff>321945</xdr:colOff>
      <xdr:row>61</xdr:row>
      <xdr:rowOff>88583</xdr:rowOff>
    </xdr:to>
    <xdr:pic>
      <xdr:nvPicPr>
        <xdr:cNvPr id="5" name="Picture 4" descr="cid:image003.png@01D395B5.417481D0">
          <a:extLst>
            <a:ext uri="{FF2B5EF4-FFF2-40B4-BE49-F238E27FC236}">
              <a16:creationId xmlns:a16="http://schemas.microsoft.com/office/drawing/2014/main" id="{2F42E206-5C85-4CCC-9C29-2D0C4DFB51EB}"/>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714375" y="9377363"/>
          <a:ext cx="4693920" cy="225552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9</xdr:col>
      <xdr:colOff>68580</xdr:colOff>
      <xdr:row>21</xdr:row>
      <xdr:rowOff>13335</xdr:rowOff>
    </xdr:to>
    <xdr:pic>
      <xdr:nvPicPr>
        <xdr:cNvPr id="3" name="Picture 2">
          <a:extLst>
            <a:ext uri="{FF2B5EF4-FFF2-40B4-BE49-F238E27FC236}">
              <a16:creationId xmlns:a16="http://schemas.microsoft.com/office/drawing/2014/main" id="{0FAE3201-73DE-47C8-B91E-17BF2E8DB6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 y="1223963"/>
          <a:ext cx="5021580" cy="234696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41910</xdr:colOff>
      <xdr:row>53</xdr:row>
      <xdr:rowOff>266700</xdr:rowOff>
    </xdr:from>
    <xdr:to>
      <xdr:col>3</xdr:col>
      <xdr:colOff>499110</xdr:colOff>
      <xdr:row>53</xdr:row>
      <xdr:rowOff>723900</xdr:rowOff>
    </xdr:to>
    <xdr:pic>
      <xdr:nvPicPr>
        <xdr:cNvPr id="15" name="Picture 6">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8661380"/>
          <a:ext cx="457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54</xdr:row>
      <xdr:rowOff>586740</xdr:rowOff>
    </xdr:from>
    <xdr:to>
      <xdr:col>3</xdr:col>
      <xdr:colOff>449580</xdr:colOff>
      <xdr:row>54</xdr:row>
      <xdr:rowOff>1043940</xdr:rowOff>
    </xdr:to>
    <xdr:pic>
      <xdr:nvPicPr>
        <xdr:cNvPr id="16" name="Picture 17">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8836640"/>
          <a:ext cx="44958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xdr:colOff>
      <xdr:row>58</xdr:row>
      <xdr:rowOff>514350</xdr:rowOff>
    </xdr:from>
    <xdr:to>
      <xdr:col>3</xdr:col>
      <xdr:colOff>461010</xdr:colOff>
      <xdr:row>58</xdr:row>
      <xdr:rowOff>975360</xdr:rowOff>
    </xdr:to>
    <xdr:pic>
      <xdr:nvPicPr>
        <xdr:cNvPr id="17" name="Picture 18">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19537680"/>
          <a:ext cx="44577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11430</xdr:colOff>
      <xdr:row>61</xdr:row>
      <xdr:rowOff>529590</xdr:rowOff>
    </xdr:from>
    <xdr:to>
      <xdr:col>3</xdr:col>
      <xdr:colOff>468630</xdr:colOff>
      <xdr:row>61</xdr:row>
      <xdr:rowOff>1017270</xdr:rowOff>
    </xdr:to>
    <xdr:pic>
      <xdr:nvPicPr>
        <xdr:cNvPr id="18" name="Picture 2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 y="20063460"/>
          <a:ext cx="457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243840</xdr:colOff>
      <xdr:row>64</xdr:row>
      <xdr:rowOff>339090</xdr:rowOff>
    </xdr:from>
    <xdr:to>
      <xdr:col>3</xdr:col>
      <xdr:colOff>453390</xdr:colOff>
      <xdr:row>64</xdr:row>
      <xdr:rowOff>796290</xdr:rowOff>
    </xdr:to>
    <xdr:pic>
      <xdr:nvPicPr>
        <xdr:cNvPr id="19" name="Picture 2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9140" y="20589240"/>
          <a:ext cx="457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xdr:row>
      <xdr:rowOff>0</xdr:rowOff>
    </xdr:from>
    <xdr:to>
      <xdr:col>8</xdr:col>
      <xdr:colOff>490220</xdr:colOff>
      <xdr:row>48</xdr:row>
      <xdr:rowOff>70803</xdr:rowOff>
    </xdr:to>
    <xdr:pic>
      <xdr:nvPicPr>
        <xdr:cNvPr id="22" name="Picture 21">
          <a:extLst>
            <a:ext uri="{FF2B5EF4-FFF2-40B4-BE49-F238E27FC236}">
              <a16:creationId xmlns:a16="http://schemas.microsoft.com/office/drawing/2014/main" id="{6D6332C6-3094-43BF-930B-CC7CD75DBF9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4375" y="1223963"/>
          <a:ext cx="4862195" cy="690499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WC12.10%20-%20Rate%20of%20Return%20Model%20-%2031%20Jan%2018%20-%20Public.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WC12.17%20-%20Connection%20Capex%20Forecast%20Model%20-%2031%20Jan%2018%20-%20Confident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WC12.13%20-%20Opening%20RAB%20-%2031%20Jan%2018%20-%20Confidential.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WC12.18%20-%20ACS%20FB%20and%20QS%20Model%20-%2016%20Mar%2018%20-%20Confident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WC12.3%20-%20SCS%20Pricing%20Model%20-%2016%20Mar%2018%20-%20Confident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WC12.12%20-%20Opening%20TAB%20-%2031%20Jan%2018%20-%20Public.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WC12.19%20-%20ACS%20Metering%20-%20CBA%20Model%20-%2016%20Mar%2018%20-%20Confident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WC12.1%20-%20SCS%20Post-tax%20Revenue%20Model%20-%2016%20Mar%2018%20-%20Publ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WC12.21%20-%20UC%20NTRM%20-%20MD%20Update%20-%2031%20Jan%2018%20-%20Public.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WC12.7%20-%20SCS%20and%20ACS%20Metering%20Capex%20Model%20%20-%2016%20Mar%2018%20-%20Confidenti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WC12.4%20-%20SCS%20Opex%20Model%20-%2016%20Mar%2018%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WC12.5%20-%20ACS%20Metering%20Opex%20Model%20-%2016%20Mar%2018%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WC12.2%20-%20ACS%20Metering%20Post-tax%20Revenue%20Model%20-%2016%20Mar%2018%20-%20Confidenti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WC12.11%20-%20SCS%20and%20ACS%20Metering%20RFM%20-%2016%20Mar%2018%20-%20Publi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WC12.9%20-%20Corporate%20Assets%20Model%20-%2031%20Jan%2018%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Data"/>
      <sheetName val="Calc_Returns"/>
      <sheetName val="Output_PTRM"/>
      <sheetName val="Lookup"/>
      <sheetName val="Checks"/>
      <sheetName val="PWC12"/>
    </sheetNames>
    <sheetDataSet>
      <sheetData sheetId="0"/>
      <sheetData sheetId="1"/>
      <sheetData sheetId="2">
        <row r="18">
          <cell r="J18">
            <v>1.5108593012275628E-2</v>
          </cell>
          <cell r="K18">
            <v>1.0232558139534831E-2</v>
          </cell>
          <cell r="L18">
            <v>1.9337016574585641E-2</v>
          </cell>
        </row>
        <row r="19">
          <cell r="M19">
            <v>0.02</v>
          </cell>
          <cell r="N19">
            <v>2.2499999999999999E-2</v>
          </cell>
        </row>
        <row r="20">
          <cell r="O20">
            <v>2.5000000000000001E-2</v>
          </cell>
          <cell r="P20">
            <v>2.5000000000000001E-2</v>
          </cell>
          <cell r="Q20">
            <v>2.5000000000000001E-2</v>
          </cell>
          <cell r="R20">
            <v>2.5000000000000001E-2</v>
          </cell>
          <cell r="S20">
            <v>2.5000000000000001E-2</v>
          </cell>
          <cell r="T20">
            <v>2.5000000000000001E-2</v>
          </cell>
          <cell r="U20">
            <v>2.5000000000000001E-2</v>
          </cell>
          <cell r="V20">
            <v>2.5000000000000001E-2</v>
          </cell>
        </row>
      </sheetData>
      <sheetData sheetId="3">
        <row r="110">
          <cell r="J110">
            <v>4.6481759804943998E-2</v>
          </cell>
        </row>
        <row r="117">
          <cell r="J117">
            <v>8.742984535779906E-2</v>
          </cell>
        </row>
        <row r="118">
          <cell r="J118">
            <v>7.9916565178935681E-2</v>
          </cell>
        </row>
        <row r="119">
          <cell r="J119">
            <v>7.9077594985761335E-2</v>
          </cell>
        </row>
        <row r="120">
          <cell r="J120">
            <v>6.9997180189357633E-2</v>
          </cell>
        </row>
        <row r="121">
          <cell r="J121">
            <v>7.5007894716639573E-2</v>
          </cell>
        </row>
        <row r="122">
          <cell r="J122">
            <v>5.2019790810809902E-2</v>
          </cell>
        </row>
        <row r="123">
          <cell r="J123">
            <v>5.3181698388436879E-2</v>
          </cell>
        </row>
        <row r="124">
          <cell r="J124">
            <v>4.7506738718452367E-2</v>
          </cell>
        </row>
        <row r="125">
          <cell r="J125">
            <v>4.6444658416744916E-2</v>
          </cell>
        </row>
      </sheetData>
      <sheetData sheetId="4">
        <row r="18">
          <cell r="O18">
            <v>2.4248746575396662E-2</v>
          </cell>
        </row>
      </sheetData>
      <sheetData sheetId="5">
        <row r="1">
          <cell r="B1" t="str">
            <v>Model Lookups</v>
          </cell>
        </row>
      </sheetData>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S --&gt;"/>
      <sheetName val="Gross connection capex"/>
      <sheetName val="CALCS --&gt;"/>
      <sheetName val="Net connection capex"/>
      <sheetName val="Gifted assets"/>
      <sheetName val="INPUTS --&gt;"/>
      <sheetName val="2.5 Connections"/>
      <sheetName val="GIFTED ASSETS --&gt;"/>
      <sheetName val="Consolidated"/>
      <sheetName val="FY14"/>
      <sheetName val="FY15"/>
      <sheetName val="FY16"/>
      <sheetName val="FY17"/>
      <sheetName val="Data"/>
      <sheetName val="Jul13"/>
      <sheetName val="Sep13"/>
      <sheetName val="Oct13"/>
      <sheetName val="Nov13"/>
      <sheetName val="Dec13"/>
      <sheetName val="Jan14"/>
      <sheetName val="Feb14"/>
      <sheetName val="Mar14"/>
      <sheetName val="Apr14"/>
      <sheetName val="May14"/>
      <sheetName val="Jun14"/>
      <sheetName val="Jul14"/>
      <sheetName val="Aug14"/>
      <sheetName val="Sep14"/>
      <sheetName val="Oct14"/>
      <sheetName val="Nov14"/>
      <sheetName val="Dec14"/>
      <sheetName val="Jan15"/>
      <sheetName val="Feb15"/>
      <sheetName val="Mar15"/>
      <sheetName val="Apr15"/>
      <sheetName val="May15"/>
      <sheetName val="Jun15"/>
      <sheetName val="Jul15"/>
      <sheetName val="Aug15"/>
      <sheetName val="Sep15"/>
      <sheetName val="Oct15"/>
      <sheetName val="Nov15"/>
      <sheetName val="Dec15"/>
      <sheetName val="Jan16"/>
      <sheetName val="Feb16"/>
      <sheetName val="Mar16"/>
      <sheetName val="Apr16"/>
      <sheetName val="May16"/>
      <sheetName val="Jun16"/>
      <sheetName val="Jul16"/>
      <sheetName val="Sep16"/>
      <sheetName val="Oct16"/>
      <sheetName val="Nov16"/>
      <sheetName val="Dec16"/>
      <sheetName val="Jan17"/>
      <sheetName val="Mar17"/>
      <sheetName val="Apr17"/>
      <sheetName val="May17"/>
      <sheetName val="Jun17"/>
    </sheetNames>
    <sheetDataSet>
      <sheetData sheetId="0"/>
      <sheetData sheetId="1">
        <row r="25">
          <cell r="K25">
            <v>3.3098837685118938</v>
          </cell>
          <cell r="L25">
            <v>3.9393708655908437</v>
          </cell>
          <cell r="M25">
            <v>4.0256715159968284</v>
          </cell>
          <cell r="N25">
            <v>1.9646089239480107</v>
          </cell>
          <cell r="O25">
            <v>1.9849149593376545</v>
          </cell>
        </row>
        <row r="26">
          <cell r="K26">
            <v>8.9131968897075691</v>
          </cell>
          <cell r="L26">
            <v>8.9131968897075691</v>
          </cell>
          <cell r="M26">
            <v>8.9131968897075691</v>
          </cell>
          <cell r="N26">
            <v>8.9131968897075691</v>
          </cell>
          <cell r="O26">
            <v>8.9131968897075691</v>
          </cell>
        </row>
      </sheetData>
      <sheetData sheetId="2"/>
      <sheetData sheetId="3">
        <row r="50">
          <cell r="I50">
            <v>282984.25346052635</v>
          </cell>
        </row>
      </sheetData>
      <sheetData sheetId="4">
        <row r="8">
          <cell r="K8">
            <v>2.2499999999999964E-2</v>
          </cell>
        </row>
        <row r="26">
          <cell r="I26">
            <v>8.9131968897075691</v>
          </cell>
          <cell r="J26">
            <v>8.9131968897075691</v>
          </cell>
        </row>
      </sheetData>
      <sheetData sheetId="5"/>
      <sheetData sheetId="6"/>
      <sheetData sheetId="7"/>
      <sheetData sheetId="8">
        <row r="66">
          <cell r="E66">
            <v>0</v>
          </cell>
        </row>
        <row r="67">
          <cell r="E67">
            <v>8.7286117500000007</v>
          </cell>
          <cell r="F67">
            <v>7.7932136200000004</v>
          </cell>
          <cell r="G67">
            <v>8.3774671099999996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ummary_RAB"/>
      <sheetName val="Summary_Lives"/>
      <sheetName val="Summary_UC_Expenditure"/>
      <sheetName val="SCS"/>
      <sheetName val="ACS"/>
      <sheetName val="Substations"/>
      <sheetName val="Distribution_Lines"/>
      <sheetName val="Transmission_Lines"/>
      <sheetName val="LV_Services"/>
      <sheetName val="Distribution_Substations"/>
      <sheetName val="Distribution_Switchgear"/>
      <sheetName val="Protection"/>
      <sheetName val="SCADA"/>
      <sheetName val="Communications"/>
      <sheetName val="Land_Easements"/>
      <sheetName val="Property"/>
      <sheetName val="IT_Comms"/>
      <sheetName val="Motor_Vehicles"/>
      <sheetName val="Plant_Equipment"/>
      <sheetName val="Unallocated"/>
      <sheetName val="ACS_Metering"/>
      <sheetName val="Lookup"/>
      <sheetName val="Maximo_AMP_RAB"/>
      <sheetName val="Meter_Type"/>
      <sheetName val="Checks"/>
    </sheetNames>
    <sheetDataSet>
      <sheetData sheetId="0"/>
      <sheetData sheetId="1"/>
      <sheetData sheetId="2">
        <row r="12">
          <cell r="E12">
            <v>247158.38494764885</v>
          </cell>
          <cell r="F12">
            <v>0</v>
          </cell>
          <cell r="G12">
            <v>247158.38494764885</v>
          </cell>
        </row>
        <row r="13">
          <cell r="E13">
            <v>279837.42055917799</v>
          </cell>
          <cell r="F13">
            <v>-68250.340298162453</v>
          </cell>
          <cell r="G13">
            <v>211587.08026101554</v>
          </cell>
        </row>
        <row r="14">
          <cell r="E14">
            <v>167025.89930043949</v>
          </cell>
          <cell r="F14">
            <v>0</v>
          </cell>
          <cell r="G14">
            <v>167025.89930043949</v>
          </cell>
        </row>
        <row r="15">
          <cell r="E15">
            <v>165.32667886669623</v>
          </cell>
          <cell r="F15">
            <v>25.61432421086019</v>
          </cell>
          <cell r="G15">
            <v>190.94100307755642</v>
          </cell>
        </row>
        <row r="16">
          <cell r="E16">
            <v>80297.330765413644</v>
          </cell>
          <cell r="F16">
            <v>0</v>
          </cell>
          <cell r="G16">
            <v>80297.330765413644</v>
          </cell>
        </row>
        <row r="17">
          <cell r="E17">
            <v>14454.66068104192</v>
          </cell>
          <cell r="F17">
            <v>0</v>
          </cell>
          <cell r="G17">
            <v>14454.66068104192</v>
          </cell>
        </row>
        <row r="18">
          <cell r="E18">
            <v>8390.3020321881413</v>
          </cell>
          <cell r="F18">
            <v>0</v>
          </cell>
          <cell r="G18">
            <v>8390.3020321881413</v>
          </cell>
        </row>
        <row r="19">
          <cell r="E19">
            <v>2126.0573650090364</v>
          </cell>
          <cell r="F19">
            <v>0</v>
          </cell>
          <cell r="G19">
            <v>2126.0573650090364</v>
          </cell>
        </row>
        <row r="20">
          <cell r="E20">
            <v>7235.6595534338549</v>
          </cell>
          <cell r="F20">
            <v>0</v>
          </cell>
          <cell r="G20">
            <v>7235.6595534338549</v>
          </cell>
        </row>
        <row r="21">
          <cell r="E21">
            <v>33025</v>
          </cell>
          <cell r="F21">
            <v>0</v>
          </cell>
          <cell r="G21">
            <v>33025</v>
          </cell>
        </row>
        <row r="22">
          <cell r="E22">
            <v>903.11269775714277</v>
          </cell>
          <cell r="F22">
            <v>0</v>
          </cell>
          <cell r="G22">
            <v>903.11269775714277</v>
          </cell>
        </row>
        <row r="23">
          <cell r="E23">
            <v>703.79206895000004</v>
          </cell>
          <cell r="F23">
            <v>0</v>
          </cell>
          <cell r="G23">
            <v>703.79206895000004</v>
          </cell>
        </row>
        <row r="24">
          <cell r="E24">
            <v>43.694539999999996</v>
          </cell>
          <cell r="F24">
            <v>0</v>
          </cell>
          <cell r="G24">
            <v>43.694539999999996</v>
          </cell>
        </row>
        <row r="25">
          <cell r="E25">
            <v>7205.3953999153564</v>
          </cell>
          <cell r="F25">
            <v>0</v>
          </cell>
          <cell r="G25">
            <v>7205.3953999153564</v>
          </cell>
        </row>
        <row r="26">
          <cell r="E26">
            <v>4080.2493072798488</v>
          </cell>
          <cell r="F26">
            <v>0</v>
          </cell>
          <cell r="G26">
            <v>4080.2493072798488</v>
          </cell>
        </row>
        <row r="27">
          <cell r="E27">
            <v>3530.5159118669058</v>
          </cell>
          <cell r="F27">
            <v>0</v>
          </cell>
          <cell r="G27">
            <v>3530.5159118669058</v>
          </cell>
        </row>
        <row r="28">
          <cell r="E28">
            <v>0</v>
          </cell>
          <cell r="F28">
            <v>0</v>
          </cell>
          <cell r="G28">
            <v>0</v>
          </cell>
        </row>
        <row r="29">
          <cell r="E29">
            <v>0</v>
          </cell>
          <cell r="F29">
            <v>0</v>
          </cell>
          <cell r="G29">
            <v>0</v>
          </cell>
        </row>
        <row r="30">
          <cell r="E30">
            <v>0</v>
          </cell>
          <cell r="F30">
            <v>0</v>
          </cell>
          <cell r="G30">
            <v>0</v>
          </cell>
        </row>
        <row r="31">
          <cell r="E31">
            <v>0</v>
          </cell>
          <cell r="F31">
            <v>0</v>
          </cell>
          <cell r="G31">
            <v>0</v>
          </cell>
        </row>
        <row r="33">
          <cell r="E33">
            <v>856182.80180898902</v>
          </cell>
          <cell r="F33">
            <v>-68224.725973951587</v>
          </cell>
          <cell r="G33">
            <v>787958.07583503739</v>
          </cell>
        </row>
        <row r="71">
          <cell r="E71">
            <v>54643.790214463828</v>
          </cell>
          <cell r="F71">
            <v>0</v>
          </cell>
          <cell r="G71">
            <v>0</v>
          </cell>
          <cell r="H71">
            <v>0</v>
          </cell>
          <cell r="I71">
            <v>257.42818891170435</v>
          </cell>
          <cell r="J71">
            <v>956.21962067608752</v>
          </cell>
          <cell r="K71">
            <v>0</v>
          </cell>
          <cell r="L71">
            <v>229.26628090349072</v>
          </cell>
          <cell r="M71">
            <v>1556.1888714793022</v>
          </cell>
          <cell r="N71">
            <v>0</v>
          </cell>
          <cell r="O71">
            <v>0</v>
          </cell>
          <cell r="P71">
            <v>0</v>
          </cell>
          <cell r="Q71">
            <v>0</v>
          </cell>
          <cell r="R71">
            <v>0</v>
          </cell>
          <cell r="T71">
            <v>0</v>
          </cell>
          <cell r="U71">
            <v>0</v>
          </cell>
          <cell r="V71">
            <v>0</v>
          </cell>
          <cell r="W71">
            <v>0</v>
          </cell>
          <cell r="X71">
            <v>0</v>
          </cell>
          <cell r="Y71">
            <v>0</v>
          </cell>
        </row>
        <row r="72">
          <cell r="E72">
            <v>6855.9421626069679</v>
          </cell>
          <cell r="F72">
            <v>0</v>
          </cell>
          <cell r="G72">
            <v>0</v>
          </cell>
          <cell r="H72">
            <v>0</v>
          </cell>
          <cell r="I72">
            <v>0</v>
          </cell>
          <cell r="J72">
            <v>0</v>
          </cell>
          <cell r="K72">
            <v>5421.9749902721405</v>
          </cell>
          <cell r="L72">
            <v>0</v>
          </cell>
          <cell r="M72">
            <v>0</v>
          </cell>
          <cell r="N72">
            <v>0</v>
          </cell>
          <cell r="O72">
            <v>0</v>
          </cell>
          <cell r="P72">
            <v>0</v>
          </cell>
          <cell r="Q72">
            <v>0</v>
          </cell>
          <cell r="R72">
            <v>0</v>
          </cell>
          <cell r="T72">
            <v>0</v>
          </cell>
          <cell r="U72">
            <v>0</v>
          </cell>
          <cell r="V72">
            <v>0</v>
          </cell>
          <cell r="W72">
            <v>0</v>
          </cell>
          <cell r="X72">
            <v>0</v>
          </cell>
          <cell r="Y72">
            <v>0</v>
          </cell>
        </row>
        <row r="73">
          <cell r="E73">
            <v>22269.471120163595</v>
          </cell>
          <cell r="F73">
            <v>0</v>
          </cell>
          <cell r="G73">
            <v>0</v>
          </cell>
          <cell r="H73">
            <v>0</v>
          </cell>
          <cell r="I73">
            <v>0</v>
          </cell>
          <cell r="J73">
            <v>0</v>
          </cell>
          <cell r="K73">
            <v>0</v>
          </cell>
          <cell r="L73">
            <v>22.744799999999994</v>
          </cell>
          <cell r="M73">
            <v>0</v>
          </cell>
          <cell r="N73">
            <v>0</v>
          </cell>
          <cell r="O73">
            <v>0</v>
          </cell>
          <cell r="P73">
            <v>0</v>
          </cell>
          <cell r="Q73">
            <v>0</v>
          </cell>
          <cell r="R73">
            <v>0</v>
          </cell>
          <cell r="T73">
            <v>0</v>
          </cell>
          <cell r="U73">
            <v>0</v>
          </cell>
          <cell r="V73">
            <v>0</v>
          </cell>
          <cell r="W73">
            <v>0</v>
          </cell>
          <cell r="X73">
            <v>0</v>
          </cell>
          <cell r="Y73">
            <v>0</v>
          </cell>
        </row>
        <row r="74">
          <cell r="E74">
            <v>16389.526618442007</v>
          </cell>
          <cell r="F74">
            <v>0</v>
          </cell>
          <cell r="G74">
            <v>0</v>
          </cell>
          <cell r="H74">
            <v>0</v>
          </cell>
          <cell r="I74">
            <v>0</v>
          </cell>
          <cell r="J74">
            <v>439.7850477991505</v>
          </cell>
          <cell r="K74">
            <v>0</v>
          </cell>
          <cell r="L74">
            <v>45.913322587268993</v>
          </cell>
          <cell r="M74">
            <v>310.45870718685831</v>
          </cell>
          <cell r="N74">
            <v>0</v>
          </cell>
          <cell r="O74">
            <v>0</v>
          </cell>
          <cell r="P74">
            <v>0</v>
          </cell>
          <cell r="Q74">
            <v>0</v>
          </cell>
          <cell r="R74">
            <v>0</v>
          </cell>
          <cell r="T74">
            <v>0</v>
          </cell>
          <cell r="U74">
            <v>0</v>
          </cell>
          <cell r="V74">
            <v>0</v>
          </cell>
          <cell r="W74">
            <v>0</v>
          </cell>
          <cell r="X74">
            <v>0</v>
          </cell>
          <cell r="Y74">
            <v>0</v>
          </cell>
        </row>
        <row r="75">
          <cell r="E75">
            <v>6690.1496678561844</v>
          </cell>
          <cell r="F75">
            <v>0</v>
          </cell>
          <cell r="G75">
            <v>0</v>
          </cell>
          <cell r="H75">
            <v>0</v>
          </cell>
          <cell r="I75">
            <v>0</v>
          </cell>
          <cell r="J75">
            <v>0</v>
          </cell>
          <cell r="K75">
            <v>2810.3290319160042</v>
          </cell>
          <cell r="L75">
            <v>0</v>
          </cell>
          <cell r="M75">
            <v>0</v>
          </cell>
          <cell r="N75">
            <v>0</v>
          </cell>
          <cell r="O75">
            <v>0</v>
          </cell>
          <cell r="P75">
            <v>0</v>
          </cell>
          <cell r="Q75">
            <v>0</v>
          </cell>
          <cell r="R75">
            <v>0</v>
          </cell>
          <cell r="T75">
            <v>0</v>
          </cell>
          <cell r="U75">
            <v>0</v>
          </cell>
          <cell r="V75">
            <v>0</v>
          </cell>
          <cell r="W75">
            <v>0</v>
          </cell>
          <cell r="X75">
            <v>0</v>
          </cell>
          <cell r="Y75">
            <v>0</v>
          </cell>
        </row>
        <row r="76">
          <cell r="E76">
            <v>5099.5761305911992</v>
          </cell>
          <cell r="F76">
            <v>0</v>
          </cell>
          <cell r="G76">
            <v>0</v>
          </cell>
          <cell r="H76">
            <v>0</v>
          </cell>
          <cell r="I76">
            <v>0</v>
          </cell>
          <cell r="J76">
            <v>0</v>
          </cell>
          <cell r="K76">
            <v>0</v>
          </cell>
          <cell r="L76">
            <v>26.851499999999998</v>
          </cell>
          <cell r="M76">
            <v>19.796400000000002</v>
          </cell>
          <cell r="N76">
            <v>0</v>
          </cell>
          <cell r="O76">
            <v>0</v>
          </cell>
          <cell r="P76">
            <v>0</v>
          </cell>
          <cell r="Q76">
            <v>0</v>
          </cell>
          <cell r="R76">
            <v>0</v>
          </cell>
          <cell r="T76">
            <v>0</v>
          </cell>
          <cell r="U76">
            <v>0</v>
          </cell>
          <cell r="V76">
            <v>0</v>
          </cell>
          <cell r="W76">
            <v>0</v>
          </cell>
          <cell r="X76">
            <v>0</v>
          </cell>
          <cell r="Y76">
            <v>0</v>
          </cell>
        </row>
        <row r="77">
          <cell r="E77">
            <v>0</v>
          </cell>
          <cell r="F77">
            <v>0</v>
          </cell>
          <cell r="G77">
            <v>109085.92472532151</v>
          </cell>
          <cell r="H77">
            <v>0</v>
          </cell>
          <cell r="I77">
            <v>0</v>
          </cell>
          <cell r="J77">
            <v>0</v>
          </cell>
          <cell r="K77">
            <v>0</v>
          </cell>
          <cell r="L77">
            <v>0</v>
          </cell>
          <cell r="M77">
            <v>0</v>
          </cell>
          <cell r="N77">
            <v>0</v>
          </cell>
          <cell r="O77">
            <v>0</v>
          </cell>
          <cell r="P77">
            <v>0</v>
          </cell>
          <cell r="Q77">
            <v>0</v>
          </cell>
          <cell r="R77">
            <v>0</v>
          </cell>
          <cell r="T77">
            <v>0</v>
          </cell>
          <cell r="U77">
            <v>0</v>
          </cell>
          <cell r="V77">
            <v>0</v>
          </cell>
          <cell r="W77">
            <v>0</v>
          </cell>
          <cell r="X77">
            <v>0</v>
          </cell>
          <cell r="Y77">
            <v>0</v>
          </cell>
        </row>
        <row r="78">
          <cell r="E78">
            <v>0</v>
          </cell>
          <cell r="F78">
            <v>0</v>
          </cell>
          <cell r="G78">
            <v>26743.510746367996</v>
          </cell>
          <cell r="H78">
            <v>0</v>
          </cell>
          <cell r="I78">
            <v>0</v>
          </cell>
          <cell r="J78">
            <v>0</v>
          </cell>
          <cell r="K78">
            <v>0</v>
          </cell>
          <cell r="L78">
            <v>0</v>
          </cell>
          <cell r="M78">
            <v>0</v>
          </cell>
          <cell r="N78">
            <v>0</v>
          </cell>
          <cell r="O78">
            <v>0</v>
          </cell>
          <cell r="P78">
            <v>0</v>
          </cell>
          <cell r="Q78">
            <v>0</v>
          </cell>
          <cell r="R78">
            <v>0</v>
          </cell>
          <cell r="T78">
            <v>0</v>
          </cell>
          <cell r="U78">
            <v>0</v>
          </cell>
          <cell r="V78">
            <v>0</v>
          </cell>
          <cell r="W78">
            <v>0</v>
          </cell>
          <cell r="X78">
            <v>0</v>
          </cell>
          <cell r="Y78">
            <v>0</v>
          </cell>
        </row>
        <row r="79">
          <cell r="E79">
            <v>0</v>
          </cell>
          <cell r="F79">
            <v>0</v>
          </cell>
          <cell r="G79">
            <v>0</v>
          </cell>
          <cell r="H79">
            <v>0</v>
          </cell>
          <cell r="I79">
            <v>77650.555103047998</v>
          </cell>
          <cell r="J79">
            <v>0</v>
          </cell>
          <cell r="K79">
            <v>0</v>
          </cell>
          <cell r="L79">
            <v>0</v>
          </cell>
          <cell r="M79">
            <v>0</v>
          </cell>
          <cell r="N79">
            <v>0</v>
          </cell>
          <cell r="O79">
            <v>0</v>
          </cell>
          <cell r="P79">
            <v>0</v>
          </cell>
          <cell r="Q79">
            <v>0</v>
          </cell>
          <cell r="R79">
            <v>0</v>
          </cell>
          <cell r="T79">
            <v>0</v>
          </cell>
          <cell r="U79">
            <v>0</v>
          </cell>
          <cell r="V79">
            <v>0</v>
          </cell>
          <cell r="W79">
            <v>0</v>
          </cell>
          <cell r="X79">
            <v>0</v>
          </cell>
          <cell r="Y79">
            <v>0</v>
          </cell>
        </row>
        <row r="80">
          <cell r="E80">
            <v>0</v>
          </cell>
          <cell r="F80">
            <v>164228.87077390985</v>
          </cell>
          <cell r="G80">
            <v>0</v>
          </cell>
          <cell r="H80">
            <v>0</v>
          </cell>
          <cell r="I80">
            <v>0</v>
          </cell>
          <cell r="J80">
            <v>0</v>
          </cell>
          <cell r="K80">
            <v>0</v>
          </cell>
          <cell r="L80">
            <v>0</v>
          </cell>
          <cell r="M80">
            <v>0</v>
          </cell>
          <cell r="N80">
            <v>0</v>
          </cell>
          <cell r="O80">
            <v>0</v>
          </cell>
          <cell r="P80">
            <v>0</v>
          </cell>
          <cell r="Q80">
            <v>0</v>
          </cell>
          <cell r="R80">
            <v>0</v>
          </cell>
          <cell r="T80">
            <v>0</v>
          </cell>
          <cell r="U80">
            <v>0</v>
          </cell>
          <cell r="V80">
            <v>0</v>
          </cell>
          <cell r="W80">
            <v>0</v>
          </cell>
          <cell r="X80">
            <v>0</v>
          </cell>
          <cell r="Y80">
            <v>0</v>
          </cell>
        </row>
        <row r="81">
          <cell r="E81">
            <v>0</v>
          </cell>
          <cell r="F81">
            <v>91961.690832459106</v>
          </cell>
          <cell r="G81">
            <v>0</v>
          </cell>
          <cell r="H81">
            <v>0</v>
          </cell>
          <cell r="I81">
            <v>0</v>
          </cell>
          <cell r="J81">
            <v>0</v>
          </cell>
          <cell r="K81">
            <v>0</v>
          </cell>
          <cell r="L81">
            <v>0</v>
          </cell>
          <cell r="M81">
            <v>0</v>
          </cell>
          <cell r="N81">
            <v>0</v>
          </cell>
          <cell r="O81">
            <v>0</v>
          </cell>
          <cell r="P81">
            <v>0</v>
          </cell>
          <cell r="Q81">
            <v>0</v>
          </cell>
          <cell r="R81">
            <v>0</v>
          </cell>
          <cell r="T81">
            <v>0</v>
          </cell>
          <cell r="U81">
            <v>0</v>
          </cell>
          <cell r="V81">
            <v>0</v>
          </cell>
          <cell r="W81">
            <v>0</v>
          </cell>
          <cell r="X81">
            <v>0</v>
          </cell>
          <cell r="Y81">
            <v>0</v>
          </cell>
        </row>
        <row r="82">
          <cell r="E82">
            <v>0</v>
          </cell>
          <cell r="F82">
            <v>8101.5848836660007</v>
          </cell>
          <cell r="G82">
            <v>4106.2226087500003</v>
          </cell>
          <cell r="H82">
            <v>0</v>
          </cell>
          <cell r="I82">
            <v>0</v>
          </cell>
          <cell r="J82">
            <v>0</v>
          </cell>
          <cell r="K82">
            <v>0</v>
          </cell>
          <cell r="L82">
            <v>0</v>
          </cell>
          <cell r="M82">
            <v>0</v>
          </cell>
          <cell r="N82">
            <v>0</v>
          </cell>
          <cell r="O82">
            <v>0</v>
          </cell>
          <cell r="P82">
            <v>0</v>
          </cell>
          <cell r="Q82">
            <v>0</v>
          </cell>
          <cell r="R82">
            <v>0</v>
          </cell>
          <cell r="T82">
            <v>0</v>
          </cell>
          <cell r="U82">
            <v>0</v>
          </cell>
          <cell r="V82">
            <v>0</v>
          </cell>
          <cell r="W82">
            <v>0</v>
          </cell>
          <cell r="X82">
            <v>0</v>
          </cell>
          <cell r="Y82">
            <v>0</v>
          </cell>
        </row>
        <row r="83">
          <cell r="E83">
            <v>4413.5314285714276</v>
          </cell>
          <cell r="F83">
            <v>3048.3005381840953</v>
          </cell>
          <cell r="G83">
            <v>0</v>
          </cell>
          <cell r="H83">
            <v>0</v>
          </cell>
          <cell r="I83">
            <v>0</v>
          </cell>
          <cell r="J83">
            <v>10068.112624546347</v>
          </cell>
          <cell r="K83">
            <v>0</v>
          </cell>
          <cell r="L83">
            <v>0</v>
          </cell>
          <cell r="M83">
            <v>0</v>
          </cell>
          <cell r="N83">
            <v>0</v>
          </cell>
          <cell r="O83">
            <v>0</v>
          </cell>
          <cell r="P83">
            <v>0</v>
          </cell>
          <cell r="Q83">
            <v>0</v>
          </cell>
          <cell r="R83">
            <v>0</v>
          </cell>
          <cell r="T83">
            <v>0</v>
          </cell>
          <cell r="U83">
            <v>224.01724519999996</v>
          </cell>
          <cell r="V83">
            <v>0</v>
          </cell>
          <cell r="W83">
            <v>0</v>
          </cell>
          <cell r="X83">
            <v>0</v>
          </cell>
          <cell r="Y83">
            <v>0</v>
          </cell>
        </row>
        <row r="84">
          <cell r="E84">
            <v>0</v>
          </cell>
          <cell r="F84">
            <v>0</v>
          </cell>
          <cell r="G84">
            <v>0</v>
          </cell>
          <cell r="H84">
            <v>0</v>
          </cell>
          <cell r="I84">
            <v>0</v>
          </cell>
          <cell r="J84">
            <v>0</v>
          </cell>
          <cell r="K84">
            <v>0</v>
          </cell>
          <cell r="L84">
            <v>81.409151518277142</v>
          </cell>
          <cell r="M84">
            <v>1314.183384767699</v>
          </cell>
          <cell r="N84">
            <v>0</v>
          </cell>
          <cell r="O84">
            <v>0</v>
          </cell>
          <cell r="P84">
            <v>0</v>
          </cell>
          <cell r="Q84">
            <v>0</v>
          </cell>
          <cell r="R84">
            <v>0</v>
          </cell>
          <cell r="T84">
            <v>0</v>
          </cell>
          <cell r="U84">
            <v>0</v>
          </cell>
          <cell r="V84">
            <v>0</v>
          </cell>
          <cell r="W84">
            <v>0</v>
          </cell>
          <cell r="X84">
            <v>0</v>
          </cell>
          <cell r="Y84">
            <v>0</v>
          </cell>
        </row>
        <row r="85">
          <cell r="E85">
            <v>0</v>
          </cell>
          <cell r="F85">
            <v>0</v>
          </cell>
          <cell r="G85">
            <v>0</v>
          </cell>
          <cell r="H85">
            <v>165.32667886669623</v>
          </cell>
          <cell r="I85">
            <v>0</v>
          </cell>
          <cell r="J85">
            <v>0</v>
          </cell>
          <cell r="K85">
            <v>0</v>
          </cell>
          <cell r="L85">
            <v>0</v>
          </cell>
          <cell r="M85">
            <v>0</v>
          </cell>
          <cell r="N85">
            <v>0</v>
          </cell>
          <cell r="O85">
            <v>0</v>
          </cell>
          <cell r="P85">
            <v>0</v>
          </cell>
          <cell r="Q85">
            <v>0</v>
          </cell>
          <cell r="R85">
            <v>0</v>
          </cell>
          <cell r="T85">
            <v>0</v>
          </cell>
          <cell r="U85">
            <v>0</v>
          </cell>
          <cell r="V85">
            <v>0</v>
          </cell>
          <cell r="W85">
            <v>0</v>
          </cell>
          <cell r="X85">
            <v>0</v>
          </cell>
          <cell r="Y85">
            <v>0</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T86">
            <v>4079.1039372798487</v>
          </cell>
          <cell r="U86">
            <v>3306.4986666669056</v>
          </cell>
          <cell r="V86">
            <v>0</v>
          </cell>
          <cell r="W86">
            <v>0</v>
          </cell>
          <cell r="X86">
            <v>0</v>
          </cell>
          <cell r="Y86">
            <v>0</v>
          </cell>
        </row>
        <row r="87">
          <cell r="E87">
            <v>7222.1501211937084</v>
          </cell>
          <cell r="F87">
            <v>608.56118090625</v>
          </cell>
          <cell r="G87">
            <v>0</v>
          </cell>
          <cell r="H87">
            <v>0</v>
          </cell>
          <cell r="I87">
            <v>237.23729221108778</v>
          </cell>
          <cell r="J87">
            <v>64.7665580203535</v>
          </cell>
          <cell r="K87">
            <v>0</v>
          </cell>
          <cell r="L87">
            <v>0</v>
          </cell>
          <cell r="M87">
            <v>0</v>
          </cell>
          <cell r="N87">
            <v>0</v>
          </cell>
          <cell r="O87">
            <v>0</v>
          </cell>
          <cell r="P87">
            <v>0</v>
          </cell>
          <cell r="Q87">
            <v>0</v>
          </cell>
          <cell r="R87">
            <v>0</v>
          </cell>
          <cell r="T87">
            <v>0</v>
          </cell>
          <cell r="U87">
            <v>0</v>
          </cell>
          <cell r="V87">
            <v>0</v>
          </cell>
          <cell r="W87">
            <v>0</v>
          </cell>
          <cell r="X87">
            <v>0</v>
          </cell>
          <cell r="Y87">
            <v>0</v>
          </cell>
        </row>
        <row r="88">
          <cell r="E88">
            <v>0</v>
          </cell>
          <cell r="F88">
            <v>0</v>
          </cell>
          <cell r="G88">
            <v>0</v>
          </cell>
          <cell r="H88">
            <v>0</v>
          </cell>
          <cell r="I88">
            <v>0</v>
          </cell>
          <cell r="J88">
            <v>0</v>
          </cell>
          <cell r="K88">
            <v>0</v>
          </cell>
          <cell r="L88">
            <v>0</v>
          </cell>
          <cell r="M88">
            <v>0</v>
          </cell>
          <cell r="N88">
            <v>33025</v>
          </cell>
          <cell r="O88">
            <v>0</v>
          </cell>
          <cell r="P88">
            <v>0</v>
          </cell>
          <cell r="Q88">
            <v>0</v>
          </cell>
          <cell r="R88">
            <v>0</v>
          </cell>
          <cell r="T88">
            <v>0</v>
          </cell>
          <cell r="U88">
            <v>0</v>
          </cell>
          <cell r="V88">
            <v>0</v>
          </cell>
          <cell r="W88">
            <v>0</v>
          </cell>
          <cell r="X88">
            <v>0</v>
          </cell>
          <cell r="Y88">
            <v>0</v>
          </cell>
        </row>
        <row r="89">
          <cell r="E89">
            <v>440.96957376</v>
          </cell>
          <cell r="F89">
            <v>0</v>
          </cell>
          <cell r="G89">
            <v>0</v>
          </cell>
          <cell r="H89">
            <v>0</v>
          </cell>
          <cell r="I89">
            <v>0</v>
          </cell>
          <cell r="J89">
            <v>0</v>
          </cell>
          <cell r="K89">
            <v>0</v>
          </cell>
          <cell r="L89">
            <v>0</v>
          </cell>
          <cell r="M89">
            <v>0</v>
          </cell>
          <cell r="N89">
            <v>0</v>
          </cell>
          <cell r="O89">
            <v>0</v>
          </cell>
          <cell r="P89">
            <v>335.77289895000001</v>
          </cell>
          <cell r="Q89">
            <v>0</v>
          </cell>
          <cell r="R89">
            <v>2189.7745435158322</v>
          </cell>
          <cell r="T89">
            <v>0</v>
          </cell>
          <cell r="U89">
            <v>0</v>
          </cell>
          <cell r="V89">
            <v>0</v>
          </cell>
          <cell r="W89">
            <v>0</v>
          </cell>
          <cell r="X89">
            <v>0</v>
          </cell>
          <cell r="Y89">
            <v>0</v>
          </cell>
        </row>
        <row r="90">
          <cell r="E90">
            <v>0</v>
          </cell>
          <cell r="F90">
            <v>129.40881205285714</v>
          </cell>
          <cell r="G90">
            <v>0</v>
          </cell>
          <cell r="H90">
            <v>0</v>
          </cell>
          <cell r="I90">
            <v>92.585851242857146</v>
          </cell>
          <cell r="J90">
            <v>0</v>
          </cell>
          <cell r="K90">
            <v>0</v>
          </cell>
          <cell r="L90">
            <v>0</v>
          </cell>
          <cell r="M90">
            <v>0</v>
          </cell>
          <cell r="N90">
            <v>0</v>
          </cell>
          <cell r="O90">
            <v>19.750627757142858</v>
          </cell>
          <cell r="P90">
            <v>0</v>
          </cell>
          <cell r="Q90">
            <v>0</v>
          </cell>
          <cell r="R90">
            <v>2282.6761963995245</v>
          </cell>
          <cell r="T90">
            <v>0</v>
          </cell>
          <cell r="U90">
            <v>0</v>
          </cell>
          <cell r="V90">
            <v>0</v>
          </cell>
          <cell r="W90">
            <v>0</v>
          </cell>
          <cell r="X90">
            <v>0</v>
          </cell>
          <cell r="Y90">
            <v>0</v>
          </cell>
        </row>
        <row r="91">
          <cell r="E91">
            <v>123133.27791000003</v>
          </cell>
          <cell r="F91">
            <v>11759.003537999997</v>
          </cell>
          <cell r="G91">
            <v>27090.241219999996</v>
          </cell>
          <cell r="H91">
            <v>0</v>
          </cell>
          <cell r="I91">
            <v>2059.5243300000006</v>
          </cell>
          <cell r="J91">
            <v>2925.7768299999993</v>
          </cell>
          <cell r="K91">
            <v>157.99801000000002</v>
          </cell>
          <cell r="L91">
            <v>1719.8723100000002</v>
          </cell>
          <cell r="M91">
            <v>4035.0321899999999</v>
          </cell>
          <cell r="N91">
            <v>0</v>
          </cell>
          <cell r="O91">
            <v>883.3620699999999</v>
          </cell>
          <cell r="P91">
            <v>368.01916999999997</v>
          </cell>
          <cell r="Q91">
            <v>43.694539999999996</v>
          </cell>
          <cell r="R91">
            <v>2732.9446599999997</v>
          </cell>
          <cell r="T91">
            <v>1.14537</v>
          </cell>
          <cell r="U91">
            <v>0</v>
          </cell>
          <cell r="V91">
            <v>0</v>
          </cell>
          <cell r="W91">
            <v>0</v>
          </cell>
          <cell r="X91">
            <v>0</v>
          </cell>
          <cell r="Y91">
            <v>0</v>
          </cell>
        </row>
        <row r="92">
          <cell r="E92">
            <v>247158.38494764894</v>
          </cell>
          <cell r="F92">
            <v>279837.42055917816</v>
          </cell>
          <cell r="G92">
            <v>167025.89930043949</v>
          </cell>
          <cell r="H92">
            <v>165.32667886669623</v>
          </cell>
          <cell r="I92">
            <v>80297.33076541363</v>
          </cell>
          <cell r="J92">
            <v>14454.660681041938</v>
          </cell>
          <cell r="K92">
            <v>8390.3020321881449</v>
          </cell>
          <cell r="L92">
            <v>2126.0573650090369</v>
          </cell>
          <cell r="M92">
            <v>7235.6595534338594</v>
          </cell>
          <cell r="N92">
            <v>33025</v>
          </cell>
          <cell r="O92">
            <v>903.11269775714277</v>
          </cell>
          <cell r="P92">
            <v>703.79206894999993</v>
          </cell>
          <cell r="Q92">
            <v>43.694539999999996</v>
          </cell>
          <cell r="R92">
            <v>7205.3953999153564</v>
          </cell>
          <cell r="T92">
            <v>4080.2493072798488</v>
          </cell>
          <cell r="U92">
            <v>3530.5159118669058</v>
          </cell>
          <cell r="V92">
            <v>0</v>
          </cell>
          <cell r="W92">
            <v>0</v>
          </cell>
          <cell r="X92">
            <v>0</v>
          </cell>
          <cell r="Y92">
            <v>0</v>
          </cell>
          <cell r="AA92">
            <v>856182.80180898926</v>
          </cell>
        </row>
      </sheetData>
      <sheetData sheetId="3">
        <row r="11">
          <cell r="E11">
            <v>14.333050159795743</v>
          </cell>
          <cell r="F11">
            <v>41.237742225214127</v>
          </cell>
        </row>
        <row r="12">
          <cell r="E12">
            <v>32.318176573036325</v>
          </cell>
          <cell r="F12">
            <v>55.968548473454156</v>
          </cell>
        </row>
        <row r="13">
          <cell r="E13">
            <v>31.239381985728773</v>
          </cell>
          <cell r="F13">
            <v>56.550712395018699</v>
          </cell>
        </row>
        <row r="14">
          <cell r="E14">
            <v>32.32830835487627</v>
          </cell>
          <cell r="F14">
            <v>55.987813124703322</v>
          </cell>
        </row>
        <row r="15">
          <cell r="E15">
            <v>22.440598993079398</v>
          </cell>
          <cell r="F15">
            <v>44.997098934224852</v>
          </cell>
        </row>
        <row r="16">
          <cell r="E16">
            <v>30.941957708691557</v>
          </cell>
          <cell r="F16">
            <v>54.680003773458026</v>
          </cell>
        </row>
        <row r="17">
          <cell r="E17">
            <v>15.021734092109323</v>
          </cell>
          <cell r="F17">
            <v>41.443603374535435</v>
          </cell>
        </row>
        <row r="18">
          <cell r="E18">
            <v>1.3523808128497912</v>
          </cell>
          <cell r="F18">
            <v>14.026832175016196</v>
          </cell>
        </row>
        <row r="19">
          <cell r="E19">
            <v>1.7747214769326392</v>
          </cell>
          <cell r="F19">
            <v>14.683517286099157</v>
          </cell>
        </row>
        <row r="20">
          <cell r="E20" t="str">
            <v>n/a</v>
          </cell>
          <cell r="F20" t="str">
            <v>n/a</v>
          </cell>
        </row>
        <row r="21">
          <cell r="E21">
            <v>10.419045370531833</v>
          </cell>
          <cell r="F21">
            <v>14.329364770087121</v>
          </cell>
        </row>
        <row r="22">
          <cell r="E22">
            <v>7.3625194657983073</v>
          </cell>
          <cell r="F22">
            <v>11.840927129908023</v>
          </cell>
        </row>
        <row r="23">
          <cell r="E23">
            <v>10.419045370531833</v>
          </cell>
          <cell r="F23">
            <v>14.329364770087121</v>
          </cell>
        </row>
        <row r="24">
          <cell r="E24">
            <v>9.4901438673803469</v>
          </cell>
          <cell r="F24">
            <v>13.573109617503151</v>
          </cell>
        </row>
        <row r="25">
          <cell r="E25">
            <v>7.0987237631701809</v>
          </cell>
          <cell r="F25">
            <v>22.142424354842618</v>
          </cell>
        </row>
        <row r="26">
          <cell r="E26">
            <v>7.0987237631701809</v>
          </cell>
          <cell r="F26">
            <v>15</v>
          </cell>
        </row>
        <row r="27">
          <cell r="E27">
            <v>0</v>
          </cell>
          <cell r="F27">
            <v>15</v>
          </cell>
        </row>
        <row r="28">
          <cell r="E28">
            <v>0</v>
          </cell>
          <cell r="F28">
            <v>15</v>
          </cell>
        </row>
        <row r="29">
          <cell r="E29">
            <v>0</v>
          </cell>
          <cell r="F29">
            <v>15</v>
          </cell>
        </row>
        <row r="30">
          <cell r="E30">
            <v>0</v>
          </cell>
          <cell r="F30">
            <v>10</v>
          </cell>
        </row>
        <row r="68">
          <cell r="E68">
            <v>28711.252870226912</v>
          </cell>
          <cell r="F68">
            <v>0</v>
          </cell>
          <cell r="G68">
            <v>0</v>
          </cell>
          <cell r="H68">
            <v>0</v>
          </cell>
          <cell r="I68">
            <v>0</v>
          </cell>
          <cell r="J68">
            <v>1396.0046684752381</v>
          </cell>
          <cell r="K68">
            <v>2810.3290319160042</v>
          </cell>
          <cell r="L68">
            <v>26.851499999999998</v>
          </cell>
          <cell r="M68">
            <v>330.25510718685831</v>
          </cell>
          <cell r="N68">
            <v>0</v>
          </cell>
          <cell r="O68">
            <v>0</v>
          </cell>
          <cell r="P68">
            <v>0</v>
          </cell>
          <cell r="Q68">
            <v>0</v>
          </cell>
          <cell r="R68">
            <v>0</v>
          </cell>
          <cell r="S68">
            <v>0</v>
          </cell>
          <cell r="T68">
            <v>0</v>
          </cell>
          <cell r="U68">
            <v>0</v>
          </cell>
          <cell r="V68">
            <v>0</v>
          </cell>
          <cell r="W68">
            <v>0</v>
          </cell>
          <cell r="X68">
            <v>0</v>
          </cell>
          <cell r="AB68">
            <v>42.446353819705671</v>
          </cell>
          <cell r="AC68">
            <v>24.472745436879421</v>
          </cell>
          <cell r="AD68">
            <v>17.973608382826249</v>
          </cell>
        </row>
        <row r="69">
          <cell r="E69">
            <v>206736.68891248366</v>
          </cell>
          <cell r="F69">
            <v>0</v>
          </cell>
          <cell r="G69">
            <v>0</v>
          </cell>
          <cell r="H69">
            <v>0</v>
          </cell>
          <cell r="I69">
            <v>0</v>
          </cell>
          <cell r="J69">
            <v>0</v>
          </cell>
          <cell r="K69">
            <v>5421.9749902721405</v>
          </cell>
          <cell r="L69">
            <v>22.744799999999994</v>
          </cell>
          <cell r="M69">
            <v>0</v>
          </cell>
          <cell r="N69">
            <v>0</v>
          </cell>
          <cell r="O69">
            <v>0</v>
          </cell>
          <cell r="P69">
            <v>0</v>
          </cell>
          <cell r="Q69">
            <v>0</v>
          </cell>
          <cell r="R69">
            <v>0</v>
          </cell>
          <cell r="S69">
            <v>0</v>
          </cell>
          <cell r="T69">
            <v>0</v>
          </cell>
          <cell r="U69">
            <v>0</v>
          </cell>
          <cell r="V69">
            <v>0</v>
          </cell>
          <cell r="W69">
            <v>0</v>
          </cell>
          <cell r="X69">
            <v>0</v>
          </cell>
          <cell r="AB69">
            <v>41.742344582603906</v>
          </cell>
          <cell r="AC69">
            <v>27.842034315830343</v>
          </cell>
          <cell r="AD69">
            <v>13.900310266773563</v>
          </cell>
        </row>
        <row r="70">
          <cell r="E70">
            <v>6855.9421626069679</v>
          </cell>
          <cell r="F70">
            <v>0</v>
          </cell>
          <cell r="G70">
            <v>0</v>
          </cell>
          <cell r="H70">
            <v>0</v>
          </cell>
          <cell r="I70">
            <v>0</v>
          </cell>
          <cell r="J70">
            <v>0</v>
          </cell>
          <cell r="K70">
            <v>157.99801000000002</v>
          </cell>
          <cell r="L70">
            <v>2076.4610650090372</v>
          </cell>
          <cell r="M70">
            <v>6905.404446247001</v>
          </cell>
          <cell r="N70">
            <v>0</v>
          </cell>
          <cell r="O70">
            <v>0</v>
          </cell>
          <cell r="P70">
            <v>0</v>
          </cell>
          <cell r="Q70">
            <v>0</v>
          </cell>
          <cell r="R70">
            <v>0</v>
          </cell>
          <cell r="S70">
            <v>0</v>
          </cell>
          <cell r="T70">
            <v>0</v>
          </cell>
          <cell r="U70">
            <v>0</v>
          </cell>
          <cell r="V70">
            <v>0</v>
          </cell>
          <cell r="W70">
            <v>0</v>
          </cell>
          <cell r="X70">
            <v>0</v>
          </cell>
          <cell r="AB70">
            <v>13.355742986043412</v>
          </cell>
          <cell r="AC70">
            <v>28.948523240841634</v>
          </cell>
          <cell r="AD70">
            <v>1</v>
          </cell>
        </row>
        <row r="71">
          <cell r="E71">
            <v>0</v>
          </cell>
          <cell r="F71">
            <v>0</v>
          </cell>
          <cell r="G71">
            <v>162919.6766916895</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AB71">
            <v>56.564899691219829</v>
          </cell>
          <cell r="AC71">
            <v>25.352962972797343</v>
          </cell>
          <cell r="AD71">
            <v>31.211936718422486</v>
          </cell>
        </row>
        <row r="72">
          <cell r="E72">
            <v>440.96957376</v>
          </cell>
          <cell r="F72">
            <v>0</v>
          </cell>
          <cell r="G72">
            <v>0</v>
          </cell>
          <cell r="H72">
            <v>0</v>
          </cell>
          <cell r="I72">
            <v>0</v>
          </cell>
          <cell r="J72">
            <v>0</v>
          </cell>
          <cell r="K72">
            <v>0</v>
          </cell>
          <cell r="L72">
            <v>0</v>
          </cell>
          <cell r="M72">
            <v>0</v>
          </cell>
          <cell r="N72">
            <v>0</v>
          </cell>
          <cell r="O72">
            <v>0</v>
          </cell>
          <cell r="P72">
            <v>703.79206894999993</v>
          </cell>
          <cell r="Q72">
            <v>0</v>
          </cell>
          <cell r="R72">
            <v>2189.7745435158322</v>
          </cell>
          <cell r="S72">
            <v>0</v>
          </cell>
          <cell r="T72">
            <v>0</v>
          </cell>
          <cell r="U72">
            <v>0</v>
          </cell>
          <cell r="V72">
            <v>0</v>
          </cell>
          <cell r="W72">
            <v>0</v>
          </cell>
          <cell r="X72">
            <v>0</v>
          </cell>
          <cell r="AB72">
            <v>11.840927129908023</v>
          </cell>
          <cell r="AC72">
            <v>4.4784076641097155</v>
          </cell>
          <cell r="AD72">
            <v>7.3625194657983073</v>
          </cell>
        </row>
        <row r="73">
          <cell r="E73">
            <v>0</v>
          </cell>
          <cell r="F73">
            <v>129.40881205285714</v>
          </cell>
          <cell r="G73">
            <v>0</v>
          </cell>
          <cell r="H73">
            <v>0</v>
          </cell>
          <cell r="I73">
            <v>92.585851242857146</v>
          </cell>
          <cell r="J73">
            <v>0</v>
          </cell>
          <cell r="K73">
            <v>0</v>
          </cell>
          <cell r="L73">
            <v>0</v>
          </cell>
          <cell r="M73">
            <v>0</v>
          </cell>
          <cell r="N73">
            <v>0</v>
          </cell>
          <cell r="O73">
            <v>903.11269775714277</v>
          </cell>
          <cell r="P73">
            <v>0</v>
          </cell>
          <cell r="Q73">
            <v>43.694539999999996</v>
          </cell>
          <cell r="R73">
            <v>5015.6208563995242</v>
          </cell>
          <cell r="S73">
            <v>0</v>
          </cell>
          <cell r="T73">
            <v>0</v>
          </cell>
          <cell r="U73">
            <v>0</v>
          </cell>
          <cell r="V73">
            <v>0</v>
          </cell>
          <cell r="W73">
            <v>0</v>
          </cell>
          <cell r="X73">
            <v>0</v>
          </cell>
          <cell r="AB73">
            <v>14.329364770087119</v>
          </cell>
          <cell r="AC73">
            <v>3.9103193995552852</v>
          </cell>
          <cell r="AD73">
            <v>10.419045370531833</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4080.2493072798488</v>
          </cell>
          <cell r="T74">
            <v>3530.5159118669058</v>
          </cell>
          <cell r="U74">
            <v>0</v>
          </cell>
          <cell r="V74">
            <v>0</v>
          </cell>
          <cell r="W74">
            <v>0</v>
          </cell>
          <cell r="X74">
            <v>0</v>
          </cell>
          <cell r="AB74">
            <v>22.142424354842618</v>
          </cell>
          <cell r="AC74">
            <v>15.043700591672437</v>
          </cell>
          <cell r="AD74">
            <v>7.0987237631701809</v>
          </cell>
        </row>
        <row r="75">
          <cell r="E75">
            <v>0</v>
          </cell>
          <cell r="F75">
            <v>0</v>
          </cell>
          <cell r="G75">
            <v>0</v>
          </cell>
          <cell r="H75">
            <v>0</v>
          </cell>
          <cell r="I75">
            <v>79967.507621959696</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B75">
            <v>44.999999999997186</v>
          </cell>
          <cell r="AC75">
            <v>22.574816113082974</v>
          </cell>
          <cell r="AD75">
            <v>22.425183886914212</v>
          </cell>
        </row>
        <row r="76">
          <cell r="E76">
            <v>4413.5314285714276</v>
          </cell>
          <cell r="F76">
            <v>279708.0117471253</v>
          </cell>
          <cell r="G76">
            <v>4106.2226087500003</v>
          </cell>
          <cell r="H76">
            <v>165.32667886669623</v>
          </cell>
          <cell r="I76">
            <v>237.23729221108778</v>
          </cell>
          <cell r="J76">
            <v>13058.6560125667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B76">
            <v>55.987813124703315</v>
          </cell>
          <cell r="AC76">
            <v>23.659504769827048</v>
          </cell>
          <cell r="AD76">
            <v>32.32830835487627</v>
          </cell>
        </row>
        <row r="77">
          <cell r="E77">
            <v>0</v>
          </cell>
          <cell r="F77">
            <v>0</v>
          </cell>
          <cell r="G77">
            <v>0</v>
          </cell>
          <cell r="H77">
            <v>0</v>
          </cell>
          <cell r="I77">
            <v>0</v>
          </cell>
          <cell r="J77">
            <v>0</v>
          </cell>
          <cell r="K77">
            <v>0</v>
          </cell>
          <cell r="L77">
            <v>0</v>
          </cell>
          <cell r="M77">
            <v>0</v>
          </cell>
          <cell r="N77">
            <v>33025</v>
          </cell>
          <cell r="O77">
            <v>0</v>
          </cell>
          <cell r="P77">
            <v>0</v>
          </cell>
          <cell r="Q77">
            <v>0</v>
          </cell>
          <cell r="R77">
            <v>0</v>
          </cell>
          <cell r="S77">
            <v>0</v>
          </cell>
          <cell r="T77">
            <v>0</v>
          </cell>
          <cell r="U77">
            <v>0</v>
          </cell>
          <cell r="V77">
            <v>0</v>
          </cell>
          <cell r="W77">
            <v>0</v>
          </cell>
          <cell r="X77">
            <v>0</v>
          </cell>
          <cell r="AB77">
            <v>0</v>
          </cell>
          <cell r="AC77">
            <v>0</v>
          </cell>
          <cell r="AD77">
            <v>0</v>
          </cell>
        </row>
        <row r="80">
          <cell r="E80">
            <v>41.237742225214127</v>
          </cell>
          <cell r="F80">
            <v>55.968548473454156</v>
          </cell>
          <cell r="G80">
            <v>56.550712395018699</v>
          </cell>
          <cell r="H80">
            <v>55.987813124703322</v>
          </cell>
          <cell r="I80">
            <v>44.997098934224852</v>
          </cell>
          <cell r="J80">
            <v>54.680003773458026</v>
          </cell>
          <cell r="K80">
            <v>41.443603374535435</v>
          </cell>
          <cell r="L80">
            <v>14.026832175016196</v>
          </cell>
          <cell r="M80">
            <v>14.683517286099157</v>
          </cell>
          <cell r="N80" t="str">
            <v>n/a</v>
          </cell>
          <cell r="O80">
            <v>14.329364770087121</v>
          </cell>
          <cell r="P80">
            <v>11.840927129908023</v>
          </cell>
          <cell r="Q80">
            <v>14.329364770087121</v>
          </cell>
          <cell r="R80">
            <v>13.573109617503151</v>
          </cell>
          <cell r="S80">
            <v>22.142424354842618</v>
          </cell>
          <cell r="T80">
            <v>15</v>
          </cell>
          <cell r="U80">
            <v>15</v>
          </cell>
          <cell r="V80">
            <v>15</v>
          </cell>
          <cell r="W80">
            <v>15</v>
          </cell>
          <cell r="X80">
            <v>10</v>
          </cell>
        </row>
        <row r="81">
          <cell r="E81">
            <v>14.333050159795743</v>
          </cell>
          <cell r="F81">
            <v>32.318176573036325</v>
          </cell>
          <cell r="G81">
            <v>31.239381985728773</v>
          </cell>
          <cell r="H81">
            <v>32.32830835487627</v>
          </cell>
          <cell r="I81">
            <v>22.440598993079398</v>
          </cell>
          <cell r="J81">
            <v>30.941957708691557</v>
          </cell>
          <cell r="K81">
            <v>15.021734092109323</v>
          </cell>
          <cell r="L81">
            <v>1.3523808128497912</v>
          </cell>
          <cell r="M81">
            <v>1.7747214769326392</v>
          </cell>
          <cell r="N81" t="str">
            <v>n/a</v>
          </cell>
          <cell r="O81">
            <v>10.419045370531833</v>
          </cell>
          <cell r="P81">
            <v>7.3625194657983073</v>
          </cell>
          <cell r="Q81">
            <v>10.419045370531833</v>
          </cell>
          <cell r="R81">
            <v>9.4901438673803469</v>
          </cell>
          <cell r="S81">
            <v>7.0987237631701809</v>
          </cell>
          <cell r="T81">
            <v>7.0987237631701809</v>
          </cell>
          <cell r="U81">
            <v>0</v>
          </cell>
          <cell r="V81">
            <v>0</v>
          </cell>
          <cell r="W81">
            <v>0</v>
          </cell>
          <cell r="X81">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s"/>
      <sheetName val="Fee Based Services"/>
      <sheetName val="Quoted Services"/>
    </sheetNames>
    <sheetDataSet>
      <sheetData sheetId="0"/>
      <sheetData sheetId="1"/>
      <sheetData sheetId="2">
        <row r="3">
          <cell r="B3" t="str">
            <v>Connections Services</v>
          </cell>
        </row>
        <row r="4">
          <cell r="B4" t="str">
            <v>Disconnection</v>
          </cell>
          <cell r="C4" t="str">
            <v>Disconnection - business hours only</v>
          </cell>
          <cell r="J4">
            <v>70.022071396109126</v>
          </cell>
        </row>
        <row r="5">
          <cell r="B5" t="str">
            <v>Reconnection</v>
          </cell>
          <cell r="C5" t="str">
            <v>Reconnection - business hours only</v>
          </cell>
          <cell r="J5">
            <v>70.022071396109126</v>
          </cell>
        </row>
        <row r="6">
          <cell r="B6" t="str">
            <v xml:space="preserve">Disconnection – with comms (remote charge) </v>
          </cell>
          <cell r="C6" t="str">
            <v>Disconnection – business hours only – no site visit required</v>
          </cell>
          <cell r="J6">
            <v>8.7247097512539327</v>
          </cell>
        </row>
        <row r="7">
          <cell r="B7" t="str">
            <v>Reconnection – with comms (remote charge)</v>
          </cell>
          <cell r="C7" t="str">
            <v>Reconnection – business hours only – no site visit required</v>
          </cell>
          <cell r="J7">
            <v>8.7247097512539327</v>
          </cell>
        </row>
        <row r="8">
          <cell r="B8" t="str">
            <v>Remove and reinstate cable</v>
          </cell>
          <cell r="C8" t="str">
            <v>Temporary removal and reinstatement of service cable at the customer’s request – business hours only</v>
          </cell>
          <cell r="J8">
            <v>584.30505074761288</v>
          </cell>
        </row>
        <row r="9">
          <cell r="B9" t="str">
            <v>Provision of 3 phase service</v>
          </cell>
          <cell r="C9" t="str">
            <v>Upgrade of existing site from single phase to three phase at the customer’s request – Business Hours only</v>
          </cell>
          <cell r="J9">
            <v>1107.9971126476089</v>
          </cell>
        </row>
        <row r="10">
          <cell r="B10" t="str">
            <v>Standard temporary builder’s connection</v>
          </cell>
          <cell r="C10" t="str">
            <v>Connection and supply of electricity for the purpose of development of a site</v>
          </cell>
          <cell r="J10">
            <v>526.95107832151302</v>
          </cell>
        </row>
        <row r="11">
          <cell r="B11" t="str">
            <v>De-energisation / Re-energisation</v>
          </cell>
          <cell r="J11"/>
        </row>
        <row r="12">
          <cell r="B12" t="str">
            <v>Temporary disconnection and reconnection</v>
          </cell>
          <cell r="C12" t="str">
            <v>Temporary disconnection and reconnection of supply (no dismantling of service required – business hours only</v>
          </cell>
          <cell r="J12">
            <v>228.19444865561556</v>
          </cell>
        </row>
        <row r="13">
          <cell r="B13" t="str">
            <v>Disconnection - physical disconnection of the service mains at the connection to the network (Pillar Box, Pit or Pole Top) due to action or inaction of the network user or their agent</v>
          </cell>
          <cell r="C13" t="str">
            <v>Physical disconnection required because standard disconnection could not be undertaken and/or completed as planned due to action or inaction of a network user or their agent.– business hours only.</v>
          </cell>
          <cell r="J13">
            <v>249.14213113161546</v>
          </cell>
        </row>
        <row r="14">
          <cell r="B14" t="str">
            <v>Other</v>
          </cell>
          <cell r="J14"/>
        </row>
        <row r="15">
          <cell r="B15" t="str">
            <v>After hours attendance charge</v>
          </cell>
          <cell r="C15" t="str">
            <v>Additional charge for services carried out after hours at the request of the customer</v>
          </cell>
          <cell r="J15">
            <v>563.35736827161304</v>
          </cell>
        </row>
        <row r="16">
          <cell r="B16" t="str">
            <v xml:space="preserve">Wasted visit fee. 
</v>
          </cell>
          <cell r="C16" t="str">
            <v>Additional costs incurred where service provision could not be undertaken and/or completed as planned due to action or inaction of a network user or their agent.</v>
          </cell>
          <cell r="J16">
            <v>123.45603627561638</v>
          </cell>
        </row>
        <row r="19">
          <cell r="B19" t="str">
            <v>Special meter test</v>
          </cell>
          <cell r="C19" t="str">
            <v>On site use of specialised equipment  to test meter, at customer's request  - business hours only</v>
          </cell>
          <cell r="J19">
            <v>238.66828989361554</v>
          </cell>
        </row>
        <row r="20">
          <cell r="B20" t="str">
            <v>Exchange or replace meter – three phase</v>
          </cell>
          <cell r="C20" t="str">
            <v>Exchange three phase meter at the customer's request (including PV installation) or because of customer tampering or damage - business hours only.</v>
          </cell>
          <cell r="J20">
            <v>502.01238089621529</v>
          </cell>
        </row>
        <row r="21">
          <cell r="B21" t="str">
            <v>Exchange or replace meter - standard</v>
          </cell>
          <cell r="C21" t="str">
            <v>Exchange standard meter at the customer's request (including PV installation) or because of customer tampering or damage - business hours only.</v>
          </cell>
          <cell r="J21">
            <v>411.96867971921847</v>
          </cell>
        </row>
        <row r="22">
          <cell r="J22"/>
        </row>
        <row r="23">
          <cell r="B23" t="str">
            <v>Relocation of meter</v>
          </cell>
          <cell r="C23" t="str">
            <v xml:space="preserve">Relocation of meter after customer has relocated meter panel (undertaken at the customer or retailer's request) – business hours only </v>
          </cell>
          <cell r="J23">
            <v>249.14213113161546</v>
          </cell>
        </row>
        <row r="24">
          <cell r="B24" t="str">
            <v>Remove meter – permanent removal of connection point (meter) from meter panel</v>
          </cell>
          <cell r="C24" t="str">
            <v>Permanent removal of connection point (meter) from meter panel – business hours only</v>
          </cell>
          <cell r="J24">
            <v>249.14213113161546</v>
          </cell>
        </row>
        <row r="25">
          <cell r="J25"/>
        </row>
        <row r="26">
          <cell r="B26" t="str">
            <v>General meter inspection</v>
          </cell>
          <cell r="C26" t="str">
            <v>Non-invasive visual only onsite inspection  to check a reported or suspected fault, undertaken at the customer or retailer's request. This charge only applies if no fault is found with the meter - business hours only. No special testing equipment involved.</v>
          </cell>
          <cell r="J26">
            <v>112.98219503761645</v>
          </cell>
        </row>
        <row r="27">
          <cell r="B27" t="str">
            <v>Special meter read - no appointment</v>
          </cell>
          <cell r="C27" t="str">
            <v>Reading of meter at customer's request - business hours only - within 2 business days - final read or special read (customer contests bill because usage was estimated) - business hours only</v>
          </cell>
          <cell r="J27">
            <v>28.380350882160773</v>
          </cell>
        </row>
        <row r="28">
          <cell r="B28" t="str">
            <v>Special meter read - appointment</v>
          </cell>
          <cell r="C28" t="str">
            <v>Reading of meter at customer's request - business hours only - specified day and time - final read or special read - business hours only</v>
          </cell>
          <cell r="J28">
            <v>60.768634500198246</v>
          </cell>
        </row>
        <row r="29">
          <cell r="B29" t="str">
            <v>Meter program change – no comms</v>
          </cell>
          <cell r="C29" t="str">
            <v>Meter reprogramming carried out on site at customer's request to support their selected tariff arrangements e.g. Prepayment, PV or time of use (per meter) - business hours only</v>
          </cell>
          <cell r="J29">
            <v>133.9298775136163</v>
          </cell>
        </row>
        <row r="30">
          <cell r="B30" t="str">
            <v>Meter program change – with comms</v>
          </cell>
          <cell r="C30" t="str">
            <v>Meter reprogramming carried out remotely at customer's request to support their selected tariff arrangements e.g. Prepayment, PV or time of use (per meter) - business hours only</v>
          </cell>
          <cell r="J30">
            <v>8.7247097512539327</v>
          </cell>
        </row>
        <row r="31">
          <cell r="B31" t="str">
            <v>Non Standard Data Services</v>
          </cell>
        </row>
        <row r="32">
          <cell r="B32" t="str">
            <v>Historical data requests</v>
          </cell>
          <cell r="C32" t="str">
            <v xml:space="preserve">Load analysis retailer or customer requested. Business Hours only. This charge applies for data requests with up to and including 5 NMI’s. Any single data requests for more than 5 NMI’s will be charged on a quoted basis. </v>
          </cell>
          <cell r="J32">
            <v>157.10761856999878</v>
          </cell>
        </row>
        <row r="33">
          <cell r="B33" t="str">
            <v>Standing data requests</v>
          </cell>
          <cell r="C33" t="str">
            <v>Provision of customer standing data, including NMI, Tariff Code, Time of Day &amp; unit of measure retailer or customer requested. Business Hours Only. 
This charge applies for data requests with up to and including 5 NMI’s. Any single data requests for more than 5 NMI’s will be charged on a quoted basis.</v>
          </cell>
          <cell r="J33">
            <v>34.40392113169861</v>
          </cell>
        </row>
        <row r="34">
          <cell r="B34" t="str">
            <v>Customer transfers</v>
          </cell>
          <cell r="C34" t="str">
            <v>Transfer of customer’s retailer, retailer or customer requested - business hours only. 
Fee applies per dataset, per format of data.</v>
          </cell>
          <cell r="J34">
            <v>137.61568452679447</v>
          </cell>
        </row>
        <row r="35">
          <cell r="B35" t="str">
            <v>Network tariff change request</v>
          </cell>
          <cell r="C35" t="str">
            <v>Consumption analysis for a NMI at customer/retailer request to review tariff reassignment. Analysis reviews customer consumption against 750MWh pa consumption threshold.</v>
          </cell>
          <cell r="J35">
            <v>34.40392113169861</v>
          </cell>
        </row>
        <row r="36">
          <cell r="J36"/>
        </row>
        <row r="37">
          <cell r="B37" t="str">
            <v>Miscellaneous services</v>
          </cell>
          <cell r="J37"/>
        </row>
        <row r="38">
          <cell r="B38" t="str">
            <v xml:space="preserve">Installation of Minor Apparatus </v>
          </cell>
          <cell r="C38" t="str">
            <v>Installation and removal of polyloggers – Business Hours only</v>
          </cell>
          <cell r="J38">
            <v>76.323750704616728</v>
          </cell>
        </row>
      </sheetData>
      <sheetData sheetId="3">
        <row r="12">
          <cell r="B12" t="str">
            <v>Design related services</v>
          </cell>
          <cell r="J12">
            <v>136.94662386704937</v>
          </cell>
          <cell r="R12" t="str">
            <v>Includes the provision of design information, certification, and rechecking technically complex or environmentally sensitive information. - Business Hours</v>
          </cell>
        </row>
        <row r="13">
          <cell r="B13" t="str">
            <v>Connection applications</v>
          </cell>
          <cell r="J13">
            <v>136.94662386704937</v>
          </cell>
          <cell r="R13" t="str">
            <v>Includes assessing connection applications, undertaking planning studies and associated technical analysis. - Business Hours</v>
          </cell>
        </row>
        <row r="14">
          <cell r="B14" t="str">
            <v>Access permits, oversights and facilitation</v>
          </cell>
          <cell r="J14">
            <v>136.94662386704937</v>
          </cell>
          <cell r="R14" t="str">
            <v>Includes issuing access permits or clearances to work for an authorised person on or near distribution systems (LV and HV), confined spaces and switch rooms, substations and the like. - Business Hours</v>
          </cell>
        </row>
        <row r="15">
          <cell r="B15" t="str">
            <v>Notices of arrangement and completion notices</v>
          </cell>
          <cell r="J15">
            <v>76.723262179519182</v>
          </cell>
          <cell r="R15" t="str">
            <v>Includes the requirement to perform administrative work required by a local council to provide written evidence that arrangements required to supply electricity to a development are in place. A completion notice may also be required when a customer/developer requires documentation confirming progress of work. - Business Hours</v>
          </cell>
        </row>
        <row r="16">
          <cell r="B16" t="str">
            <v>Network related property services</v>
          </cell>
          <cell r="J16">
            <v>76.723262179519182</v>
          </cell>
          <cell r="R16" t="str">
            <v>Includes the property tenure services related to deeds of agreement, indemnity deeds, leases, easements and other property tenure rights linked to connection or relocation. - Business Hours</v>
          </cell>
        </row>
        <row r="17">
          <cell r="B17" t="str">
            <v>Site establishment services</v>
          </cell>
          <cell r="J17">
            <v>76.723262179519182</v>
          </cell>
          <cell r="R17" t="str">
            <v>Includes liaising with AEMO (or NT equivalent) and market participants to establish a NMI in markets systems for new or existing premises where AEMO (or NT equivalent) requires a new NMI and the validation and uploading of network load data. 
Activities include but not limited to:
• Site establishment including liaising with the AEMO (or NT Equivalent ) for market participants to establish NMI’s for market systems;
• Site alteration update and maintenance of NMI and associated data in market systems;
• NMI extinction, processing a customer’s request for permanent disconnection and NMI extinction in market systems; &amp;
Confirming or correcting metering or network billing information due to insufficient or incorrect information. - Business Hours</v>
          </cell>
        </row>
        <row r="18">
          <cell r="B18" t="str">
            <v>Network safety services</v>
          </cell>
          <cell r="J18">
            <v>116.78716275589433</v>
          </cell>
          <cell r="R18" t="str">
            <v>Includes the DNSP providing traffic control services, fitting of tiger tails, tree pruning, and high load escorts. - Business Hours</v>
          </cell>
        </row>
        <row r="19">
          <cell r="B19" t="str">
            <v>Network tariff change request</v>
          </cell>
          <cell r="J19">
            <v>76.723262179519182</v>
          </cell>
          <cell r="R19" t="str">
            <v>Activities include altering an existing network tariff by conducting load and tariff analysis to ensure the relevant tariff criteria is met.
This change request relates to processing IT system changes to reflect a bulk tariff change request such as a large customer with multiple sites. - Business Hours</v>
          </cell>
        </row>
        <row r="20">
          <cell r="B20" t="str">
            <v>Planned interruption - customer request</v>
          </cell>
          <cell r="J20">
            <v>116.78716275589433</v>
          </cell>
          <cell r="R20" t="str">
            <v>At customer or retailer request, a planned interruption is moved outside business hours. - Business Hours</v>
          </cell>
        </row>
        <row r="21">
          <cell r="B21" t="str">
            <v>Performance of a statutory right (access prevented)</v>
          </cell>
          <cell r="J21">
            <v>116.78716275589433</v>
          </cell>
          <cell r="R21" t="str">
            <v>Includes a follow up attendance at a customer’s premises to perform a statutory right where access was declined or prevented on the initial visit. This includes any costs of arranging security or police services. - Business Hours</v>
          </cell>
        </row>
        <row r="22">
          <cell r="B22" t="str">
            <v>Provision of network related training to third parties</v>
          </cell>
          <cell r="J22">
            <v>76.723262179519182</v>
          </cell>
          <cell r="R22" t="str">
            <v>Includes the training of third parties to a level of attainment required to obtain specific distribution network access authorisation to the DNSP’s network. This may include demonstrating the necessary competency in the DNSP’s electricity safety rules. - Business Hours</v>
          </cell>
        </row>
        <row r="23">
          <cell r="B23" t="str">
            <v>Non-standard reporting services</v>
          </cell>
          <cell r="J23">
            <v>76.723262179519182</v>
          </cell>
          <cell r="R23" t="str">
            <v>Includes developing meter data provision reporting such as standard data, billing data or load profiles for single requests with more than 5 NMI’s.
Single data requests with 5 NMI’s or less, will be charged the ACS Fee Based charge (Historical Data Request or Standing Data Request) per request.  - Business Hours</v>
          </cell>
        </row>
        <row r="24">
          <cell r="B24" t="str">
            <v xml:space="preserve">Services provided for retailer of last resort event </v>
          </cell>
          <cell r="J24">
            <v>76.723262179519182</v>
          </cell>
          <cell r="R24" t="str">
            <v>DNSP may be required to provide a number of services when an ROLR event occurs. This includes preparing a list of affected sites, estimating reads for the ROLR event date, preparing final invoices and extracting customer data. - Business Hours</v>
          </cell>
        </row>
        <row r="25">
          <cell r="B25" t="str">
            <v>Rectification of illegal connections service</v>
          </cell>
          <cell r="J25">
            <v>116.78716275589434</v>
          </cell>
          <cell r="R25" t="str">
            <v>Includes work undertaken by the DNSP to investigate and rectify the fraudulent acquisition of energy at a premises; or intentional consumption of energy at those premises otherwise than in accordance with the energy laws</v>
          </cell>
        </row>
        <row r="26">
          <cell r="B26" t="str">
            <v>Rearrangement and connection of network assets at customer request</v>
          </cell>
          <cell r="J26">
            <v>116.78716275589434</v>
          </cell>
          <cell r="R26" t="str">
            <v>Includes relocation of assets (such as poles) that involves installing a new asset at customer or retailer request. - Business Hours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Sources"/>
      <sheetName val="Inputs_General"/>
      <sheetName val="Inputs_&gt;750MWh"/>
      <sheetName val="Calc_Cost_of_Supply"/>
      <sheetName val="Calc_A_SA_Costs"/>
      <sheetName val="Calc_LRMC"/>
      <sheetName val="Calc_Network_Cost_Alloc"/>
      <sheetName val="Output_AER_Compliance"/>
      <sheetName val="Output_Cost_of_Supply"/>
      <sheetName val="Output_Impact&lt;750"/>
      <sheetName val="Output_Impact&gt;750"/>
      <sheetName val="Output_Tariff_Schedules_No GST"/>
      <sheetName val="Output_Tariff_Schedules_GST"/>
      <sheetName val="Lookup"/>
      <sheetName val="Checks"/>
    </sheetNames>
    <sheetDataSet>
      <sheetData sheetId="0"/>
      <sheetData sheetId="1"/>
      <sheetData sheetId="2"/>
      <sheetData sheetId="3"/>
      <sheetData sheetId="4"/>
      <sheetData sheetId="5"/>
      <sheetData sheetId="6"/>
      <sheetData sheetId="7">
        <row r="80">
          <cell r="K80">
            <v>466.85759606922733</v>
          </cell>
          <cell r="L80">
            <v>466.85759606922733</v>
          </cell>
          <cell r="M80">
            <v>220.56024738362552</v>
          </cell>
        </row>
      </sheetData>
      <sheetData sheetId="8"/>
      <sheetData sheetId="9">
        <row r="66">
          <cell r="J66">
            <v>153488.78463247034</v>
          </cell>
          <cell r="K66">
            <v>140221.60378469538</v>
          </cell>
          <cell r="L66">
            <v>52468.211590706735</v>
          </cell>
        </row>
        <row r="67">
          <cell r="J67">
            <v>130696.8671331246</v>
          </cell>
          <cell r="K67">
            <v>17445.249353450752</v>
          </cell>
          <cell r="L67">
            <v>16856.497391589084</v>
          </cell>
        </row>
        <row r="68">
          <cell r="J68">
            <v>20216.663239890215</v>
          </cell>
          <cell r="K68">
            <v>11113.346883954133</v>
          </cell>
          <cell r="L68">
            <v>5361.2334895073382</v>
          </cell>
        </row>
      </sheetData>
      <sheetData sheetId="10">
        <row r="18">
          <cell r="Z18">
            <v>80522.461592071573</v>
          </cell>
        </row>
      </sheetData>
      <sheetData sheetId="11">
        <row r="62">
          <cell r="D62">
            <v>1108.6599999999999</v>
          </cell>
          <cell r="F62">
            <v>1092.6702585312205</v>
          </cell>
        </row>
        <row r="75">
          <cell r="D75">
            <v>1831.135</v>
          </cell>
          <cell r="F75">
            <v>1749.4897512798561</v>
          </cell>
        </row>
        <row r="121">
          <cell r="O121">
            <v>4258.6337999999996</v>
          </cell>
          <cell r="Q121">
            <v>4465.6499999999996</v>
          </cell>
        </row>
        <row r="156">
          <cell r="E156">
            <v>1106.9007000000001</v>
          </cell>
          <cell r="F156">
            <v>1083.2119086543562</v>
          </cell>
        </row>
        <row r="169">
          <cell r="G169">
            <v>1534.7416035076872</v>
          </cell>
        </row>
        <row r="215">
          <cell r="Q215">
            <v>4258.6337999999996</v>
          </cell>
          <cell r="S215">
            <v>3299.7426084942963</v>
          </cell>
        </row>
      </sheetData>
      <sheetData sheetId="12">
        <row r="34">
          <cell r="W34" t="str">
            <v>$ Change from t-1</v>
          </cell>
        </row>
        <row r="35">
          <cell r="D35" t="str">
            <v>BOC 08</v>
          </cell>
          <cell r="X35">
            <v>0.27322200719020096</v>
          </cell>
        </row>
        <row r="36">
          <cell r="D36" t="str">
            <v>TOT RDH 08</v>
          </cell>
          <cell r="X36">
            <v>0.27185351780156264</v>
          </cell>
        </row>
        <row r="37">
          <cell r="D37" t="str">
            <v>COSMO MINE 08</v>
          </cell>
          <cell r="X37">
            <v>0.27113653560084905</v>
          </cell>
        </row>
        <row r="38">
          <cell r="D38" t="str">
            <v>ROB/BRKS 08</v>
          </cell>
          <cell r="X38">
            <v>0.2581770022668517</v>
          </cell>
        </row>
        <row r="39">
          <cell r="D39" t="str">
            <v>UNION REEF 08</v>
          </cell>
          <cell r="X39">
            <v>0.23240450853193173</v>
          </cell>
        </row>
        <row r="40">
          <cell r="D40" t="str">
            <v>DIA 08</v>
          </cell>
          <cell r="X40">
            <v>0.22228094899528705</v>
          </cell>
        </row>
        <row r="41">
          <cell r="D41" t="str">
            <v>TOT TINDAL 08</v>
          </cell>
          <cell r="X41">
            <v>0.21195852778708923</v>
          </cell>
        </row>
        <row r="42">
          <cell r="D42" t="str">
            <v>CDU CAS 08</v>
          </cell>
          <cell r="X42">
            <v>0.20110562514907637</v>
          </cell>
        </row>
        <row r="43">
          <cell r="D43" t="str">
            <v>RAAF DARWIN 08</v>
          </cell>
          <cell r="X43">
            <v>0.19296736557649585</v>
          </cell>
        </row>
        <row r="44">
          <cell r="D44" t="str">
            <v>CASINO DAR 08</v>
          </cell>
          <cell r="X44">
            <v>0.19268567706959017</v>
          </cell>
        </row>
        <row r="45">
          <cell r="D45" t="str">
            <v>HOW SP JAIL 08</v>
          </cell>
          <cell r="X45">
            <v>0.16831809448780599</v>
          </cell>
        </row>
        <row r="46">
          <cell r="D46" t="str">
            <v>RAA LARR 08</v>
          </cell>
          <cell r="X46">
            <v>0.15761477974874483</v>
          </cell>
        </row>
        <row r="47">
          <cell r="D47" t="str">
            <v>NTH CEMENT 08</v>
          </cell>
          <cell r="S47">
            <v>405637.8764720097</v>
          </cell>
          <cell r="T47">
            <v>456419.74301645427</v>
          </cell>
          <cell r="X47">
            <v>0.12519014986005295</v>
          </cell>
        </row>
        <row r="48">
          <cell r="D48" t="str">
            <v>MEREENIE 08</v>
          </cell>
          <cell r="X48">
            <v>9.4921662109687555E-2</v>
          </cell>
        </row>
        <row r="49">
          <cell r="D49" t="str">
            <v>LASSETERS 08</v>
          </cell>
          <cell r="X49">
            <v>9.1358154628499832E-2</v>
          </cell>
        </row>
        <row r="50">
          <cell r="D50" t="str">
            <v>POLICE BERR 08</v>
          </cell>
          <cell r="X50">
            <v>4.6739294531846776E-2</v>
          </cell>
        </row>
        <row r="51">
          <cell r="D51" t="str">
            <v>TOT DPH 08</v>
          </cell>
          <cell r="X51">
            <v>3.8887044622486711E-2</v>
          </cell>
        </row>
        <row r="52">
          <cell r="D52" t="str">
            <v>RAN S/BAY 08</v>
          </cell>
          <cell r="X52">
            <v>3.5072439258573285E-2</v>
          </cell>
        </row>
        <row r="53">
          <cell r="D53" t="str">
            <v>A/S HOSP 08</v>
          </cell>
          <cell r="X53">
            <v>3.2887217163477533E-2</v>
          </cell>
        </row>
        <row r="54">
          <cell r="D54" t="str">
            <v>DET 08</v>
          </cell>
          <cell r="X54">
            <v>3.1330438478762934E-2</v>
          </cell>
        </row>
        <row r="55">
          <cell r="D55" t="str">
            <v>19 MILE 08</v>
          </cell>
          <cell r="X55">
            <v>9.3354836538612762E-3</v>
          </cell>
        </row>
        <row r="56">
          <cell r="D56" t="str">
            <v>CAS SQUARE 08</v>
          </cell>
          <cell r="X56">
            <v>-1.2573300982451463E-2</v>
          </cell>
        </row>
        <row r="57">
          <cell r="D57" t="str">
            <v>BARRA 08</v>
          </cell>
          <cell r="X57">
            <v>-1.5238058875012617E-2</v>
          </cell>
        </row>
        <row r="58">
          <cell r="D58" t="str">
            <v>BORAL MTBDY 08</v>
          </cell>
          <cell r="X58">
            <v>-1.5832115050745332E-2</v>
          </cell>
        </row>
        <row r="59">
          <cell r="D59" t="str">
            <v>DAR RIV DAM 08</v>
          </cell>
          <cell r="X59">
            <v>-4.4167174122736297E-2</v>
          </cell>
        </row>
        <row r="60">
          <cell r="D60" t="str">
            <v>CONVENTION 08</v>
          </cell>
          <cell r="X60">
            <v>-4.519879920464398E-2</v>
          </cell>
        </row>
        <row r="61">
          <cell r="D61" t="str">
            <v>TAMINMIN 08</v>
          </cell>
          <cell r="X61">
            <v>-5.468807015575039E-2</v>
          </cell>
        </row>
        <row r="62">
          <cell r="D62" t="str">
            <v>SPRAYPAVE P/L</v>
          </cell>
          <cell r="X62">
            <v>-5.4779510485442051E-2</v>
          </cell>
        </row>
        <row r="63">
          <cell r="D63" t="str">
            <v>DAR HIGH 08</v>
          </cell>
          <cell r="X63">
            <v>-5.5057725966480953E-2</v>
          </cell>
        </row>
        <row r="64">
          <cell r="D64" t="str">
            <v>TFS KAT 08</v>
          </cell>
          <cell r="X64">
            <v>-5.5068377288604031E-2</v>
          </cell>
        </row>
        <row r="65">
          <cell r="D65" t="str">
            <v>W/WTHS NCLF 08</v>
          </cell>
          <cell r="X65">
            <v>-5.5442532852776671E-2</v>
          </cell>
        </row>
        <row r="66">
          <cell r="D66" t="str">
            <v>DBLTREE ESP 08</v>
          </cell>
          <cell r="X66">
            <v>-6.0397129063868071E-2</v>
          </cell>
        </row>
        <row r="67">
          <cell r="D67" t="str">
            <v>W/WTHS CAS 08</v>
          </cell>
          <cell r="X67">
            <v>-6.0597187938665975E-2</v>
          </cell>
        </row>
        <row r="68">
          <cell r="D68" t="str">
            <v>PALM HIGH 08</v>
          </cell>
          <cell r="X68">
            <v>-6.6419592038162167E-2</v>
          </cell>
        </row>
        <row r="69">
          <cell r="D69" t="str">
            <v>CM PALM 08</v>
          </cell>
          <cell r="X69">
            <v>-6.646564204817007E-2</v>
          </cell>
        </row>
        <row r="70">
          <cell r="D70" t="str">
            <v>KATH HOSP 08</v>
          </cell>
          <cell r="X70">
            <v>-6.9416864093486685E-2</v>
          </cell>
        </row>
        <row r="71">
          <cell r="D71" t="str">
            <v>TOT PARLMNT 08</v>
          </cell>
          <cell r="X71">
            <v>-7.0586295375772656E-2</v>
          </cell>
        </row>
        <row r="72">
          <cell r="D72" t="str">
            <v>NCLIFF HIGH 08</v>
          </cell>
          <cell r="X72">
            <v>-7.116732942829096E-2</v>
          </cell>
        </row>
        <row r="73">
          <cell r="D73" t="str">
            <v>BERR FARM 08</v>
          </cell>
          <cell r="X73">
            <v>-7.2976087014539837E-2</v>
          </cell>
        </row>
        <row r="74">
          <cell r="D74" t="str">
            <v>MITCHEL CTR 08</v>
          </cell>
          <cell r="X74">
            <v>-7.3776819576984676E-2</v>
          </cell>
        </row>
        <row r="75">
          <cell r="D75" t="str">
            <v>CSC 08</v>
          </cell>
          <cell r="X75">
            <v>-7.4269549494151876E-2</v>
          </cell>
        </row>
        <row r="76">
          <cell r="D76" t="str">
            <v>BATCH COL 08</v>
          </cell>
          <cell r="X76">
            <v>-7.4625083030661288E-2</v>
          </cell>
        </row>
        <row r="77">
          <cell r="D77" t="str">
            <v>IGA 08</v>
          </cell>
          <cell r="X77">
            <v>-7.5668209204910131E-2</v>
          </cell>
        </row>
        <row r="78">
          <cell r="D78" t="str">
            <v>DWN MIDDLE 08</v>
          </cell>
          <cell r="X78">
            <v>-7.6679998980670239E-2</v>
          </cell>
        </row>
        <row r="79">
          <cell r="D79" t="str">
            <v>W/WTHS CAV 08</v>
          </cell>
          <cell r="X79">
            <v>-7.7764601439896053E-2</v>
          </cell>
        </row>
        <row r="80">
          <cell r="D80" t="str">
            <v>DRIPSTONE 08</v>
          </cell>
          <cell r="X80">
            <v>-7.7959397305168765E-2</v>
          </cell>
        </row>
        <row r="81">
          <cell r="D81" t="str">
            <v>TELSTRA DAR 08</v>
          </cell>
          <cell r="X81">
            <v>-7.9467392723677199E-2</v>
          </cell>
        </row>
        <row r="82">
          <cell r="D82" t="str">
            <v>VIBE 08</v>
          </cell>
          <cell r="X82">
            <v>-7.98755808566598E-2</v>
          </cell>
        </row>
        <row r="83">
          <cell r="D83" t="str">
            <v>TOT PAULS 08</v>
          </cell>
          <cell r="X83">
            <v>-8.0610920658278684E-2</v>
          </cell>
        </row>
        <row r="84">
          <cell r="D84" t="str">
            <v>DBLTREE ASP 08</v>
          </cell>
          <cell r="X84">
            <v>-8.0974782298463555E-2</v>
          </cell>
        </row>
        <row r="85">
          <cell r="D85" t="str">
            <v>COLES CAS 08</v>
          </cell>
          <cell r="X85">
            <v>-8.1869293948273913E-2</v>
          </cell>
        </row>
        <row r="86">
          <cell r="D86" t="str">
            <v>DEB 08</v>
          </cell>
          <cell r="X86">
            <v>-8.2351373691060381E-2</v>
          </cell>
        </row>
        <row r="87">
          <cell r="D87" t="str">
            <v>W/WTHS PALM 08</v>
          </cell>
          <cell r="X87">
            <v>-8.253944449234174E-2</v>
          </cell>
        </row>
        <row r="88">
          <cell r="D88" t="str">
            <v>MACKILLOP COLL</v>
          </cell>
          <cell r="X88">
            <v>-8.2849017561470117E-2</v>
          </cell>
        </row>
        <row r="89">
          <cell r="D89" t="str">
            <v>DBLTREE DAR 08</v>
          </cell>
          <cell r="X89">
            <v>-8.3888799070506392E-2</v>
          </cell>
        </row>
        <row r="90">
          <cell r="D90" t="str">
            <v>SANDER HIGH 08</v>
          </cell>
          <cell r="X90">
            <v>-8.5571278101857273E-2</v>
          </cell>
        </row>
        <row r="91">
          <cell r="D91" t="str">
            <v>KORM PV 08</v>
          </cell>
          <cell r="X91">
            <v>-8.7267026341296239E-2</v>
          </cell>
        </row>
        <row r="92">
          <cell r="D92" t="str">
            <v>NT NEWS 08</v>
          </cell>
          <cell r="X92">
            <v>-8.784010565758904E-2</v>
          </cell>
        </row>
        <row r="93">
          <cell r="D93" t="str">
            <v>HILTON DAR 08</v>
          </cell>
          <cell r="X93">
            <v>-8.8296156454482633E-2</v>
          </cell>
        </row>
        <row r="94">
          <cell r="D94" t="str">
            <v>KORMILDA 08</v>
          </cell>
          <cell r="X94">
            <v>-8.8588595797557845E-2</v>
          </cell>
        </row>
        <row r="95">
          <cell r="D95" t="str">
            <v>PRISON A/S 08</v>
          </cell>
          <cell r="X95">
            <v>-8.9923878404571278E-2</v>
          </cell>
        </row>
        <row r="96">
          <cell r="D96" t="str">
            <v>ST PH COLL 08</v>
          </cell>
          <cell r="X96">
            <v>-9.0504815440722752E-2</v>
          </cell>
        </row>
        <row r="97">
          <cell r="D97" t="str">
            <v>BAKEWELL PS 08</v>
          </cell>
          <cell r="X97">
            <v>-9.0866469454600973E-2</v>
          </cell>
        </row>
        <row r="98">
          <cell r="D98" t="str">
            <v>CDU ASP 08</v>
          </cell>
          <cell r="X98">
            <v>-9.1119315747243301E-2</v>
          </cell>
        </row>
        <row r="99">
          <cell r="D99" t="str">
            <v>JOONDANNA 08</v>
          </cell>
          <cell r="X99">
            <v>-9.1203750359485691E-2</v>
          </cell>
        </row>
        <row r="100">
          <cell r="D100" t="str">
            <v>W/WTHS KATH 08</v>
          </cell>
          <cell r="X100">
            <v>-9.197440149949021E-2</v>
          </cell>
        </row>
        <row r="101">
          <cell r="D101" t="str">
            <v>EXPANSIVE 08</v>
          </cell>
          <cell r="X101">
            <v>-9.2454064200673036E-2</v>
          </cell>
        </row>
        <row r="102">
          <cell r="D102" t="str">
            <v>SUPREME 08</v>
          </cell>
          <cell r="X102">
            <v>-9.3102442850122591E-2</v>
          </cell>
        </row>
        <row r="103">
          <cell r="D103" t="str">
            <v>YEPERENYE 08</v>
          </cell>
          <cell r="X103">
            <v>-9.5278764054616882E-2</v>
          </cell>
        </row>
        <row r="104">
          <cell r="D104" t="str">
            <v>CROC CITY 08</v>
          </cell>
          <cell r="X104">
            <v>-9.5643454977225706E-2</v>
          </cell>
        </row>
        <row r="105">
          <cell r="D105" t="str">
            <v>CSR EMOLEUM 08</v>
          </cell>
          <cell r="X105">
            <v>-9.77141960515161E-2</v>
          </cell>
        </row>
        <row r="106">
          <cell r="D106" t="str">
            <v>DCIS ITMS 08</v>
          </cell>
          <cell r="X106">
            <v>-9.8788437996721212E-2</v>
          </cell>
        </row>
        <row r="107">
          <cell r="D107" t="str">
            <v>PORT CORP 08</v>
          </cell>
          <cell r="X107">
            <v>-9.887547547399278E-2</v>
          </cell>
        </row>
        <row r="108">
          <cell r="D108" t="str">
            <v>CM TARGET 08</v>
          </cell>
          <cell r="X108">
            <v>-9.9845722084936805E-2</v>
          </cell>
        </row>
        <row r="109">
          <cell r="D109" t="str">
            <v>TURF CLUB 08</v>
          </cell>
          <cell r="X109">
            <v>-0.10079903974235715</v>
          </cell>
        </row>
        <row r="110">
          <cell r="D110" t="str">
            <v>W/WTHS A/S 08</v>
          </cell>
          <cell r="X110">
            <v>-0.10110655706186145</v>
          </cell>
        </row>
        <row r="111">
          <cell r="D111" t="str">
            <v>OASIS 08</v>
          </cell>
          <cell r="X111">
            <v>-0.10132155562957046</v>
          </cell>
        </row>
        <row r="112">
          <cell r="D112" t="str">
            <v>PAWA LUD 08</v>
          </cell>
          <cell r="X112">
            <v>-0.10147806151314875</v>
          </cell>
        </row>
        <row r="113">
          <cell r="D113" t="str">
            <v>ST JOHNS 08</v>
          </cell>
          <cell r="X113">
            <v>-0.10179010986089321</v>
          </cell>
        </row>
        <row r="114">
          <cell r="D114" t="str">
            <v>TIO 24 MIT 08</v>
          </cell>
          <cell r="X114">
            <v>-0.10199413570465954</v>
          </cell>
        </row>
        <row r="115">
          <cell r="D115" t="str">
            <v>TOLL 08</v>
          </cell>
          <cell r="X115">
            <v>-0.10242569336218466</v>
          </cell>
        </row>
        <row r="116">
          <cell r="D116" t="str">
            <v>WAVE POOL 08</v>
          </cell>
          <cell r="X116">
            <v>-0.1026068648565146</v>
          </cell>
        </row>
        <row r="117">
          <cell r="D117" t="str">
            <v>YIRARA 08</v>
          </cell>
          <cell r="X117">
            <v>-0.10274141174855567</v>
          </cell>
        </row>
        <row r="118">
          <cell r="D118" t="str">
            <v>GULF TRANS 08</v>
          </cell>
          <cell r="X118">
            <v>-0.10280668102338653</v>
          </cell>
        </row>
        <row r="119">
          <cell r="D119" t="str">
            <v>EAST ARM 08</v>
          </cell>
          <cell r="X119">
            <v>-0.10304142930598692</v>
          </cell>
        </row>
        <row r="120">
          <cell r="D120" t="str">
            <v>THS T/C 08</v>
          </cell>
          <cell r="X120">
            <v>-0.10312595129344049</v>
          </cell>
        </row>
        <row r="121">
          <cell r="D121" t="str">
            <v>MUSEUM 08</v>
          </cell>
          <cell r="X121">
            <v>-0.10364947111693001</v>
          </cell>
        </row>
        <row r="122">
          <cell r="D122" t="str">
            <v>AS HEALTH 08</v>
          </cell>
          <cell r="X122">
            <v>-0.10370361135156259</v>
          </cell>
        </row>
        <row r="123">
          <cell r="D123" t="str">
            <v>TIO 22 MIT 08</v>
          </cell>
          <cell r="X123">
            <v>-0.10384620285798285</v>
          </cell>
        </row>
        <row r="124">
          <cell r="D124" t="str">
            <v>BAKERY DAR 08</v>
          </cell>
          <cell r="X124">
            <v>-0.10392683860188756</v>
          </cell>
        </row>
        <row r="125">
          <cell r="D125" t="str">
            <v>PAWA B/H 08</v>
          </cell>
          <cell r="X125">
            <v>-0.10393002949435526</v>
          </cell>
        </row>
        <row r="126">
          <cell r="D126" t="str">
            <v>CM COLES AS 08</v>
          </cell>
          <cell r="X126">
            <v>-0.10402121599538849</v>
          </cell>
        </row>
        <row r="127">
          <cell r="D127" t="str">
            <v>RAND 80 MIT 08</v>
          </cell>
          <cell r="X127">
            <v>-0.10407234170840796</v>
          </cell>
        </row>
        <row r="128">
          <cell r="D128" t="str">
            <v>W/WTHS LEA 08</v>
          </cell>
          <cell r="X128">
            <v>-0.10418481312636085</v>
          </cell>
        </row>
        <row r="129">
          <cell r="D129" t="str">
            <v>AIRPORT A/S 08</v>
          </cell>
          <cell r="X129">
            <v>-0.10434089264059132</v>
          </cell>
        </row>
        <row r="130">
          <cell r="D130" t="str">
            <v>W/WTHS BKWL 08</v>
          </cell>
          <cell r="X130">
            <v>-0.10503539421371455</v>
          </cell>
        </row>
        <row r="131">
          <cell r="D131" t="str">
            <v>UNITED 08</v>
          </cell>
          <cell r="X131">
            <v>-0.10523931772006334</v>
          </cell>
        </row>
        <row r="132">
          <cell r="D132" t="str">
            <v>A/POST DAR 08</v>
          </cell>
          <cell r="X132">
            <v>-0.1054877986690258</v>
          </cell>
        </row>
        <row r="133">
          <cell r="D133" t="str">
            <v>W/WTHS KAR 08</v>
          </cell>
          <cell r="X133">
            <v>-0.10583694551881062</v>
          </cell>
        </row>
        <row r="134">
          <cell r="D134" t="str">
            <v>CDU PALM 08</v>
          </cell>
          <cell r="X134">
            <v>-0.10590163809569797</v>
          </cell>
        </row>
        <row r="135">
          <cell r="D135" t="str">
            <v>CHARLES DWN 08</v>
          </cell>
          <cell r="X135">
            <v>-0.10629814922945491</v>
          </cell>
        </row>
        <row r="136">
          <cell r="D136" t="str">
            <v>SAVILLE DAR 08</v>
          </cell>
          <cell r="X136">
            <v>-0.10655577898917967</v>
          </cell>
        </row>
        <row r="137">
          <cell r="D137" t="str">
            <v>INDI A/S 08</v>
          </cell>
          <cell r="X137">
            <v>-0.10676027059214765</v>
          </cell>
        </row>
        <row r="138">
          <cell r="D138" t="str">
            <v>GREATOREX 08</v>
          </cell>
          <cell r="X138">
            <v>-0.10681540838146175</v>
          </cell>
        </row>
        <row r="139">
          <cell r="D139" t="str">
            <v>CM BILO CAS 08</v>
          </cell>
          <cell r="X139">
            <v>-0.10734387715233207</v>
          </cell>
        </row>
        <row r="140">
          <cell r="D140" t="str">
            <v>WILDLIFE PK 08</v>
          </cell>
          <cell r="X140">
            <v>-0.10734902437448668</v>
          </cell>
        </row>
        <row r="141">
          <cell r="D141" t="str">
            <v>W/WTHS COOL 08</v>
          </cell>
          <cell r="X141">
            <v>-0.10735650626657378</v>
          </cell>
        </row>
        <row r="142">
          <cell r="D142" t="str">
            <v>RAND 47 MIT 08</v>
          </cell>
          <cell r="X142">
            <v>-0.10769611568837123</v>
          </cell>
        </row>
        <row r="143">
          <cell r="D143" t="str">
            <v>H/NORMAN 08</v>
          </cell>
          <cell r="X143">
            <v>-0.10785340818369249</v>
          </cell>
        </row>
        <row r="144">
          <cell r="D144" t="str">
            <v>DAR CENTRAL 08</v>
          </cell>
          <cell r="X144">
            <v>-0.10791595307328539</v>
          </cell>
        </row>
        <row r="145">
          <cell r="D145" t="str">
            <v>MAG CRT DAR 08</v>
          </cell>
          <cell r="X145">
            <v>-0.10821059752453077</v>
          </cell>
        </row>
        <row r="146">
          <cell r="D146" t="str">
            <v>A/S RESORT 08</v>
          </cell>
          <cell r="X146">
            <v>-0.10846726306372478</v>
          </cell>
        </row>
        <row r="147">
          <cell r="D147" t="str">
            <v>IBIS 08</v>
          </cell>
          <cell r="X147">
            <v>-0.10851206170956984</v>
          </cell>
        </row>
        <row r="148">
          <cell r="D148" t="str">
            <v>ZEN 08</v>
          </cell>
          <cell r="X148">
            <v>-0.10866630551200296</v>
          </cell>
        </row>
        <row r="149">
          <cell r="D149" t="str">
            <v>CM MITCH 08</v>
          </cell>
          <cell r="X149">
            <v>-0.10893126704219935</v>
          </cell>
        </row>
        <row r="150">
          <cell r="D150" t="str">
            <v>RAAF A/S 08</v>
          </cell>
          <cell r="S150">
            <v>89481.446513541421</v>
          </cell>
          <cell r="T150">
            <v>79723.12772837386</v>
          </cell>
          <cell r="X150">
            <v>-0.10905410188793507</v>
          </cell>
        </row>
        <row r="151">
          <cell r="D151" t="str">
            <v>PAWA ARMID 08</v>
          </cell>
          <cell r="X151">
            <v>-0.10912688304196971</v>
          </cell>
        </row>
        <row r="152">
          <cell r="D152" t="str">
            <v>MAC CAS 08</v>
          </cell>
          <cell r="X152">
            <v>-0.10969025845329916</v>
          </cell>
        </row>
        <row r="153">
          <cell r="D153" t="str">
            <v>H HOTEL 08</v>
          </cell>
          <cell r="X153">
            <v>-0.11013158038130222</v>
          </cell>
        </row>
        <row r="154">
          <cell r="D154" t="str">
            <v>GRECAR 08</v>
          </cell>
          <cell r="X154">
            <v>-0.11063770891524116</v>
          </cell>
        </row>
        <row r="155">
          <cell r="D155" t="str">
            <v>KNOTTS 08</v>
          </cell>
          <cell r="X155">
            <v>-0.11072964728050105</v>
          </cell>
        </row>
        <row r="156">
          <cell r="D156" t="str">
            <v>FREESPIRIT 08</v>
          </cell>
          <cell r="X156">
            <v>-0.11108001597888117</v>
          </cell>
        </row>
        <row r="157">
          <cell r="D157" t="str">
            <v>JOON KARAMA 08</v>
          </cell>
          <cell r="X157">
            <v>-0.11139313660096251</v>
          </cell>
        </row>
        <row r="158">
          <cell r="D158" t="str">
            <v>BUNNINGS 08</v>
          </cell>
          <cell r="X158">
            <v>-0.11152140537752908</v>
          </cell>
        </row>
        <row r="159">
          <cell r="D159" t="str">
            <v>HOW SPR TAV 08</v>
          </cell>
          <cell r="X159">
            <v>-0.11188506823656141</v>
          </cell>
        </row>
        <row r="160">
          <cell r="D160" t="str">
            <v>KERRYS 08</v>
          </cell>
          <cell r="X160">
            <v>-0.11195220065447908</v>
          </cell>
        </row>
        <row r="161">
          <cell r="D161" t="str">
            <v>VENTURIN 08</v>
          </cell>
          <cell r="X161">
            <v>-0.11207193029343021</v>
          </cell>
        </row>
        <row r="162">
          <cell r="D162" t="str">
            <v>MIRAMBEENA 08</v>
          </cell>
          <cell r="X162">
            <v>-0.11225887313004279</v>
          </cell>
        </row>
        <row r="163">
          <cell r="D163" t="str">
            <v>CNTR POINT 08</v>
          </cell>
          <cell r="X163">
            <v>-0.1123870165031321</v>
          </cell>
        </row>
        <row r="164">
          <cell r="D164" t="str">
            <v>MAC COOL 08</v>
          </cell>
          <cell r="X164">
            <v>-0.11241820396972291</v>
          </cell>
        </row>
        <row r="165">
          <cell r="D165" t="str">
            <v>A/S SWIM 08</v>
          </cell>
          <cell r="X165">
            <v>-0.11273139750791727</v>
          </cell>
        </row>
        <row r="166">
          <cell r="D166" t="str">
            <v>RAPID CK 08</v>
          </cell>
          <cell r="X166">
            <v>-0.11277231558904166</v>
          </cell>
        </row>
        <row r="167">
          <cell r="D167" t="str">
            <v>MAC ST PARK 08</v>
          </cell>
          <cell r="X167">
            <v>-0.11284675487445583</v>
          </cell>
        </row>
        <row r="168">
          <cell r="D168" t="str">
            <v>NOVATEL DAR 08</v>
          </cell>
          <cell r="X168">
            <v>-0.11293620863246845</v>
          </cell>
        </row>
        <row r="169">
          <cell r="D169" t="str">
            <v>CM NTHLKS 08</v>
          </cell>
          <cell r="X169">
            <v>-0.1132771005585721</v>
          </cell>
        </row>
        <row r="170">
          <cell r="D170" t="str">
            <v>WYUNA3 08</v>
          </cell>
          <cell r="X170">
            <v>-0.11330647101262226</v>
          </cell>
        </row>
        <row r="171">
          <cell r="D171" t="str">
            <v>MAC LUD 08</v>
          </cell>
          <cell r="X171">
            <v>-0.11336599484319998</v>
          </cell>
        </row>
        <row r="172">
          <cell r="D172" t="str">
            <v>MASONIC 08</v>
          </cell>
          <cell r="X172">
            <v>-0.11338515976950192</v>
          </cell>
        </row>
        <row r="173">
          <cell r="D173" t="str">
            <v>TELSTRA WAN 08</v>
          </cell>
          <cell r="X173">
            <v>-0.1136204767761203</v>
          </cell>
        </row>
        <row r="174">
          <cell r="D174" t="str">
            <v>KOSMOS 08</v>
          </cell>
          <cell r="X174">
            <v>-0.1141227429897016</v>
          </cell>
        </row>
        <row r="175">
          <cell r="D175" t="str">
            <v>DCC 08</v>
          </cell>
          <cell r="X175">
            <v>-0.11425168844525957</v>
          </cell>
        </row>
        <row r="176">
          <cell r="D176" t="str">
            <v>THE HUB 08</v>
          </cell>
          <cell r="X176">
            <v>-0.11441052216424674</v>
          </cell>
        </row>
        <row r="177">
          <cell r="D177" t="str">
            <v>SHADY GLEN 08</v>
          </cell>
          <cell r="X177">
            <v>-0.11482227021270397</v>
          </cell>
        </row>
        <row r="178">
          <cell r="D178" t="str">
            <v>CM KMART AS 08</v>
          </cell>
          <cell r="X178">
            <v>-0.11509089433928288</v>
          </cell>
        </row>
        <row r="179">
          <cell r="D179" t="str">
            <v>MAC PALM 08</v>
          </cell>
          <cell r="X179">
            <v>-0.11538364599601958</v>
          </cell>
        </row>
        <row r="180">
          <cell r="D180" t="str">
            <v>SECURE 08</v>
          </cell>
          <cell r="X180">
            <v>-0.11543644434559952</v>
          </cell>
        </row>
        <row r="181">
          <cell r="D181" t="str">
            <v>BROAD DAR 08</v>
          </cell>
          <cell r="X181">
            <v>-0.11544869281246772</v>
          </cell>
        </row>
        <row r="182">
          <cell r="D182" t="str">
            <v>MONSOONS 08</v>
          </cell>
          <cell r="X182">
            <v>-0.11585282225349347</v>
          </cell>
        </row>
        <row r="183">
          <cell r="D183" t="str">
            <v>TRACEY VIL 08</v>
          </cell>
          <cell r="X183">
            <v>-0.11613362387189308</v>
          </cell>
        </row>
        <row r="184">
          <cell r="D184" t="str">
            <v>AIRPORT HTL 08</v>
          </cell>
          <cell r="X184">
            <v>-0.11643101942316647</v>
          </cell>
        </row>
        <row r="185">
          <cell r="D185" t="str">
            <v>W/WTHS HDOO 08</v>
          </cell>
          <cell r="X185">
            <v>-0.11645708860418924</v>
          </cell>
        </row>
        <row r="186">
          <cell r="D186" t="str">
            <v>CAZALYS 08</v>
          </cell>
          <cell r="X186">
            <v>-0.11748806770510645</v>
          </cell>
        </row>
        <row r="187">
          <cell r="D187" t="str">
            <v>A/POST WIN 08</v>
          </cell>
          <cell r="X187">
            <v>-0.1176887292898865</v>
          </cell>
        </row>
        <row r="188">
          <cell r="D188" t="str">
            <v>BIDVEST 08</v>
          </cell>
          <cell r="X188">
            <v>-0.11779590294830788</v>
          </cell>
        </row>
        <row r="189">
          <cell r="D189" t="str">
            <v>ABC 08</v>
          </cell>
          <cell r="X189">
            <v>-0.11823481026827465</v>
          </cell>
        </row>
        <row r="190">
          <cell r="D190" t="str">
            <v>CAS CLUB 08</v>
          </cell>
          <cell r="X190">
            <v>-0.11848936311068936</v>
          </cell>
        </row>
        <row r="191">
          <cell r="D191" t="str">
            <v>105 MIT 08</v>
          </cell>
          <cell r="X191">
            <v>-0.11875352059376409</v>
          </cell>
        </row>
        <row r="192">
          <cell r="D192" t="str">
            <v>OPTUS 08</v>
          </cell>
          <cell r="X192">
            <v>-0.11897402153593306</v>
          </cell>
        </row>
        <row r="193">
          <cell r="D193" t="str">
            <v>BCC CAS 08</v>
          </cell>
          <cell r="X193">
            <v>-0.11913043712507176</v>
          </cell>
        </row>
        <row r="194">
          <cell r="D194" t="str">
            <v>SC CARE 08</v>
          </cell>
          <cell r="X194">
            <v>-0.11921802125846126</v>
          </cell>
        </row>
        <row r="195">
          <cell r="D195" t="str">
            <v>BERR GAOL 08</v>
          </cell>
          <cell r="X195">
            <v>-0.11945603015869122</v>
          </cell>
        </row>
        <row r="196">
          <cell r="D196" t="str">
            <v>FRONTIER 08</v>
          </cell>
          <cell r="X196">
            <v>-0.1196785970946419</v>
          </cell>
        </row>
        <row r="197">
          <cell r="D197" t="str">
            <v>TELSTRA A/S 08</v>
          </cell>
          <cell r="X197">
            <v>-0.12024567558179255</v>
          </cell>
        </row>
        <row r="198">
          <cell r="D198" t="str">
            <v>PALM TAVERN 08</v>
          </cell>
          <cell r="X198">
            <v>-0.12045000850720611</v>
          </cell>
        </row>
        <row r="199">
          <cell r="D199" t="str">
            <v>THE CAV 08</v>
          </cell>
          <cell r="X199">
            <v>-0.1222113775589333</v>
          </cell>
        </row>
        <row r="200">
          <cell r="D200" t="str">
            <v>KATH HIGH 08</v>
          </cell>
          <cell r="X200">
            <v>-0.12252687041093135</v>
          </cell>
        </row>
        <row r="201">
          <cell r="D201" t="str">
            <v>PARAP HOTEL 08</v>
          </cell>
          <cell r="X201">
            <v>-0.12254717998052767</v>
          </cell>
        </row>
        <row r="202">
          <cell r="D202" t="str">
            <v>CM KMARTCAS 08</v>
          </cell>
          <cell r="X202">
            <v>-0.12505697574716956</v>
          </cell>
        </row>
        <row r="203">
          <cell r="D203" t="str">
            <v>ELSY LIME 08</v>
          </cell>
          <cell r="X203">
            <v>-0.1283922680684354</v>
          </cell>
        </row>
        <row r="204">
          <cell r="D204" t="str">
            <v>RAN H/DOO 08</v>
          </cell>
          <cell r="X204">
            <v>-0.13031578144043043</v>
          </cell>
        </row>
        <row r="205">
          <cell r="D205" t="str">
            <v>CDU UNILDGE 08</v>
          </cell>
          <cell r="X205">
            <v>-0.13033710158827283</v>
          </cell>
        </row>
        <row r="206">
          <cell r="D206" t="str">
            <v>PARKS/WILD 08</v>
          </cell>
          <cell r="X206">
            <v>-0.13095449513492929</v>
          </cell>
        </row>
        <row r="207">
          <cell r="D207" t="str">
            <v>COMPASS 08</v>
          </cell>
          <cell r="X207">
            <v>-0.13176964460662122</v>
          </cell>
        </row>
        <row r="208">
          <cell r="D208" t="str">
            <v>TELSTRA KAT 08</v>
          </cell>
          <cell r="X208">
            <v>-0.13197960211850523</v>
          </cell>
        </row>
        <row r="209">
          <cell r="D209" t="str">
            <v>TTF 08</v>
          </cell>
          <cell r="X209">
            <v>-0.13255515360576775</v>
          </cell>
        </row>
        <row r="210">
          <cell r="D210" t="str">
            <v>STOKES HILL 08</v>
          </cell>
          <cell r="X210">
            <v>-0.13359034690880711</v>
          </cell>
        </row>
        <row r="211">
          <cell r="D211" t="str">
            <v>PAWA CAB TC 08</v>
          </cell>
          <cell r="X211">
            <v>-0.13520821949830319</v>
          </cell>
        </row>
        <row r="212">
          <cell r="D212" t="str">
            <v>PFES KAT 08</v>
          </cell>
          <cell r="X212">
            <v>-0.13573266961181629</v>
          </cell>
        </row>
        <row r="213">
          <cell r="D213" t="str">
            <v>NTH FEED CO 08</v>
          </cell>
          <cell r="X213">
            <v>-0.13837116346522393</v>
          </cell>
        </row>
        <row r="214">
          <cell r="D214" t="str">
            <v>CDU WFRONT 08</v>
          </cell>
          <cell r="X214">
            <v>-0.15054750725561283</v>
          </cell>
        </row>
        <row r="215">
          <cell r="D215" t="str">
            <v>Palmerston Gateway Complex Stage 1, 2,3,4</v>
          </cell>
        </row>
        <row r="216">
          <cell r="D216" t="str">
            <v>T/C Gass Piplne</v>
          </cell>
        </row>
        <row r="217">
          <cell r="D217" t="str">
            <v>Palmerston Hospital</v>
          </cell>
        </row>
        <row r="218">
          <cell r="D218" t="str">
            <v>INPEX PLANT 08</v>
          </cell>
        </row>
        <row r="219">
          <cell r="D219" t="str">
            <v>INPEX CAMP 08</v>
          </cell>
        </row>
        <row r="220">
          <cell r="S220">
            <v>33599014.29268115</v>
          </cell>
          <cell r="T220">
            <v>33983979.299109288</v>
          </cell>
        </row>
      </sheetData>
      <sheetData sheetId="13">
        <row r="8">
          <cell r="C8">
            <v>1116.3191025212582</v>
          </cell>
        </row>
        <row r="9">
          <cell r="D9">
            <v>7.1561833650559903</v>
          </cell>
          <cell r="E9">
            <v>0</v>
          </cell>
        </row>
        <row r="10">
          <cell r="F10">
            <v>3.2851393876953505</v>
          </cell>
        </row>
        <row r="11">
          <cell r="G11">
            <v>4</v>
          </cell>
        </row>
        <row r="20">
          <cell r="C20">
            <v>1298.0454680479745</v>
          </cell>
        </row>
        <row r="21">
          <cell r="D21">
            <v>8.2579999999999991</v>
          </cell>
          <cell r="E21">
            <v>0</v>
          </cell>
        </row>
        <row r="22">
          <cell r="F22">
            <v>3.2850999999999999</v>
          </cell>
        </row>
        <row r="23">
          <cell r="G23">
            <v>4</v>
          </cell>
        </row>
        <row r="30">
          <cell r="F30">
            <v>64.041769951086621</v>
          </cell>
        </row>
        <row r="31">
          <cell r="F31">
            <v>135</v>
          </cell>
        </row>
        <row r="32">
          <cell r="F32">
            <v>135</v>
          </cell>
        </row>
        <row r="33">
          <cell r="F33">
            <v>650</v>
          </cell>
        </row>
        <row r="34">
          <cell r="F34">
            <v>307.08327765560875</v>
          </cell>
        </row>
        <row r="36">
          <cell r="F36">
            <v>10.104915273055934</v>
          </cell>
        </row>
        <row r="37">
          <cell r="F37">
            <v>10.455</v>
          </cell>
        </row>
        <row r="38">
          <cell r="F38">
            <v>3.07569605206987</v>
          </cell>
        </row>
        <row r="39">
          <cell r="F39">
            <v>3.07569605206987</v>
          </cell>
        </row>
        <row r="41">
          <cell r="F41">
            <v>0.267530400000007</v>
          </cell>
        </row>
        <row r="42">
          <cell r="F42">
            <v>0.61398839999999899</v>
          </cell>
        </row>
        <row r="44">
          <cell r="F44">
            <v>20</v>
          </cell>
        </row>
        <row r="45">
          <cell r="F45">
            <v>0</v>
          </cell>
        </row>
        <row r="46">
          <cell r="F46">
            <v>9.4487162355571925</v>
          </cell>
        </row>
        <row r="47">
          <cell r="F47">
            <v>0</v>
          </cell>
        </row>
        <row r="49">
          <cell r="F49">
            <v>4</v>
          </cell>
        </row>
        <row r="50">
          <cell r="F50">
            <v>4</v>
          </cell>
        </row>
      </sheetData>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TAR"/>
      <sheetName val="Calc_TAB"/>
      <sheetName val="Output_RFM"/>
      <sheetName val="Output_RIN"/>
      <sheetName val="LU_General"/>
      <sheetName val="LU_Desc_ATO"/>
      <sheetName val="Checks"/>
    </sheetNames>
    <sheetDataSet>
      <sheetData sheetId="0"/>
      <sheetData sheetId="1"/>
      <sheetData sheetId="2"/>
      <sheetData sheetId="3"/>
      <sheetData sheetId="4">
        <row r="11">
          <cell r="E11">
            <v>98535626.221676499</v>
          </cell>
          <cell r="F11">
            <v>30.601086428587969</v>
          </cell>
          <cell r="H11">
            <v>40</v>
          </cell>
        </row>
        <row r="12">
          <cell r="E12">
            <v>238367346.0895803</v>
          </cell>
          <cell r="F12">
            <v>30.706436602944315</v>
          </cell>
          <cell r="H12">
            <v>47.5</v>
          </cell>
        </row>
        <row r="13">
          <cell r="E13">
            <v>28297067.323446035</v>
          </cell>
          <cell r="F13">
            <v>42.233932877558672</v>
          </cell>
          <cell r="H13">
            <v>47.5</v>
          </cell>
        </row>
        <row r="14">
          <cell r="E14">
            <v>1202049.1499305703</v>
          </cell>
          <cell r="F14">
            <v>36.025758746027485</v>
          </cell>
          <cell r="H14">
            <v>40</v>
          </cell>
        </row>
        <row r="15">
          <cell r="E15">
            <v>42418666.646594897</v>
          </cell>
          <cell r="F15">
            <v>26.062436919189398</v>
          </cell>
          <cell r="H15">
            <v>40</v>
          </cell>
        </row>
        <row r="16">
          <cell r="E16">
            <v>15441565.987499703</v>
          </cell>
          <cell r="F16">
            <v>31.908904489277752</v>
          </cell>
          <cell r="H16">
            <v>40</v>
          </cell>
        </row>
        <row r="17">
          <cell r="E17">
            <v>4354481.3990986319</v>
          </cell>
          <cell r="F17">
            <v>7.2898679751095408</v>
          </cell>
          <cell r="H17">
            <v>10</v>
          </cell>
        </row>
        <row r="18">
          <cell r="E18">
            <v>586583.11236164381</v>
          </cell>
          <cell r="F18">
            <v>8.3856082573975232</v>
          </cell>
          <cell r="H18">
            <v>10</v>
          </cell>
        </row>
        <row r="19">
          <cell r="E19">
            <v>5318360.9824389042</v>
          </cell>
          <cell r="F19">
            <v>10.903450277917518</v>
          </cell>
          <cell r="H19">
            <v>10</v>
          </cell>
        </row>
        <row r="20">
          <cell r="E20">
            <v>387299.78</v>
          </cell>
          <cell r="F20" t="str">
            <v>n/a</v>
          </cell>
          <cell r="H20" t="str">
            <v>n/a</v>
          </cell>
        </row>
        <row r="21">
          <cell r="E21">
            <v>558316.77577305923</v>
          </cell>
          <cell r="F21">
            <v>9.7948224415172831</v>
          </cell>
          <cell r="H21">
            <v>20</v>
          </cell>
        </row>
        <row r="22">
          <cell r="E22">
            <v>423232.50767077628</v>
          </cell>
          <cell r="F22">
            <v>2.6320006080456544</v>
          </cell>
          <cell r="H22">
            <v>4</v>
          </cell>
        </row>
        <row r="23">
          <cell r="E23">
            <v>115263.85298630138</v>
          </cell>
          <cell r="F23">
            <v>4.6790799096016791</v>
          </cell>
          <cell r="H23">
            <v>5</v>
          </cell>
        </row>
        <row r="24">
          <cell r="E24">
            <v>5100718.6735299947</v>
          </cell>
          <cell r="F24">
            <v>8.183666897265617</v>
          </cell>
          <cell r="H24">
            <v>10</v>
          </cell>
        </row>
        <row r="25">
          <cell r="E25">
            <v>3554819.4664186309</v>
          </cell>
          <cell r="F25">
            <v>17.610583340195934</v>
          </cell>
          <cell r="H25">
            <v>25</v>
          </cell>
        </row>
        <row r="26">
          <cell r="E26">
            <v>925563.01967123302</v>
          </cell>
          <cell r="F26">
            <v>24.506849315068493</v>
          </cell>
          <cell r="H26">
            <v>25</v>
          </cell>
        </row>
        <row r="27">
          <cell r="E27">
            <v>0</v>
          </cell>
          <cell r="F27">
            <v>0</v>
          </cell>
          <cell r="H27">
            <v>10</v>
          </cell>
        </row>
        <row r="28">
          <cell r="E28">
            <v>0</v>
          </cell>
          <cell r="F28">
            <v>0</v>
          </cell>
          <cell r="H28">
            <v>15</v>
          </cell>
        </row>
        <row r="29">
          <cell r="E29">
            <v>0</v>
          </cell>
          <cell r="F29">
            <v>0</v>
          </cell>
          <cell r="H29">
            <v>10</v>
          </cell>
        </row>
        <row r="30">
          <cell r="E30">
            <v>0</v>
          </cell>
          <cell r="F30">
            <v>0</v>
          </cell>
          <cell r="H30">
            <v>5</v>
          </cell>
        </row>
        <row r="34">
          <cell r="E34">
            <v>441106578.50258726</v>
          </cell>
        </row>
        <row r="35">
          <cell r="E35">
            <v>4480382.4860898638</v>
          </cell>
        </row>
        <row r="42">
          <cell r="F42">
            <v>0.34603856821771029</v>
          </cell>
          <cell r="G42">
            <v>0.22113669126009367</v>
          </cell>
        </row>
        <row r="43">
          <cell r="F43">
            <v>0.26331572542468989</v>
          </cell>
          <cell r="G43">
            <v>0.53495134947550105</v>
          </cell>
        </row>
        <row r="44">
          <cell r="F44">
            <v>0.19645701320949965</v>
          </cell>
          <cell r="G44">
            <v>6.3505151184540823E-2</v>
          </cell>
        </row>
        <row r="45">
          <cell r="F45">
            <v>2.3168463036704601E-4</v>
          </cell>
          <cell r="G45">
            <v>2.6976757741371963E-3</v>
          </cell>
        </row>
        <row r="46">
          <cell r="F46">
            <v>9.6166060831835529E-2</v>
          </cell>
          <cell r="G46">
            <v>9.5197279903513163E-2</v>
          </cell>
        </row>
        <row r="47">
          <cell r="F47">
            <v>1.7554811273355311E-2</v>
          </cell>
          <cell r="G47">
            <v>3.4654438615613105E-2</v>
          </cell>
        </row>
        <row r="48">
          <cell r="F48">
            <v>1.1212752837726058E-2</v>
          </cell>
          <cell r="G48">
            <v>9.7724614504805588E-3</v>
          </cell>
        </row>
        <row r="49">
          <cell r="F49">
            <v>1.7011142292111057E-3</v>
          </cell>
          <cell r="G49">
            <v>1.3164279113107836E-3</v>
          </cell>
        </row>
        <row r="50">
          <cell r="F50">
            <v>7.0367273856301081E-3</v>
          </cell>
          <cell r="G50">
            <v>1.1935629737994172E-2</v>
          </cell>
        </row>
        <row r="51">
          <cell r="F51">
            <v>4.0052702550476348E-2</v>
          </cell>
          <cell r="G51">
            <v>8.6919011081619546E-4</v>
          </cell>
        </row>
        <row r="52">
          <cell r="F52">
            <v>1.2826697358141398E-3</v>
          </cell>
          <cell r="G52">
            <v>1.2529917269891717E-3</v>
          </cell>
        </row>
        <row r="53">
          <cell r="F53">
            <v>7.352012921805469E-4</v>
          </cell>
          <cell r="G53">
            <v>9.4983144644021817E-4</v>
          </cell>
        </row>
        <row r="54">
          <cell r="F54">
            <v>6.2058328066373459E-5</v>
          </cell>
          <cell r="G54">
            <v>2.5867869367306368E-4</v>
          </cell>
        </row>
        <row r="55">
          <cell r="F55">
            <v>9.4316005058736833E-3</v>
          </cell>
          <cell r="G55">
            <v>1.1447190156131184E-2</v>
          </cell>
        </row>
        <row r="56">
          <cell r="F56">
            <v>4.6756293507120199E-3</v>
          </cell>
          <cell r="G56">
            <v>7.977835479142225E-3</v>
          </cell>
        </row>
        <row r="57">
          <cell r="F57">
            <v>4.0456801968518875E-3</v>
          </cell>
          <cell r="G57">
            <v>2.077177073623464E-3</v>
          </cell>
        </row>
        <row r="58">
          <cell r="F58">
            <v>0</v>
          </cell>
          <cell r="G58">
            <v>0</v>
          </cell>
        </row>
        <row r="59">
          <cell r="F59">
            <v>0</v>
          </cell>
          <cell r="G59">
            <v>0</v>
          </cell>
        </row>
        <row r="60">
          <cell r="F60">
            <v>0</v>
          </cell>
          <cell r="G60">
            <v>0</v>
          </cell>
        </row>
        <row r="61">
          <cell r="F61">
            <v>0</v>
          </cell>
          <cell r="G61">
            <v>0</v>
          </cell>
        </row>
      </sheetData>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General"/>
      <sheetName val="Input_Meters"/>
      <sheetName val="Input_Meter_Movements"/>
      <sheetName val="Input_Comms"/>
      <sheetName val="Input_IT"/>
      <sheetName val="Input_Services"/>
      <sheetName val="Input_Other"/>
      <sheetName val="Input_RIN"/>
      <sheetName val="Input_Capex"/>
      <sheetName val="Calc_Scenario_1"/>
      <sheetName val="Calc_Scenario_2"/>
      <sheetName val="Calc_Scenario_3"/>
      <sheetName val="Calc_Scenario_4"/>
      <sheetName val="Calc_Scenario_5"/>
      <sheetName val="Calc_CF_Sum"/>
      <sheetName val="Output_NPV"/>
      <sheetName val="Output_Sensitivities"/>
      <sheetName val="Output_AER_Capex"/>
      <sheetName val="Output_AER_Step"/>
      <sheetName val="Output_Tariffs"/>
      <sheetName val="Output_RIN"/>
      <sheetName val="Output_AMP"/>
      <sheetName val="Lookup"/>
      <sheetName val="Che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38">
          <cell r="L738">
            <v>1321864.0318173829</v>
          </cell>
        </row>
        <row r="779">
          <cell r="L779">
            <v>1280441.3586060002</v>
          </cell>
        </row>
        <row r="820">
          <cell r="O820">
            <v>3585630.24160273</v>
          </cell>
        </row>
      </sheetData>
      <sheetData sheetId="14"/>
      <sheetData sheetId="15"/>
      <sheetData sheetId="16"/>
      <sheetData sheetId="17">
        <row r="11">
          <cell r="K11" t="str">
            <v>Base Case - Advanced capable meters</v>
          </cell>
          <cell r="L11" t="str">
            <v>Targeted roll out</v>
          </cell>
          <cell r="M11" t="str">
            <v>Advanced meters, enabled immediately</v>
          </cell>
          <cell r="N11" t="str">
            <v>Advanced capable meters, enabled strategically</v>
          </cell>
          <cell r="O11" t="str">
            <v>Transition via advanced meters</v>
          </cell>
        </row>
        <row r="35">
          <cell r="K35">
            <v>-126.17689975860938</v>
          </cell>
          <cell r="L35">
            <v>-141.07853680208373</v>
          </cell>
          <cell r="M35">
            <v>-140.83128653180469</v>
          </cell>
          <cell r="N35">
            <v>-140.69075745398814</v>
          </cell>
          <cell r="O35">
            <v>-141.15739262633372</v>
          </cell>
        </row>
      </sheetData>
      <sheetData sheetId="18"/>
      <sheetData sheetId="19"/>
      <sheetData sheetId="20">
        <row r="19">
          <cell r="D19" t="str">
            <v>Net reduction in manual meter reading</v>
          </cell>
        </row>
        <row r="21">
          <cell r="D21" t="str">
            <v>Total Supplier Communication costs</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Depn|Inputs"/>
      <sheetName val="Depn|Calc"/>
      <sheetName val="Depn|Comparison"/>
      <sheetName val="Depn|Existing Assets"/>
      <sheetName val="DMIA"/>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row r="70">
          <cell r="G70">
            <v>1.2317298522930404</v>
          </cell>
          <cell r="H70"/>
          <cell r="I70"/>
          <cell r="J70"/>
          <cell r="K70"/>
        </row>
        <row r="71">
          <cell r="G71">
            <v>107.86020423830735</v>
          </cell>
          <cell r="H71">
            <v>85.83802435125088</v>
          </cell>
          <cell r="I71">
            <v>108.18031417197173</v>
          </cell>
          <cell r="J71">
            <v>75.193635822841031</v>
          </cell>
          <cell r="K71">
            <v>69.804533180258048</v>
          </cell>
        </row>
        <row r="105">
          <cell r="G105">
            <v>0</v>
          </cell>
          <cell r="H105">
            <v>0</v>
          </cell>
          <cell r="I105">
            <v>0</v>
          </cell>
          <cell r="J105">
            <v>0</v>
          </cell>
          <cell r="K105">
            <v>0</v>
          </cell>
        </row>
        <row r="139">
          <cell r="G139">
            <v>12.647893670135224</v>
          </cell>
          <cell r="H139">
            <v>13.378655156962431</v>
          </cell>
          <cell r="I139">
            <v>13.564976556766926</v>
          </cell>
          <cell r="J139">
            <v>11.49268757276556</v>
          </cell>
          <cell r="K139">
            <v>11.589754799327023</v>
          </cell>
        </row>
        <row r="173">
          <cell r="G173">
            <v>95.212310568172128</v>
          </cell>
          <cell r="H173">
            <v>72.459369194288428</v>
          </cell>
          <cell r="I173">
            <v>94.615337615204794</v>
          </cell>
          <cell r="J173">
            <v>63.70094825007547</v>
          </cell>
          <cell r="K173">
            <v>58.214778380931023</v>
          </cell>
        </row>
        <row r="186">
          <cell r="G186">
            <v>0.50798876941566162</v>
          </cell>
          <cell r="H186">
            <v>0.53411615195923456</v>
          </cell>
          <cell r="I186">
            <v>0.54541160462548</v>
          </cell>
          <cell r="J186">
            <v>0.56757990411327119</v>
          </cell>
          <cell r="K186">
            <v>0.57108099711099358</v>
          </cell>
        </row>
        <row r="187">
          <cell r="G187">
            <v>66.045886352030877</v>
          </cell>
          <cell r="H187">
            <v>66.948958828524951</v>
          </cell>
          <cell r="I187">
            <v>67.954893904293939</v>
          </cell>
          <cell r="J187">
            <v>68.783794117626343</v>
          </cell>
          <cell r="K187">
            <v>69.517568954487444</v>
          </cell>
        </row>
        <row r="195">
          <cell r="G195">
            <v>0.32916235641497782</v>
          </cell>
          <cell r="H195">
            <v>0.33492808292028753</v>
          </cell>
          <cell r="I195">
            <v>0.33716180050773409</v>
          </cell>
          <cell r="J195">
            <v>0.34179848784887829</v>
          </cell>
          <cell r="K195">
            <v>0.34472720048451527</v>
          </cell>
        </row>
      </sheetData>
      <sheetData sheetId="10">
        <row r="6">
          <cell r="G6">
            <v>2.4248746575396662E-2</v>
          </cell>
        </row>
        <row r="7">
          <cell r="G7">
            <v>0.4</v>
          </cell>
        </row>
        <row r="9">
          <cell r="G9">
            <v>0.6</v>
          </cell>
        </row>
        <row r="10">
          <cell r="G10">
            <v>7.0000000000000007E-2</v>
          </cell>
        </row>
        <row r="13">
          <cell r="G13">
            <v>0.3</v>
          </cell>
        </row>
        <row r="14">
          <cell r="G14">
            <v>6.3706372656788135E-2</v>
          </cell>
        </row>
        <row r="18">
          <cell r="G18">
            <v>6.6223823594072889E-2</v>
          </cell>
        </row>
        <row r="19">
          <cell r="G19">
            <v>4.0981331106355781E-2</v>
          </cell>
          <cell r="H19">
            <v>4.0981331106355781E-2</v>
          </cell>
          <cell r="I19">
            <v>4.0981331106355781E-2</v>
          </cell>
          <cell r="J19">
            <v>4.0981331106355781E-2</v>
          </cell>
          <cell r="K19">
            <v>4.0981331106355781E-2</v>
          </cell>
        </row>
      </sheetData>
      <sheetData sheetId="11">
        <row r="7">
          <cell r="G7">
            <v>1.0242487465753967</v>
          </cell>
          <cell r="H7">
            <v>1.0490854948612711</v>
          </cell>
          <cell r="I7">
            <v>1.0745245031620867</v>
          </cell>
          <cell r="J7">
            <v>1.1005803755283181</v>
          </cell>
          <cell r="K7">
            <v>1.1272680701403592</v>
          </cell>
        </row>
        <row r="75">
          <cell r="G75">
            <v>47.073502677891611</v>
          </cell>
          <cell r="H75">
            <v>52.282740771597233</v>
          </cell>
          <cell r="I75">
            <v>54.051556435505866</v>
          </cell>
          <cell r="J75">
            <v>58.283667340818525</v>
          </cell>
          <cell r="K75">
            <v>61.109714140411135</v>
          </cell>
        </row>
        <row r="466">
          <cell r="G466">
            <v>1023.5733800213877</v>
          </cell>
          <cell r="H466">
            <v>1045.2198414175655</v>
          </cell>
          <cell r="I466">
            <v>1087.7028877602206</v>
          </cell>
          <cell r="J466">
            <v>1094.4123377184414</v>
          </cell>
          <cell r="K466">
            <v>1092.6982844557308</v>
          </cell>
        </row>
        <row r="467">
          <cell r="G467">
            <v>973.50319741571764</v>
          </cell>
          <cell r="H467">
            <v>1023.5733800213877</v>
          </cell>
          <cell r="I467">
            <v>1045.2198414175655</v>
          </cell>
          <cell r="J467">
            <v>1087.7028877602206</v>
          </cell>
          <cell r="K467">
            <v>1094.4123377184414</v>
          </cell>
        </row>
        <row r="471">
          <cell r="G471">
            <v>23.606232324472085</v>
          </cell>
          <cell r="H471">
            <v>25.422234391712944</v>
          </cell>
          <cell r="I471">
            <v>26.589356221998575</v>
          </cell>
          <cell r="J471">
            <v>28.34104761586168</v>
          </cell>
          <cell r="K471">
            <v>29.20734224867973</v>
          </cell>
        </row>
        <row r="472">
          <cell r="G472">
            <v>48.214976114744061</v>
          </cell>
          <cell r="H472">
            <v>54.84906497507464</v>
          </cell>
          <cell r="I472">
            <v>58.079721823999428</v>
          </cell>
          <cell r="J472">
            <v>64.145860489125624</v>
          </cell>
          <cell r="K472">
            <v>68.887029525890284</v>
          </cell>
        </row>
        <row r="473">
          <cell r="G473">
            <v>24.608743790271976</v>
          </cell>
          <cell r="H473">
            <v>29.426830583361696</v>
          </cell>
          <cell r="I473">
            <v>31.490365602000853</v>
          </cell>
          <cell r="J473">
            <v>35.804812873263941</v>
          </cell>
          <cell r="K473">
            <v>39.679687277210554</v>
          </cell>
        </row>
        <row r="883">
          <cell r="G883">
            <v>673.46942209365898</v>
          </cell>
          <cell r="H883">
            <v>756.50269600690967</v>
          </cell>
          <cell r="I883">
            <v>809.74448840934087</v>
          </cell>
          <cell r="J883">
            <v>882.75256405671644</v>
          </cell>
          <cell r="K883">
            <v>915.57081371440324</v>
          </cell>
        </row>
        <row r="884">
          <cell r="G884">
            <v>97.5210897579977</v>
          </cell>
          <cell r="H884">
            <v>76.016073188525624</v>
          </cell>
          <cell r="I884">
            <v>101.66649864249102</v>
          </cell>
          <cell r="J884">
            <v>70.108013546578022</v>
          </cell>
          <cell r="K884">
            <v>65.62366087912082</v>
          </cell>
        </row>
        <row r="885">
          <cell r="G885">
            <v>12.954589238454897</v>
          </cell>
          <cell r="H885">
            <v>14.035353065920228</v>
          </cell>
          <cell r="I885">
            <v>14.575899695065335</v>
          </cell>
          <cell r="J885">
            <v>12.648626404663954</v>
          </cell>
          <cell r="K885">
            <v>13.06476052603734</v>
          </cell>
        </row>
        <row r="886">
          <cell r="G886">
            <v>-27.44240508320193</v>
          </cell>
          <cell r="H886">
            <v>-36.809633852014564</v>
          </cell>
          <cell r="I886">
            <v>-43.234322690180704</v>
          </cell>
          <cell r="J886">
            <v>-49.938390293555074</v>
          </cell>
          <cell r="K886">
            <v>-54.111839564422311</v>
          </cell>
        </row>
        <row r="887">
          <cell r="G887">
            <v>756.50269600690967</v>
          </cell>
          <cell r="H887">
            <v>809.74448840934099</v>
          </cell>
          <cell r="I887">
            <v>882.75256405671644</v>
          </cell>
          <cell r="J887">
            <v>915.57081371440336</v>
          </cell>
          <cell r="K887">
            <v>940.14739555513916</v>
          </cell>
        </row>
      </sheetData>
      <sheetData sheetId="12"/>
      <sheetData sheetId="13"/>
      <sheetData sheetId="14">
        <row r="63">
          <cell r="G63">
            <v>9.4182208389897021E-2</v>
          </cell>
          <cell r="H63">
            <v>-3.3760666814186872E-2</v>
          </cell>
          <cell r="I63">
            <v>-3.3760666814186872E-2</v>
          </cell>
          <cell r="J63">
            <v>-3.3760666814186872E-2</v>
          </cell>
          <cell r="K63">
            <v>-3.3760666814186872E-2</v>
          </cell>
        </row>
      </sheetData>
      <sheetData sheetId="15">
        <row r="7">
          <cell r="G7">
            <v>64.469104013924394</v>
          </cell>
          <cell r="H7">
            <v>69.428642857447613</v>
          </cell>
          <cell r="I7">
            <v>72.616076482575622</v>
          </cell>
          <cell r="J7">
            <v>77.399981559803237</v>
          </cell>
          <cell r="K7">
            <v>79.765849946684853</v>
          </cell>
        </row>
        <row r="8">
          <cell r="G8">
            <v>24.608743790271976</v>
          </cell>
          <cell r="H8">
            <v>29.426830583361696</v>
          </cell>
          <cell r="I8">
            <v>31.490365602000853</v>
          </cell>
          <cell r="J8">
            <v>35.804812873263941</v>
          </cell>
          <cell r="K8">
            <v>39.679687277210554</v>
          </cell>
        </row>
        <row r="9">
          <cell r="G9">
            <v>67.647416312528719</v>
          </cell>
          <cell r="H9">
            <v>70.235181603069961</v>
          </cell>
          <cell r="I9">
            <v>73.019198609943757</v>
          </cell>
          <cell r="J9">
            <v>75.702093960239722</v>
          </cell>
          <cell r="K9">
            <v>78.364935796174407</v>
          </cell>
        </row>
        <row r="10">
          <cell r="G10">
            <v>6.8176410127145842E-2</v>
          </cell>
          <cell r="H10">
            <v>7.5878342662796888E-2</v>
          </cell>
          <cell r="I10">
            <v>8.0118481645443593E-2</v>
          </cell>
          <cell r="J10">
            <v>8.7164301497993396E-2</v>
          </cell>
          <cell r="K10">
            <v>9.2579370796209912E-2</v>
          </cell>
        </row>
        <row r="11">
          <cell r="G11">
            <v>8.205150177036229</v>
          </cell>
          <cell r="H11">
            <v>7.9041017940767802</v>
          </cell>
          <cell r="I11">
            <v>7.3612628549806258</v>
          </cell>
          <cell r="J11">
            <v>6.8576541203439483</v>
          </cell>
          <cell r="K11">
            <v>7.1030399278032865</v>
          </cell>
        </row>
        <row r="12">
          <cell r="G12">
            <v>164.99859070388845</v>
          </cell>
          <cell r="H12">
            <v>177.07063518061886</v>
          </cell>
          <cell r="I12">
            <v>184.56702203114631</v>
          </cell>
          <cell r="J12">
            <v>195.85170681514884</v>
          </cell>
          <cell r="K12">
            <v>205.00609231866932</v>
          </cell>
        </row>
        <row r="21">
          <cell r="G21">
            <v>164.99861387816443</v>
          </cell>
          <cell r="H21">
            <v>174.7051634304531</v>
          </cell>
          <cell r="I21">
            <v>184.98273053250497</v>
          </cell>
          <cell r="J21">
            <v>195.86490704313468</v>
          </cell>
          <cell r="K21">
            <v>207.387260965286</v>
          </cell>
        </row>
        <row r="30">
          <cell r="G30">
            <v>62.942819534296319</v>
          </cell>
          <cell r="H30">
            <v>66.180157096375368</v>
          </cell>
          <cell r="I30">
            <v>67.579730633301196</v>
          </cell>
          <cell r="J30">
            <v>70.326514338081367</v>
          </cell>
          <cell r="K30">
            <v>70.760320512540545</v>
          </cell>
        </row>
        <row r="31">
          <cell r="G31">
            <v>24.026140009984854</v>
          </cell>
          <cell r="H31">
            <v>28.049983273530092</v>
          </cell>
          <cell r="I31">
            <v>29.306326202270593</v>
          </cell>
          <cell r="J31">
            <v>32.532665191378086</v>
          </cell>
          <cell r="K31">
            <v>35.199868006790901</v>
          </cell>
        </row>
        <row r="32">
          <cell r="G32">
            <v>66.045886352030877</v>
          </cell>
          <cell r="H32">
            <v>66.948958828524951</v>
          </cell>
          <cell r="I32">
            <v>67.954893904293939</v>
          </cell>
          <cell r="J32">
            <v>68.783794117626343</v>
          </cell>
          <cell r="K32">
            <v>69.517568954487444</v>
          </cell>
        </row>
        <row r="33">
          <cell r="Q33">
            <v>0.37477792817639299</v>
          </cell>
        </row>
        <row r="34">
          <cell r="G34">
            <v>8.0108959903249772</v>
          </cell>
          <cell r="H34">
            <v>7.5342780286195854</v>
          </cell>
          <cell r="I34">
            <v>6.8507166037796869</v>
          </cell>
          <cell r="J34">
            <v>6.2309434847518776</v>
          </cell>
          <cell r="K34">
            <v>6.3011098388681122</v>
          </cell>
        </row>
        <row r="35">
          <cell r="Q35">
            <v>861.45834883003351</v>
          </cell>
        </row>
        <row r="44">
          <cell r="G44">
            <v>161.09232686868472</v>
          </cell>
          <cell r="H44">
            <v>166.53091124242047</v>
          </cell>
          <cell r="I44">
            <v>172.15310585113875</v>
          </cell>
          <cell r="J44">
            <v>177.96510949880647</v>
          </cell>
          <cell r="K44">
            <v>183.97333026514593</v>
          </cell>
          <cell r="Q44">
            <v>861.71478372619629</v>
          </cell>
        </row>
      </sheetData>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row r="179">
          <cell r="G179">
            <v>97.565552792028669</v>
          </cell>
          <cell r="H179">
            <v>91.388396562172488</v>
          </cell>
          <cell r="I179">
            <v>87.848259382022889</v>
          </cell>
          <cell r="J179">
            <v>80.753891949401904</v>
          </cell>
          <cell r="K179">
            <v>73.582750402679324</v>
          </cell>
        </row>
      </sheetData>
      <sheetData sheetId="2"/>
      <sheetData sheetId="3"/>
      <sheetData sheetId="4">
        <row r="8">
          <cell r="G8">
            <v>1.0259</v>
          </cell>
          <cell r="H8">
            <v>1.05247081</v>
          </cell>
          <cell r="I8">
            <v>1.079729803979</v>
          </cell>
          <cell r="J8">
            <v>1.1076948059020562</v>
          </cell>
          <cell r="K8">
            <v>1.1363841013749194</v>
          </cell>
        </row>
      </sheetData>
      <sheetData sheetId="5"/>
      <sheetData sheetId="6">
        <row r="22">
          <cell r="E22">
            <v>39.121726086622736</v>
          </cell>
          <cell r="F22">
            <v>40.682138080893665</v>
          </cell>
          <cell r="G22">
            <v>41.134858435380387</v>
          </cell>
          <cell r="H22">
            <v>41.288236102429998</v>
          </cell>
          <cell r="I22">
            <v>41.754832848806068</v>
          </cell>
        </row>
        <row r="54">
          <cell r="E54">
            <v>153.31882522715472</v>
          </cell>
          <cell r="F54">
            <v>169.87296542458111</v>
          </cell>
          <cell r="G54">
            <v>174.27267522907778</v>
          </cell>
          <cell r="H54">
            <v>178.7863375175109</v>
          </cell>
          <cell r="I54">
            <v>183.41690365921443</v>
          </cell>
        </row>
        <row r="61">
          <cell r="E61">
            <v>-7.7100544562462126E-2</v>
          </cell>
          <cell r="F61">
            <v>-0.08</v>
          </cell>
          <cell r="G61">
            <v>0</v>
          </cell>
          <cell r="H61">
            <v>0</v>
          </cell>
          <cell r="I61">
            <v>0</v>
          </cell>
        </row>
        <row r="90">
          <cell r="E90">
            <v>153.31882522715472</v>
          </cell>
          <cell r="F90">
            <v>169.87296542458111</v>
          </cell>
          <cell r="G90">
            <v>174.27267522907778</v>
          </cell>
          <cell r="H90">
            <v>178.7863375175109</v>
          </cell>
          <cell r="I90">
            <v>183.41690365921443</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Project list"/>
      <sheetName val="Total by category"/>
      <sheetName val="SCS --&gt;"/>
      <sheetName val="SCS total"/>
      <sheetName val="SCS CapCon"/>
      <sheetName val="Augex"/>
      <sheetName val="Repex"/>
      <sheetName val="Connections"/>
      <sheetName val="Non-Network"/>
      <sheetName val="IT"/>
      <sheetName val="Escalation"/>
      <sheetName val="Capitalised OH"/>
      <sheetName val="ACS Metering --&gt;"/>
      <sheetName val="Metering total"/>
      <sheetName val="Metering"/>
      <sheetName val="Metering | Escalation"/>
      <sheetName val="Metering | Capitalised OH"/>
      <sheetName val="Repex --&gt;"/>
      <sheetName val="BNI 1"/>
      <sheetName val="BNI 2"/>
      <sheetName val="BNI 3"/>
      <sheetName val="BNI 4"/>
      <sheetName val="BNI 5"/>
      <sheetName val="BNI 6"/>
      <sheetName val="BNI 7"/>
      <sheetName val="BNI 8"/>
      <sheetName val="BNI 9"/>
      <sheetName val="BNI 10"/>
      <sheetName val="BNI 11"/>
      <sheetName val="BNI 12"/>
      <sheetName val="BNI 13"/>
      <sheetName val="BNI 14"/>
      <sheetName val="BNI 15"/>
      <sheetName val="BNI 16"/>
      <sheetName val="BNI 17"/>
      <sheetName val="BNI 18"/>
      <sheetName val="BNI 19"/>
      <sheetName val="BNI 20"/>
      <sheetName val="BNI 21"/>
      <sheetName val="BNI 22"/>
      <sheetName val="BNI 23"/>
      <sheetName val="BNI 24"/>
      <sheetName val="BNI 25"/>
      <sheetName val="BNI 26"/>
      <sheetName val="BNI 27"/>
      <sheetName val="BNI 28"/>
      <sheetName val="BNI 29"/>
      <sheetName val="BNI 30"/>
      <sheetName val="BNI 31"/>
      <sheetName val="BNI 32"/>
      <sheetName val="BNI 33"/>
      <sheetName val="BNI 34"/>
      <sheetName val="BNI 35"/>
      <sheetName val="Augex --&gt;"/>
      <sheetName val="A-BNI 1"/>
      <sheetName val="A-BNI 2"/>
      <sheetName val="A-BNI 3"/>
      <sheetName val="A-BNI 4"/>
      <sheetName val="A-BNI 5"/>
      <sheetName val="A-BNI 6"/>
      <sheetName val="A-BNI 7"/>
      <sheetName val="A-BNI 8"/>
      <sheetName val="A-BNI 9"/>
      <sheetName val="A-BNI 10"/>
      <sheetName val="A-BNI 11"/>
      <sheetName val="A-BNI 12"/>
      <sheetName val="A-BNI 13"/>
      <sheetName val="A-BNI 14"/>
      <sheetName val="A-BNI 15"/>
      <sheetName val="ICT --&gt;"/>
      <sheetName val="I-BNI 1"/>
      <sheetName val="NonN --&gt;"/>
      <sheetName val="N-BNI 1"/>
      <sheetName val="N-BNI 2"/>
      <sheetName val="N-BNI 3"/>
      <sheetName val="N-BNI 4"/>
      <sheetName val="N-BNI 5"/>
      <sheetName val="N-BNI 6"/>
      <sheetName val="Checks"/>
    </sheetNames>
    <sheetDataSet>
      <sheetData sheetId="0"/>
      <sheetData sheetId="1"/>
      <sheetData sheetId="2">
        <row r="3">
          <cell r="E3" t="str">
            <v>Condition and risk</v>
          </cell>
          <cell r="F3" t="str">
            <v>Alice Springs Corroded Poles</v>
          </cell>
          <cell r="G3" t="str">
            <v>Alice Springs Corroded Poles</v>
          </cell>
        </row>
        <row r="4">
          <cell r="E4" t="str">
            <v>Condition and risk</v>
          </cell>
          <cell r="F4" t="str">
            <v>Replace Berrimah ZSS</v>
          </cell>
          <cell r="G4" t="str">
            <v>Darwin - Replace Berrimah ZSS</v>
          </cell>
        </row>
        <row r="5">
          <cell r="E5" t="str">
            <v>Condition and risk</v>
          </cell>
          <cell r="F5" t="str">
            <v>Various protection &amp; control replacement</v>
          </cell>
          <cell r="G5" t="str">
            <v>Darwin - Upgrade DKTL Secondary Systems</v>
          </cell>
        </row>
        <row r="6">
          <cell r="E6" t="str">
            <v>Condition and risk</v>
          </cell>
          <cell r="F6" t="str">
            <v>Various power transformer replacements</v>
          </cell>
          <cell r="G6" t="str">
            <v>Darwin - Replace Cosmo Howley Transformers</v>
          </cell>
        </row>
        <row r="7">
          <cell r="E7" t="str">
            <v>Condition and risk</v>
          </cell>
          <cell r="F7" t="str">
            <v>Various cable replacements</v>
          </cell>
          <cell r="G7" t="str">
            <v>Darwin - Replace Port Feeder</v>
          </cell>
        </row>
        <row r="8">
          <cell r="E8"/>
          <cell r="F8"/>
          <cell r="G8" t="str">
            <v>[deleted]</v>
          </cell>
        </row>
        <row r="9">
          <cell r="E9" t="str">
            <v>Condition and risk</v>
          </cell>
          <cell r="F9" t="str">
            <v>Various power transformer replacements</v>
          </cell>
          <cell r="G9" t="str">
            <v>Darwin Replace 66/11kV Centreyard ZSS</v>
          </cell>
        </row>
        <row r="10">
          <cell r="E10"/>
          <cell r="F10"/>
          <cell r="G10" t="str">
            <v>[deleted]</v>
          </cell>
        </row>
        <row r="11">
          <cell r="E11"/>
          <cell r="F11"/>
          <cell r="G11" t="str">
            <v>[deleted]</v>
          </cell>
        </row>
        <row r="12">
          <cell r="E12" t="str">
            <v>Condition and risk</v>
          </cell>
          <cell r="F12" t="str">
            <v>Various power transformer replacements</v>
          </cell>
          <cell r="G12" t="str">
            <v>Darwin - Replace Humpty Doo ZSS</v>
          </cell>
        </row>
        <row r="13">
          <cell r="E13"/>
          <cell r="F13"/>
          <cell r="G13" t="str">
            <v>[deleted]</v>
          </cell>
        </row>
        <row r="14">
          <cell r="E14" t="str">
            <v>Condition and risk</v>
          </cell>
          <cell r="F14" t="str">
            <v>Various SCADA and Communications’ replacement</v>
          </cell>
          <cell r="G14" t="str">
            <v>Darwin - Energy Management System Upgrade</v>
          </cell>
        </row>
        <row r="15">
          <cell r="E15"/>
          <cell r="F15"/>
          <cell r="G15" t="str">
            <v>[deleted]</v>
          </cell>
        </row>
        <row r="16">
          <cell r="E16" t="str">
            <v>Condition and risk</v>
          </cell>
          <cell r="F16" t="str">
            <v>Other minor projects</v>
          </cell>
          <cell r="G16" t="str">
            <v>66kV HLC Circuit Breaker Replacement Program</v>
          </cell>
        </row>
        <row r="17">
          <cell r="E17" t="str">
            <v>Condition and risk</v>
          </cell>
          <cell r="F17" t="str">
            <v>Other minor projects</v>
          </cell>
          <cell r="G17" t="str">
            <v>Substation Fire Protection Equipment Replacement Program</v>
          </cell>
        </row>
        <row r="18">
          <cell r="E18" t="str">
            <v>Condition and risk</v>
          </cell>
          <cell r="F18" t="str">
            <v>Various SCADA and Communications’ replacement</v>
          </cell>
          <cell r="G18" t="str">
            <v>SCADA and Communications Obsolete Asset Replacement Program</v>
          </cell>
        </row>
        <row r="19">
          <cell r="E19" t="str">
            <v>Condition and risk</v>
          </cell>
          <cell r="F19" t="str">
            <v>Various SCADA and Communications’ replacement</v>
          </cell>
          <cell r="G19" t="str">
            <v>SCADA and Communications Battery Replacement Program</v>
          </cell>
        </row>
        <row r="20">
          <cell r="E20" t="str">
            <v>Compliance</v>
          </cell>
          <cell r="F20" t="str">
            <v>SCADA and Comms</v>
          </cell>
          <cell r="G20" t="str">
            <v>SCADA and Communications Compliance and Safety Program</v>
          </cell>
        </row>
        <row r="21">
          <cell r="E21" t="str">
            <v>Condition and risk</v>
          </cell>
          <cell r="F21" t="str">
            <v>Various protection &amp; control replacement</v>
          </cell>
          <cell r="G21" t="str">
            <v>Protection Relay Replacement Program</v>
          </cell>
        </row>
        <row r="22">
          <cell r="E22" t="str">
            <v>Condition and risk</v>
          </cell>
          <cell r="F22" t="str">
            <v>Various cable replacements</v>
          </cell>
          <cell r="G22" t="str">
            <v xml:space="preserve">Darwin Northern Suburbs High Voltage Cable Replacement Program </v>
          </cell>
        </row>
        <row r="23">
          <cell r="E23" t="str">
            <v>Condition and risk</v>
          </cell>
          <cell r="F23" t="str">
            <v>Various cable replacements</v>
          </cell>
          <cell r="G23" t="str">
            <v>Darwin Cullen Bay and Bayview Low Voltage Cable Replacement Program</v>
          </cell>
        </row>
        <row r="24">
          <cell r="E24" t="str">
            <v>Compliance</v>
          </cell>
          <cell r="F24" t="str">
            <v>Conductor clearance</v>
          </cell>
          <cell r="G24" t="str">
            <v>Darwin Lake Bennett Conductor Clearance Rectification Program</v>
          </cell>
        </row>
        <row r="25">
          <cell r="E25"/>
          <cell r="F25"/>
          <cell r="G25" t="str">
            <v>[deleted]</v>
          </cell>
        </row>
        <row r="26">
          <cell r="E26" t="str">
            <v>Condition and risk</v>
          </cell>
          <cell r="F26" t="str">
            <v>Other minor projects</v>
          </cell>
          <cell r="G26" t="str">
            <v>Single Phase Substation Refurbishment Program</v>
          </cell>
        </row>
        <row r="27">
          <cell r="E27" t="str">
            <v>Condition and risk</v>
          </cell>
          <cell r="F27" t="str">
            <v>Condition and Failure Based Replacement Pooled Forecast</v>
          </cell>
          <cell r="G27" t="str">
            <v>All Regions Condition and Failure Based Replacement Pooled Forecast</v>
          </cell>
        </row>
        <row r="28">
          <cell r="E28" t="str">
            <v>Condition and risk</v>
          </cell>
          <cell r="F28" t="str">
            <v>Various pole and tower refurbishment</v>
          </cell>
          <cell r="G28" t="str">
            <v>Darwin Coastal Pole Top Corrosion Replacement Program</v>
          </cell>
        </row>
        <row r="29">
          <cell r="E29" t="str">
            <v>Condition and risk</v>
          </cell>
          <cell r="F29" t="str">
            <v>Other minor projects</v>
          </cell>
          <cell r="G29" t="str">
            <v>Substation DC System Replacement Program</v>
          </cell>
        </row>
        <row r="30">
          <cell r="E30" t="str">
            <v>Reliability and Quality of Supply</v>
          </cell>
          <cell r="F30" t="str">
            <v>Reliability and Quality of Supply</v>
          </cell>
          <cell r="G30" t="str">
            <v>All Regions Poorly Performing Feeder Improvement Program (REPEX Component)</v>
          </cell>
        </row>
        <row r="31">
          <cell r="E31"/>
          <cell r="F31"/>
          <cell r="G31" t="str">
            <v>[deleted]</v>
          </cell>
        </row>
        <row r="32">
          <cell r="E32"/>
          <cell r="F32"/>
          <cell r="G32" t="str">
            <v>FY18 budget and FY19 budget for Repex</v>
          </cell>
        </row>
        <row r="33">
          <cell r="E33" t="str">
            <v>Condition and risk</v>
          </cell>
          <cell r="F33" t="str">
            <v>Various pole and tower refurbishment</v>
          </cell>
          <cell r="G33" t="str">
            <v>Transmission Line Pole Top Corrosion Replacement Program</v>
          </cell>
        </row>
        <row r="34">
          <cell r="E34" t="str">
            <v>Condition and risk</v>
          </cell>
          <cell r="F34" t="str">
            <v>Various pole and tower refurbishment</v>
          </cell>
          <cell r="G34" t="str">
            <v>Transmission Tower Earthing System Refurbishment Program</v>
          </cell>
        </row>
        <row r="35">
          <cell r="E35" t="str">
            <v>Condition and risk</v>
          </cell>
          <cell r="F35" t="str">
            <v>Various power transformer replacements</v>
          </cell>
          <cell r="G35" t="str">
            <v>Pine Creek 132kV Transformer Replacement</v>
          </cell>
        </row>
        <row r="36">
          <cell r="E36"/>
          <cell r="F36"/>
          <cell r="G36" t="str">
            <v>[deleted]</v>
          </cell>
        </row>
        <row r="37">
          <cell r="E37" t="str">
            <v>Condition and risk</v>
          </cell>
          <cell r="F37" t="str">
            <v>Various pole and tower refurbishment</v>
          </cell>
          <cell r="G37" t="str">
            <v>Transmission Tower Corrosion Protection Life Extension Program</v>
          </cell>
        </row>
        <row r="38">
          <cell r="E38" t="str">
            <v>Demand driven</v>
          </cell>
          <cell r="G38" t="str">
            <v>Darwin - Construct Wishart Zone Substation</v>
          </cell>
        </row>
        <row r="39">
          <cell r="E39" t="str">
            <v>Demand driven</v>
          </cell>
          <cell r="G39" t="str">
            <v>Darwin - Archer ZSS Augmentation</v>
          </cell>
        </row>
        <row r="40">
          <cell r="E40" t="str">
            <v>Reliability and Quality of Supply</v>
          </cell>
          <cell r="G40" t="str">
            <v>Katherine Voltage Rectification</v>
          </cell>
        </row>
        <row r="41">
          <cell r="E41" t="str">
            <v>Compliance</v>
          </cell>
          <cell r="G41" t="str">
            <v>Darwin - Transmission Line Uprating</v>
          </cell>
        </row>
        <row r="42">
          <cell r="E42" t="str">
            <v>Reliability and Quality of Supply</v>
          </cell>
          <cell r="G42" t="str">
            <v>Power quality compliance program</v>
          </cell>
        </row>
        <row r="43">
          <cell r="E43"/>
          <cell r="G43" t="str">
            <v>[deleted]</v>
          </cell>
        </row>
        <row r="44">
          <cell r="E44" t="str">
            <v>Compliance</v>
          </cell>
          <cell r="G44" t="str">
            <v>Darwin - Hudson Creek Spare 132kV Transformer</v>
          </cell>
        </row>
        <row r="45">
          <cell r="E45" t="str">
            <v>Demand driven</v>
          </cell>
          <cell r="G45" t="str">
            <v>Overloaded Feeders / Distribution Augmentation Program</v>
          </cell>
        </row>
        <row r="46">
          <cell r="E46" t="str">
            <v>Compliance</v>
          </cell>
          <cell r="G46" t="str">
            <v>Darwin Distribution Substation Fault Level Replacement Program</v>
          </cell>
        </row>
        <row r="47">
          <cell r="E47"/>
          <cell r="G47" t="str">
            <v>[deleted]</v>
          </cell>
        </row>
        <row r="48">
          <cell r="E48" t="str">
            <v>Demand driven</v>
          </cell>
          <cell r="G48" t="str">
            <v>Tennant Creek - Upgrade Tennant Creek 22/11kV Transformers</v>
          </cell>
        </row>
        <row r="49">
          <cell r="E49" t="str">
            <v>Compliance</v>
          </cell>
          <cell r="G49" t="str">
            <v>SCADA and Communications Optus Cable Extension Program</v>
          </cell>
        </row>
        <row r="50">
          <cell r="E50" t="str">
            <v>Reliability and Quality of Supply</v>
          </cell>
          <cell r="G50" t="str">
            <v>All Regions Poorly Performing Feeder Improvement Program AUGEX Component)</v>
          </cell>
        </row>
        <row r="51">
          <cell r="E51"/>
          <cell r="G51" t="str">
            <v>FY18 budget and FY19 budget for Augex</v>
          </cell>
        </row>
        <row r="52">
          <cell r="E52" t="str">
            <v>Compliance</v>
          </cell>
          <cell r="G52" t="str">
            <v>Power Transformer Online Moisture Treatment</v>
          </cell>
        </row>
      </sheetData>
      <sheetData sheetId="3">
        <row r="22">
          <cell r="I22">
            <v>2.2499999999999999E-2</v>
          </cell>
        </row>
        <row r="25">
          <cell r="J25">
            <v>7.3073238302535408</v>
          </cell>
          <cell r="K25">
            <v>5.6540584427746543</v>
          </cell>
          <cell r="L25">
            <v>15.074702861966831</v>
          </cell>
          <cell r="M25">
            <v>17.018794578853612</v>
          </cell>
          <cell r="N25">
            <v>13.843363053168829</v>
          </cell>
          <cell r="S25">
            <v>14.491704941884445</v>
          </cell>
          <cell r="T25">
            <v>4.0324694346927989</v>
          </cell>
          <cell r="U25">
            <v>7.3949044268918529</v>
          </cell>
          <cell r="V25">
            <v>5.7559834187772951</v>
          </cell>
          <cell r="W25">
            <v>15.456394555574914</v>
          </cell>
          <cell r="X25">
            <v>17.585137907500812</v>
          </cell>
          <cell r="Y25">
            <v>14.397970489733808</v>
          </cell>
        </row>
        <row r="26">
          <cell r="J26">
            <v>34.5085224052238</v>
          </cell>
          <cell r="K26">
            <v>37.832518584424662</v>
          </cell>
          <cell r="L26">
            <v>32.618122643172946</v>
          </cell>
          <cell r="M26">
            <v>21.298109026321356</v>
          </cell>
          <cell r="N26">
            <v>18.951066930514305</v>
          </cell>
          <cell r="S26">
            <v>21.266078399811821</v>
          </cell>
          <cell r="T26">
            <v>31.03932160289126</v>
          </cell>
          <cell r="U26">
            <v>34.922118004866356</v>
          </cell>
          <cell r="V26">
            <v>38.514520475254891</v>
          </cell>
          <cell r="W26">
            <v>33.444013978344806</v>
          </cell>
          <cell r="X26">
            <v>22.006857340073573</v>
          </cell>
          <cell r="Y26">
            <v>19.710304596256083</v>
          </cell>
        </row>
        <row r="27">
          <cell r="J27">
            <v>12.498099973029399</v>
          </cell>
          <cell r="K27">
            <v>13.141750529792626</v>
          </cell>
          <cell r="L27">
            <v>13.229992944832746</v>
          </cell>
          <cell r="M27">
            <v>11.12255644446283</v>
          </cell>
          <cell r="N27">
            <v>11.143319365648741</v>
          </cell>
          <cell r="S27">
            <v>11.071070222845824</v>
          </cell>
          <cell r="T27">
            <v>11.582349621752176</v>
          </cell>
          <cell r="U27">
            <v>12.647893670135225</v>
          </cell>
          <cell r="V27">
            <v>13.378655156962429</v>
          </cell>
          <cell r="W27">
            <v>13.564976556766927</v>
          </cell>
          <cell r="X27">
            <v>11.49268757276556</v>
          </cell>
          <cell r="Y27">
            <v>11.589754799327023</v>
          </cell>
        </row>
        <row r="28">
          <cell r="S28">
            <v>0.55756830112000011</v>
          </cell>
          <cell r="T28">
            <v>0.55989837905038065</v>
          </cell>
          <cell r="U28">
            <v>27.889236896981956</v>
          </cell>
          <cell r="V28">
            <v>5.5668725227547871</v>
          </cell>
          <cell r="W28">
            <v>24.961776445441352</v>
          </cell>
          <cell r="X28">
            <v>5.6597478223745821</v>
          </cell>
          <cell r="Y28">
            <v>5.3490955046384308</v>
          </cell>
        </row>
        <row r="29">
          <cell r="S29">
            <v>4.5979011515897028</v>
          </cell>
          <cell r="T29">
            <v>4.8127529196320751</v>
          </cell>
          <cell r="U29">
            <v>10.761451866960643</v>
          </cell>
          <cell r="V29">
            <v>9.4308482188013425</v>
          </cell>
          <cell r="W29">
            <v>7.3596957973945534</v>
          </cell>
          <cell r="X29">
            <v>4.8917166176201921</v>
          </cell>
          <cell r="Y29">
            <v>5.0514562576843405</v>
          </cell>
        </row>
        <row r="31">
          <cell r="J31">
            <v>13.012869520178295</v>
          </cell>
          <cell r="K31">
            <v>13.19114455870012</v>
          </cell>
          <cell r="L31">
            <v>13.393456838449179</v>
          </cell>
          <cell r="M31">
            <v>13.557488562506313</v>
          </cell>
          <cell r="N31">
            <v>13.705951532618363</v>
          </cell>
          <cell r="U31">
            <v>13.012869520178295</v>
          </cell>
          <cell r="V31">
            <v>13.19114455870012</v>
          </cell>
          <cell r="W31">
            <v>13.393456838449179</v>
          </cell>
          <cell r="X31">
            <v>13.557488562506313</v>
          </cell>
          <cell r="Y31">
            <v>13.705951532618363</v>
          </cell>
        </row>
        <row r="32">
          <cell r="S32">
            <v>2.0380111801795344</v>
          </cell>
          <cell r="T32">
            <v>4.3112266048194599</v>
          </cell>
          <cell r="U32">
            <v>6.6498730874599916</v>
          </cell>
          <cell r="V32">
            <v>3.7524143663033378</v>
          </cell>
          <cell r="W32">
            <v>3.7978799723895018</v>
          </cell>
          <cell r="X32">
            <v>7.4779427748406562</v>
          </cell>
          <cell r="Y32">
            <v>3.693421968848392</v>
          </cell>
        </row>
        <row r="34">
          <cell r="U34">
            <v>113.27834747347433</v>
          </cell>
          <cell r="V34">
            <v>89.590438717554207</v>
          </cell>
          <cell r="W34">
            <v>111.97819414436123</v>
          </cell>
          <cell r="X34">
            <v>82.671578597681687</v>
          </cell>
          <cell r="Y34">
            <v>73.497955149106446</v>
          </cell>
        </row>
      </sheetData>
      <sheetData sheetId="4"/>
      <sheetData sheetId="5">
        <row r="7">
          <cell r="I7">
            <v>2.2499999999999999E-2</v>
          </cell>
        </row>
      </sheetData>
      <sheetData sheetId="6"/>
      <sheetData sheetId="7"/>
      <sheetData sheetId="8"/>
      <sheetData sheetId="9"/>
      <sheetData sheetId="10"/>
      <sheetData sheetId="11"/>
      <sheetData sheetId="12">
        <row r="52">
          <cell r="H52">
            <v>1.0023880000000001</v>
          </cell>
          <cell r="I52">
            <v>1.0065769794520001</v>
          </cell>
          <cell r="J52">
            <v>1.0119853175625957</v>
          </cell>
          <cell r="K52">
            <v>1.0180268699084445</v>
          </cell>
          <cell r="L52">
            <v>1.0253200144044685</v>
          </cell>
          <cell r="M52">
            <v>1.0332775230362614</v>
          </cell>
          <cell r="N52">
            <v>1.0400630565300406</v>
          </cell>
        </row>
      </sheetData>
      <sheetData sheetId="13">
        <row r="32">
          <cell r="H32">
            <v>12.415214538678159</v>
          </cell>
          <cell r="I32">
            <v>12.574862413627692</v>
          </cell>
          <cell r="J32">
            <v>12.726522758120581</v>
          </cell>
          <cell r="K32">
            <v>12.900874874034352</v>
          </cell>
          <cell r="L32">
            <v>13.098735294326824</v>
          </cell>
          <cell r="M32">
            <v>13.259157518343585</v>
          </cell>
          <cell r="N32">
            <v>13.404353577132873</v>
          </cell>
        </row>
      </sheetData>
      <sheetData sheetId="14"/>
      <sheetData sheetId="15">
        <row r="10">
          <cell r="D10" t="str">
            <v>Mechanical Meters</v>
          </cell>
          <cell r="J10">
            <v>0</v>
          </cell>
          <cell r="K10">
            <v>0</v>
          </cell>
          <cell r="L10">
            <v>0</v>
          </cell>
          <cell r="M10">
            <v>0</v>
          </cell>
          <cell r="N10">
            <v>0</v>
          </cell>
        </row>
        <row r="11">
          <cell r="D11" t="str">
            <v>Electronic Meters</v>
          </cell>
          <cell r="J11">
            <v>3.1024526467420319</v>
          </cell>
          <cell r="K11">
            <v>3.3579023421156879</v>
          </cell>
          <cell r="L11">
            <v>3.4486128324766074</v>
          </cell>
          <cell r="M11">
            <v>3.0017606804949541</v>
          </cell>
          <cell r="N11">
            <v>3.2720958240965814</v>
          </cell>
        </row>
        <row r="12">
          <cell r="D12" t="str">
            <v>Metering Communications</v>
          </cell>
          <cell r="J12">
            <v>2.8937264124059219</v>
          </cell>
          <cell r="K12">
            <v>0.18108991340109382</v>
          </cell>
          <cell r="L12">
            <v>0.18586886542179418</v>
          </cell>
          <cell r="M12">
            <v>4.1842500710275319</v>
          </cell>
          <cell r="N12">
            <v>0.17794553146335981</v>
          </cell>
        </row>
        <row r="13">
          <cell r="D13" t="str">
            <v>Metering Dedicated CTs and VTs</v>
          </cell>
          <cell r="J13">
            <v>0.11823927207498335</v>
          </cell>
          <cell r="K13">
            <v>0.12574465877574173</v>
          </cell>
          <cell r="L13">
            <v>0.12684232526962469</v>
          </cell>
          <cell r="M13">
            <v>0.12054129161205122</v>
          </cell>
          <cell r="N13">
            <v>0.12982781771117022</v>
          </cell>
        </row>
        <row r="14">
          <cell r="D14" t="str">
            <v>Metering Non Network Other</v>
          </cell>
          <cell r="J14">
            <v>0</v>
          </cell>
          <cell r="K14">
            <v>0</v>
          </cell>
          <cell r="L14">
            <v>0</v>
          </cell>
          <cell r="M14">
            <v>0</v>
          </cell>
          <cell r="N14">
            <v>0</v>
          </cell>
        </row>
        <row r="15">
          <cell r="D15" t="str">
            <v>Metering Non Network IT and Communications</v>
          </cell>
          <cell r="J15">
            <v>0.11748688782397088</v>
          </cell>
          <cell r="K15">
            <v>0</v>
          </cell>
          <cell r="L15">
            <v>0</v>
          </cell>
          <cell r="M15">
            <v>0</v>
          </cell>
          <cell r="N15">
            <v>0</v>
          </cell>
        </row>
        <row r="16">
          <cell r="J16">
            <v>0.41796786841308375</v>
          </cell>
          <cell r="K16">
            <v>8.7677452010814436E-2</v>
          </cell>
          <cell r="L16">
            <v>3.6555949221475016E-2</v>
          </cell>
          <cell r="M16">
            <v>0.17139073170611852</v>
          </cell>
          <cell r="N16">
            <v>0.11355279557728086</v>
          </cell>
        </row>
      </sheetData>
      <sheetData sheetId="16"/>
      <sheetData sheetId="17">
        <row r="29">
          <cell r="J29">
            <v>6.0243253964158194</v>
          </cell>
          <cell r="M29">
            <v>6.6674657011017349</v>
          </cell>
        </row>
      </sheetData>
      <sheetData sheetId="18"/>
      <sheetData sheetId="19"/>
      <sheetData sheetId="20">
        <row r="32">
          <cell r="J32">
            <v>3</v>
          </cell>
        </row>
      </sheetData>
      <sheetData sheetId="21">
        <row r="32">
          <cell r="J32">
            <v>9.0000000000000018</v>
          </cell>
        </row>
      </sheetData>
      <sheetData sheetId="22">
        <row r="32">
          <cell r="J32">
            <v>2</v>
          </cell>
        </row>
      </sheetData>
      <sheetData sheetId="23">
        <row r="32">
          <cell r="J32">
            <v>0</v>
          </cell>
        </row>
      </sheetData>
      <sheetData sheetId="24">
        <row r="32">
          <cell r="J32">
            <v>1</v>
          </cell>
        </row>
      </sheetData>
      <sheetData sheetId="25">
        <row r="32">
          <cell r="J32">
            <v>0</v>
          </cell>
        </row>
      </sheetData>
      <sheetData sheetId="26">
        <row r="32">
          <cell r="J32">
            <v>0</v>
          </cell>
        </row>
      </sheetData>
      <sheetData sheetId="27">
        <row r="32">
          <cell r="J32">
            <v>0</v>
          </cell>
        </row>
      </sheetData>
      <sheetData sheetId="28">
        <row r="32">
          <cell r="J32">
            <v>0</v>
          </cell>
        </row>
      </sheetData>
      <sheetData sheetId="29">
        <row r="32">
          <cell r="J32">
            <v>0</v>
          </cell>
        </row>
      </sheetData>
      <sheetData sheetId="30">
        <row r="32">
          <cell r="J32">
            <v>0</v>
          </cell>
        </row>
      </sheetData>
      <sheetData sheetId="31">
        <row r="32">
          <cell r="J32">
            <v>0</v>
          </cell>
        </row>
      </sheetData>
      <sheetData sheetId="32">
        <row r="32">
          <cell r="J32">
            <v>0</v>
          </cell>
        </row>
      </sheetData>
      <sheetData sheetId="33">
        <row r="32">
          <cell r="J32">
            <v>0.32500000000000001</v>
          </cell>
        </row>
      </sheetData>
      <sheetData sheetId="34">
        <row r="32">
          <cell r="J32">
            <v>2.4500000000000001E-2</v>
          </cell>
        </row>
      </sheetData>
      <sheetData sheetId="35">
        <row r="32">
          <cell r="J32">
            <v>0.95800000000000007</v>
          </cell>
        </row>
      </sheetData>
      <sheetData sheetId="36">
        <row r="32">
          <cell r="J32">
            <v>5.8000000000000003E-2</v>
          </cell>
        </row>
      </sheetData>
      <sheetData sheetId="37">
        <row r="32">
          <cell r="J32">
            <v>0</v>
          </cell>
        </row>
      </sheetData>
      <sheetData sheetId="38">
        <row r="32">
          <cell r="J32">
            <v>0.76</v>
          </cell>
        </row>
      </sheetData>
      <sheetData sheetId="39">
        <row r="32">
          <cell r="J32">
            <v>3.931</v>
          </cell>
        </row>
      </sheetData>
      <sheetData sheetId="40">
        <row r="32">
          <cell r="J32">
            <v>0.20730000000000001</v>
          </cell>
        </row>
      </sheetData>
      <sheetData sheetId="41">
        <row r="32">
          <cell r="J32">
            <v>2.4670000000000001</v>
          </cell>
        </row>
      </sheetData>
      <sheetData sheetId="42">
        <row r="32">
          <cell r="J32">
            <v>0</v>
          </cell>
        </row>
      </sheetData>
      <sheetData sheetId="43">
        <row r="32">
          <cell r="J32">
            <v>0.20100000000000001</v>
          </cell>
        </row>
      </sheetData>
      <sheetData sheetId="44">
        <row r="32">
          <cell r="J32">
            <v>6.2920000000000007</v>
          </cell>
        </row>
      </sheetData>
      <sheetData sheetId="45">
        <row r="32">
          <cell r="J32">
            <v>0.43036616647804471</v>
          </cell>
        </row>
      </sheetData>
      <sheetData sheetId="46">
        <row r="32">
          <cell r="J32">
            <v>0.47799999999999998</v>
          </cell>
        </row>
      </sheetData>
      <sheetData sheetId="47">
        <row r="32">
          <cell r="J32">
            <v>0.51300000000000001</v>
          </cell>
        </row>
      </sheetData>
      <sheetData sheetId="48">
        <row r="32">
          <cell r="J32">
            <v>0</v>
          </cell>
        </row>
      </sheetData>
      <sheetData sheetId="49">
        <row r="32">
          <cell r="J32">
            <v>0</v>
          </cell>
        </row>
      </sheetData>
      <sheetData sheetId="50">
        <row r="32">
          <cell r="J32">
            <v>0.38100000000000001</v>
          </cell>
        </row>
      </sheetData>
      <sheetData sheetId="51">
        <row r="32">
          <cell r="J32">
            <v>0.86499999999999999</v>
          </cell>
        </row>
      </sheetData>
      <sheetData sheetId="52">
        <row r="32">
          <cell r="J32">
            <v>0.45400000000000001</v>
          </cell>
        </row>
      </sheetData>
      <sheetData sheetId="53">
        <row r="32">
          <cell r="J32">
            <v>0</v>
          </cell>
        </row>
      </sheetData>
      <sheetData sheetId="54">
        <row r="32">
          <cell r="J32">
            <v>0.40400000000000003</v>
          </cell>
        </row>
      </sheetData>
      <sheetData sheetId="55"/>
      <sheetData sheetId="56">
        <row r="32">
          <cell r="J32">
            <v>0</v>
          </cell>
        </row>
      </sheetData>
      <sheetData sheetId="57">
        <row r="32">
          <cell r="J32">
            <v>1.1000000000000001</v>
          </cell>
        </row>
      </sheetData>
      <sheetData sheetId="58">
        <row r="32">
          <cell r="J32">
            <v>0</v>
          </cell>
        </row>
      </sheetData>
      <sheetData sheetId="59">
        <row r="32">
          <cell r="J32">
            <v>0.8</v>
          </cell>
        </row>
      </sheetData>
      <sheetData sheetId="60">
        <row r="32">
          <cell r="J32">
            <v>0.6</v>
          </cell>
        </row>
      </sheetData>
      <sheetData sheetId="61">
        <row r="32">
          <cell r="J32">
            <v>0</v>
          </cell>
        </row>
      </sheetData>
      <sheetData sheetId="62">
        <row r="32">
          <cell r="J32">
            <v>0</v>
          </cell>
        </row>
      </sheetData>
      <sheetData sheetId="63">
        <row r="32">
          <cell r="J32">
            <v>1.2</v>
          </cell>
        </row>
      </sheetData>
      <sheetData sheetId="64">
        <row r="32">
          <cell r="J32">
            <v>1.0795269733530959</v>
          </cell>
        </row>
      </sheetData>
      <sheetData sheetId="65">
        <row r="32">
          <cell r="J32">
            <v>0</v>
          </cell>
        </row>
      </sheetData>
      <sheetData sheetId="66">
        <row r="32">
          <cell r="J32">
            <v>0.5</v>
          </cell>
        </row>
      </sheetData>
      <sheetData sheetId="67">
        <row r="32">
          <cell r="J32">
            <v>0.53</v>
          </cell>
        </row>
      </sheetData>
      <sheetData sheetId="68">
        <row r="32">
          <cell r="J32">
            <v>0.83700000000000008</v>
          </cell>
        </row>
      </sheetData>
      <sheetData sheetId="69">
        <row r="32">
          <cell r="J32">
            <v>0</v>
          </cell>
        </row>
      </sheetData>
      <sheetData sheetId="70">
        <row r="32">
          <cell r="J32">
            <v>0.5</v>
          </cell>
        </row>
      </sheetData>
      <sheetData sheetId="71"/>
      <sheetData sheetId="72"/>
      <sheetData sheetId="73"/>
      <sheetData sheetId="74">
        <row r="32">
          <cell r="H32">
            <v>0</v>
          </cell>
          <cell r="I32">
            <v>0</v>
          </cell>
        </row>
      </sheetData>
      <sheetData sheetId="75">
        <row r="32">
          <cell r="J32">
            <v>0.68100000000000005</v>
          </cell>
        </row>
      </sheetData>
      <sheetData sheetId="76">
        <row r="32">
          <cell r="J32">
            <v>0.54400000000000004</v>
          </cell>
        </row>
      </sheetData>
      <sheetData sheetId="77">
        <row r="32">
          <cell r="J32">
            <v>6.5</v>
          </cell>
        </row>
      </sheetData>
      <sheetData sheetId="78">
        <row r="32">
          <cell r="H32">
            <v>0</v>
          </cell>
          <cell r="I32">
            <v>0</v>
          </cell>
        </row>
      </sheetData>
      <sheetData sheetId="79">
        <row r="32">
          <cell r="J32">
            <v>0.47499999999999998</v>
          </cell>
        </row>
      </sheetData>
      <sheetData sheetId="8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Lookup|Tables"/>
      <sheetName val="Check|List"/>
    </sheetNames>
    <sheetDataSet>
      <sheetData sheetId="0"/>
      <sheetData sheetId="1"/>
      <sheetData sheetId="2">
        <row r="50">
          <cell r="E50">
            <v>110.7</v>
          </cell>
        </row>
      </sheetData>
      <sheetData sheetId="3"/>
      <sheetData sheetId="4"/>
      <sheetData sheetId="5"/>
      <sheetData sheetId="6">
        <row r="15">
          <cell r="N15">
            <v>75.793555074662947</v>
          </cell>
        </row>
        <row r="21">
          <cell r="N21">
            <v>-5.4684205441130862</v>
          </cell>
        </row>
        <row r="32">
          <cell r="N32">
            <v>-7.0325134530549862</v>
          </cell>
        </row>
        <row r="41">
          <cell r="O41">
            <v>6.6515010053349293E-3</v>
          </cell>
          <cell r="P41">
            <v>7.6836940913239645E-3</v>
          </cell>
          <cell r="Q41">
            <v>8.1143438694775173E-3</v>
          </cell>
          <cell r="R41">
            <v>4.4511158074421325E-3</v>
          </cell>
          <cell r="S41">
            <v>4.3545968260421406E-3</v>
          </cell>
        </row>
        <row r="43">
          <cell r="O43">
            <v>5.3730000000000002E-3</v>
          </cell>
          <cell r="P43">
            <v>5.9699999999999987E-3</v>
          </cell>
          <cell r="Q43">
            <v>7.1640000000000002E-3</v>
          </cell>
          <cell r="R43">
            <v>7.7610000000000005E-3</v>
          </cell>
          <cell r="S43">
            <v>6.5669999999999991E-3</v>
          </cell>
        </row>
        <row r="45">
          <cell r="O45">
            <v>0</v>
          </cell>
          <cell r="P45">
            <v>0</v>
          </cell>
          <cell r="Q45">
            <v>0</v>
          </cell>
          <cell r="R45">
            <v>0</v>
          </cell>
          <cell r="S45">
            <v>0</v>
          </cell>
        </row>
        <row r="47">
          <cell r="O47">
            <v>1.2060239520236715E-2</v>
          </cell>
          <cell r="P47">
            <v>1.3699565745049158E-2</v>
          </cell>
          <cell r="Q47">
            <v>1.5336475028958407E-2</v>
          </cell>
          <cell r="R47">
            <v>1.2246660917223595E-2</v>
          </cell>
          <cell r="S47">
            <v>1.095019346339865E-2</v>
          </cell>
        </row>
        <row r="53">
          <cell r="C53" t="str">
            <v>National connections process</v>
          </cell>
          <cell r="O53">
            <v>0.48506273204999995</v>
          </cell>
          <cell r="P53">
            <v>0.48506273204999995</v>
          </cell>
          <cell r="Q53">
            <v>0.48506273204999995</v>
          </cell>
          <cell r="R53">
            <v>0.48506273204999995</v>
          </cell>
          <cell r="S53">
            <v>0.48506273204999995</v>
          </cell>
        </row>
        <row r="54">
          <cell r="C54" t="str">
            <v>Metering Compliance Type 7</v>
          </cell>
          <cell r="O54">
            <v>2.4630153824999997E-2</v>
          </cell>
          <cell r="P54">
            <v>2.4630153824999997E-2</v>
          </cell>
          <cell r="Q54">
            <v>2.4630153824999997E-2</v>
          </cell>
          <cell r="R54">
            <v>2.4630153824999997E-2</v>
          </cell>
          <cell r="S54">
            <v>2.4630153824999997E-2</v>
          </cell>
        </row>
        <row r="55">
          <cell r="C55" t="str">
            <v>MDMS commissioning and early processing</v>
          </cell>
          <cell r="O55">
            <v>0.15620949269999998</v>
          </cell>
          <cell r="P55">
            <v>0.15620949269999998</v>
          </cell>
          <cell r="Q55">
            <v>0.15620949269999998</v>
          </cell>
          <cell r="R55">
            <v>0.15620949269999998</v>
          </cell>
          <cell r="S55">
            <v>0.15620949269999998</v>
          </cell>
        </row>
        <row r="56">
          <cell r="C56" t="str">
            <v>Planning resources</v>
          </cell>
          <cell r="O56">
            <v>0.54820396800000004</v>
          </cell>
          <cell r="P56">
            <v>0.54820396800000004</v>
          </cell>
          <cell r="Q56">
            <v>0.54820396800000004</v>
          </cell>
          <cell r="R56">
            <v>0.54820396800000004</v>
          </cell>
          <cell r="S56">
            <v>0.54820396800000004</v>
          </cell>
        </row>
        <row r="57">
          <cell r="C57" t="str">
            <v>GSLs</v>
          </cell>
          <cell r="O57">
            <v>0.26784598848717084</v>
          </cell>
          <cell r="P57">
            <v>0.26725244915754159</v>
          </cell>
          <cell r="Q57">
            <v>0.26604131817860494</v>
          </cell>
          <cell r="R57">
            <v>0.26535902625127017</v>
          </cell>
          <cell r="S57">
            <v>0.26485245919086109</v>
          </cell>
        </row>
        <row r="63">
          <cell r="O63">
            <v>1.4819523350621708</v>
          </cell>
          <cell r="P63">
            <v>1.4813587957325416</v>
          </cell>
          <cell r="Q63">
            <v>1.4801476647536049</v>
          </cell>
          <cell r="R63">
            <v>1.4794653728262701</v>
          </cell>
          <cell r="S63">
            <v>1.4789588057658611</v>
          </cell>
        </row>
        <row r="69">
          <cell r="M69">
            <v>75.793555074662947</v>
          </cell>
          <cell r="N69">
            <v>75.793555074662947</v>
          </cell>
        </row>
      </sheetData>
      <sheetData sheetId="7">
        <row r="12">
          <cell r="O12">
            <v>65.537897582615216</v>
          </cell>
        </row>
      </sheetData>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Lookup|Tables"/>
      <sheetName val="Check|List"/>
    </sheetNames>
    <sheetDataSet>
      <sheetData sheetId="0"/>
      <sheetData sheetId="1"/>
      <sheetData sheetId="2"/>
      <sheetData sheetId="3"/>
      <sheetData sheetId="4"/>
      <sheetData sheetId="5"/>
      <sheetData sheetId="6">
        <row r="34">
          <cell r="N34">
            <v>4.7206266810542896</v>
          </cell>
        </row>
        <row r="41">
          <cell r="O41">
            <v>6.6515010053349293E-3</v>
          </cell>
          <cell r="P41">
            <v>7.6836940913239645E-3</v>
          </cell>
          <cell r="Q41">
            <v>8.1143438694775173E-3</v>
          </cell>
          <cell r="R41">
            <v>4.4511158074421325E-3</v>
          </cell>
          <cell r="S41">
            <v>4.3545968260421406E-3</v>
          </cell>
        </row>
        <row r="43">
          <cell r="O43">
            <v>5.3730000000000002E-3</v>
          </cell>
          <cell r="P43">
            <v>5.9699999999999987E-3</v>
          </cell>
          <cell r="Q43">
            <v>7.1640000000000002E-3</v>
          </cell>
          <cell r="R43">
            <v>7.7610000000000005E-3</v>
          </cell>
          <cell r="S43">
            <v>6.5669999999999991E-3</v>
          </cell>
        </row>
        <row r="45">
          <cell r="O45">
            <v>0</v>
          </cell>
          <cell r="P45">
            <v>0</v>
          </cell>
          <cell r="Q45">
            <v>0</v>
          </cell>
          <cell r="R45">
            <v>0</v>
          </cell>
          <cell r="S45">
            <v>0</v>
          </cell>
        </row>
        <row r="47">
          <cell r="O47">
            <v>1.2060239520236715E-2</v>
          </cell>
          <cell r="P47">
            <v>1.3699565745049158E-2</v>
          </cell>
          <cell r="Q47">
            <v>1.5336475028958407E-2</v>
          </cell>
          <cell r="R47">
            <v>1.2246660917223595E-2</v>
          </cell>
          <cell r="S47">
            <v>1.095019346339865E-2</v>
          </cell>
        </row>
        <row r="53">
          <cell r="C53" t="str">
            <v>Inspection and testing</v>
          </cell>
          <cell r="O53">
            <v>0.31241898539999996</v>
          </cell>
          <cell r="P53">
            <v>0.31241898539999996</v>
          </cell>
          <cell r="Q53">
            <v>0.31241898539999996</v>
          </cell>
          <cell r="R53">
            <v>0.31241898539999996</v>
          </cell>
          <cell r="S53">
            <v>0.31241898539999996</v>
          </cell>
        </row>
        <row r="54">
          <cell r="C54" t="str">
            <v>Metering Compliance Type 1-6</v>
          </cell>
          <cell r="O54">
            <v>3.9146023949999997E-2</v>
          </cell>
          <cell r="P54">
            <v>3.9146023949999997E-2</v>
          </cell>
          <cell r="Q54">
            <v>3.9146023949999997E-2</v>
          </cell>
          <cell r="R54">
            <v>3.9146023949999997E-2</v>
          </cell>
          <cell r="S54">
            <v>3.9146023949999997E-2</v>
          </cell>
        </row>
        <row r="55">
          <cell r="C55" t="str">
            <v>Souther Region metering technicians</v>
          </cell>
          <cell r="O55">
            <v>0.31241898539999996</v>
          </cell>
          <cell r="P55">
            <v>0.31241898539999996</v>
          </cell>
          <cell r="Q55">
            <v>0.31241898539999996</v>
          </cell>
          <cell r="R55">
            <v>0.31241898539999996</v>
          </cell>
          <cell r="S55">
            <v>0.31241898539999996</v>
          </cell>
        </row>
        <row r="56">
          <cell r="O56">
            <v>-0.46387429693659654</v>
          </cell>
          <cell r="P56">
            <v>-0.5975268499481875</v>
          </cell>
          <cell r="Q56">
            <v>-0.73629573721197095</v>
          </cell>
          <cell r="R56">
            <v>-0.87116586865836498</v>
          </cell>
          <cell r="S56">
            <v>-0.99988166193517625</v>
          </cell>
        </row>
        <row r="57">
          <cell r="O57">
            <v>0</v>
          </cell>
          <cell r="P57">
            <v>0</v>
          </cell>
          <cell r="Q57">
            <v>0</v>
          </cell>
          <cell r="R57">
            <v>0</v>
          </cell>
          <cell r="S57">
            <v>0</v>
          </cell>
        </row>
        <row r="58">
          <cell r="O58">
            <v>0</v>
          </cell>
          <cell r="P58">
            <v>0</v>
          </cell>
          <cell r="Q58">
            <v>0</v>
          </cell>
          <cell r="R58">
            <v>0</v>
          </cell>
          <cell r="S58">
            <v>0</v>
          </cell>
        </row>
        <row r="59">
          <cell r="O59">
            <v>0</v>
          </cell>
          <cell r="P59">
            <v>0</v>
          </cell>
          <cell r="Q59">
            <v>0</v>
          </cell>
          <cell r="R59">
            <v>0</v>
          </cell>
          <cell r="S59">
            <v>0</v>
          </cell>
        </row>
        <row r="60">
          <cell r="O60">
            <v>0</v>
          </cell>
          <cell r="P60">
            <v>0</v>
          </cell>
          <cell r="Q60">
            <v>0</v>
          </cell>
          <cell r="R60">
            <v>0</v>
          </cell>
          <cell r="S60">
            <v>0</v>
          </cell>
        </row>
        <row r="61">
          <cell r="O61">
            <v>0</v>
          </cell>
          <cell r="P61">
            <v>0</v>
          </cell>
          <cell r="Q61">
            <v>0</v>
          </cell>
          <cell r="R61">
            <v>0</v>
          </cell>
          <cell r="S61">
            <v>0</v>
          </cell>
        </row>
        <row r="63">
          <cell r="O63">
            <v>0.20010969781340338</v>
          </cell>
          <cell r="P63">
            <v>6.6457144801812418E-2</v>
          </cell>
          <cell r="Q63">
            <v>-7.2311742461971029E-2</v>
          </cell>
          <cell r="R63">
            <v>-0.20718187390836507</v>
          </cell>
          <cell r="S63">
            <v>-0.33589766718517633</v>
          </cell>
        </row>
        <row r="69">
          <cell r="M69">
            <v>4.8596398600113426</v>
          </cell>
          <cell r="N69">
            <v>4.8596398600113426</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Starting prices"/>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row r="70">
          <cell r="G70">
            <v>0.15904216871706306</v>
          </cell>
          <cell r="H70"/>
          <cell r="I70"/>
          <cell r="J70"/>
          <cell r="K70"/>
        </row>
        <row r="71">
          <cell r="G71">
            <v>6.8089152561770545</v>
          </cell>
          <cell r="H71">
            <v>3.7524143663033378</v>
          </cell>
          <cell r="I71">
            <v>3.7978799723895018</v>
          </cell>
          <cell r="J71">
            <v>7.4779427748406562</v>
          </cell>
          <cell r="K71">
            <v>3.693421968848392</v>
          </cell>
        </row>
        <row r="105">
          <cell r="G105">
            <v>0</v>
          </cell>
          <cell r="H105">
            <v>0</v>
          </cell>
          <cell r="I105">
            <v>0</v>
          </cell>
          <cell r="J105">
            <v>0</v>
          </cell>
          <cell r="K105">
            <v>0</v>
          </cell>
        </row>
        <row r="139">
          <cell r="G139">
            <v>0</v>
          </cell>
          <cell r="H139">
            <v>0</v>
          </cell>
          <cell r="I139">
            <v>0</v>
          </cell>
          <cell r="J139">
            <v>0</v>
          </cell>
          <cell r="K139">
            <v>0</v>
          </cell>
        </row>
        <row r="173">
          <cell r="G173">
            <v>6.8089152561770545</v>
          </cell>
          <cell r="H173">
            <v>3.7524143663033378</v>
          </cell>
          <cell r="I173">
            <v>3.7978799723895018</v>
          </cell>
          <cell r="J173">
            <v>7.4779427748406562</v>
          </cell>
          <cell r="K173">
            <v>3.693421968848392</v>
          </cell>
        </row>
        <row r="186">
          <cell r="G186">
            <v>8.6157966088687647E-3</v>
          </cell>
          <cell r="H186">
            <v>1.1658136458819012E-2</v>
          </cell>
          <cell r="I186">
            <v>1.2793723169807612E-2</v>
          </cell>
          <cell r="J186">
            <v>1.3815206295113605E-2</v>
          </cell>
          <cell r="K186">
            <v>1.6659019800771512E-2</v>
          </cell>
        </row>
        <row r="187">
          <cell r="G187">
            <v>4.9862840639356971</v>
          </cell>
          <cell r="H187">
            <v>4.9211243284979282</v>
          </cell>
          <cell r="I187">
            <v>4.8577657152631089</v>
          </cell>
          <cell r="J187">
            <v>4.7841373734728982</v>
          </cell>
          <cell r="K187">
            <v>4.7127700259164866</v>
          </cell>
        </row>
      </sheetData>
      <sheetData sheetId="6">
        <row r="19">
          <cell r="G19">
            <v>4.0981331106355781E-2</v>
          </cell>
          <cell r="H19">
            <v>4.0981331106355781E-2</v>
          </cell>
          <cell r="I19">
            <v>4.0981331106355781E-2</v>
          </cell>
          <cell r="J19">
            <v>4.0981331106355781E-2</v>
          </cell>
          <cell r="K19">
            <v>4.0981331106355781E-2</v>
          </cell>
        </row>
      </sheetData>
      <sheetData sheetId="7">
        <row r="7">
          <cell r="G7">
            <v>1.0242487465753967</v>
          </cell>
          <cell r="H7">
            <v>1.0490854948612711</v>
          </cell>
          <cell r="I7">
            <v>1.0745245031620867</v>
          </cell>
          <cell r="J7">
            <v>1.1005803755283181</v>
          </cell>
          <cell r="K7">
            <v>1.1272680701403592</v>
          </cell>
        </row>
        <row r="466">
          <cell r="G466">
            <v>22.341503989594219</v>
          </cell>
          <cell r="H466">
            <v>24.517727876121967</v>
          </cell>
          <cell r="I466">
            <v>26.475285106640001</v>
          </cell>
          <cell r="J466">
            <v>31.925133031027237</v>
          </cell>
          <cell r="K466">
            <v>32.985855073086135</v>
          </cell>
        </row>
        <row r="467">
          <cell r="G467">
            <v>16.511202711558706</v>
          </cell>
          <cell r="H467">
            <v>22.341503989594219</v>
          </cell>
          <cell r="I467">
            <v>24.517727876121967</v>
          </cell>
          <cell r="J467">
            <v>26.475285106640001</v>
          </cell>
          <cell r="K467">
            <v>31.925133031027237</v>
          </cell>
        </row>
        <row r="472">
          <cell r="G472">
            <v>1.1438116822993682</v>
          </cell>
          <cell r="H472">
            <v>1.7334122815072601</v>
          </cell>
          <cell r="I472">
            <v>2.0602529422553579</v>
          </cell>
          <cell r="J472">
            <v>2.3990278999672974</v>
          </cell>
          <cell r="K472">
            <v>3.0522143833835416</v>
          </cell>
        </row>
        <row r="876">
          <cell r="G876">
            <v>-1.1438116822993682</v>
          </cell>
          <cell r="H876">
            <v>-1.7334122815072601</v>
          </cell>
          <cell r="I876">
            <v>-2.0602529422553579</v>
          </cell>
          <cell r="J876">
            <v>-2.3990278999672974</v>
          </cell>
          <cell r="K876">
            <v>-3.0522143833835416</v>
          </cell>
        </row>
        <row r="877">
          <cell r="G877">
            <v>0.40037597020758925</v>
          </cell>
          <cell r="H877">
            <v>0.55489031091741192</v>
          </cell>
          <cell r="I877">
            <v>0.62370668295780374</v>
          </cell>
          <cell r="J877">
            <v>0.68983664959820024</v>
          </cell>
          <cell r="K877">
            <v>0.85200820078084016</v>
          </cell>
        </row>
      </sheetData>
      <sheetData sheetId="8"/>
      <sheetData sheetId="9">
        <row r="48">
          <cell r="G48">
            <v>63.080933428478339</v>
          </cell>
          <cell r="H48">
            <v>69.121326410782359</v>
          </cell>
          <cell r="I48">
            <v>75.740124711422965</v>
          </cell>
          <cell r="J48">
            <v>82.99271424871047</v>
          </cell>
          <cell r="K48">
            <v>90.939784488225257</v>
          </cell>
        </row>
        <row r="49">
          <cell r="G49">
            <v>69.170111353055333</v>
          </cell>
          <cell r="H49">
            <v>75.793581116322315</v>
          </cell>
          <cell r="I49">
            <v>83.051289437931203</v>
          </cell>
          <cell r="J49">
            <v>91.003968617305887</v>
          </cell>
          <cell r="K49">
            <v>99.718166450491793</v>
          </cell>
        </row>
        <row r="50">
          <cell r="G50">
            <v>134.95998760422029</v>
          </cell>
          <cell r="H50">
            <v>147.88324852807239</v>
          </cell>
          <cell r="I50">
            <v>162.04399232274199</v>
          </cell>
          <cell r="J50">
            <v>177.56071569464009</v>
          </cell>
          <cell r="K50">
            <v>194.56326214920128</v>
          </cell>
        </row>
        <row r="51">
          <cell r="G51">
            <v>0</v>
          </cell>
          <cell r="H51">
            <v>0</v>
          </cell>
          <cell r="I51">
            <v>0</v>
          </cell>
          <cell r="J51">
            <v>0</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G56">
            <v>0</v>
          </cell>
          <cell r="H56">
            <v>0</v>
          </cell>
          <cell r="I56">
            <v>0</v>
          </cell>
          <cell r="J56">
            <v>0</v>
          </cell>
          <cell r="K56">
            <v>0</v>
          </cell>
        </row>
        <row r="57">
          <cell r="G57">
            <v>0</v>
          </cell>
          <cell r="H57">
            <v>0</v>
          </cell>
          <cell r="I57">
            <v>0</v>
          </cell>
          <cell r="J57">
            <v>0</v>
          </cell>
          <cell r="K57">
            <v>0</v>
          </cell>
        </row>
        <row r="58">
          <cell r="G58">
            <v>0</v>
          </cell>
          <cell r="H58">
            <v>0</v>
          </cell>
          <cell r="I58">
            <v>0</v>
          </cell>
          <cell r="J58">
            <v>0</v>
          </cell>
          <cell r="K58">
            <v>0</v>
          </cell>
        </row>
        <row r="59">
          <cell r="G59">
            <v>0</v>
          </cell>
          <cell r="H59">
            <v>0</v>
          </cell>
          <cell r="I59">
            <v>0</v>
          </cell>
          <cell r="J59">
            <v>0</v>
          </cell>
          <cell r="K59">
            <v>0</v>
          </cell>
        </row>
        <row r="60">
          <cell r="G60">
            <v>0</v>
          </cell>
          <cell r="H60">
            <v>0</v>
          </cell>
          <cell r="I60">
            <v>0</v>
          </cell>
          <cell r="J60">
            <v>0</v>
          </cell>
          <cell r="K60">
            <v>0</v>
          </cell>
        </row>
        <row r="61">
          <cell r="G61">
            <v>0</v>
          </cell>
          <cell r="H61">
            <v>0</v>
          </cell>
          <cell r="I61">
            <v>0</v>
          </cell>
          <cell r="J61">
            <v>0</v>
          </cell>
          <cell r="K61">
            <v>0</v>
          </cell>
        </row>
        <row r="62">
          <cell r="G62">
            <v>0</v>
          </cell>
          <cell r="H62">
            <v>0</v>
          </cell>
          <cell r="I62">
            <v>0</v>
          </cell>
          <cell r="J62">
            <v>0</v>
          </cell>
          <cell r="K62">
            <v>0</v>
          </cell>
        </row>
        <row r="63">
          <cell r="G63">
            <v>0</v>
          </cell>
          <cell r="H63">
            <v>0</v>
          </cell>
          <cell r="I63">
            <v>0</v>
          </cell>
          <cell r="J63">
            <v>0</v>
          </cell>
          <cell r="K63">
            <v>0</v>
          </cell>
        </row>
        <row r="64">
          <cell r="G64">
            <v>0</v>
          </cell>
          <cell r="H64">
            <v>0</v>
          </cell>
          <cell r="I64">
            <v>0</v>
          </cell>
          <cell r="J64">
            <v>0</v>
          </cell>
          <cell r="K64">
            <v>0</v>
          </cell>
        </row>
        <row r="65">
          <cell r="G65">
            <v>0</v>
          </cell>
          <cell r="H65">
            <v>0</v>
          </cell>
          <cell r="I65">
            <v>0</v>
          </cell>
          <cell r="J65">
            <v>0</v>
          </cell>
          <cell r="K65">
            <v>0</v>
          </cell>
        </row>
        <row r="66">
          <cell r="G66">
            <v>0</v>
          </cell>
          <cell r="H66">
            <v>0</v>
          </cell>
          <cell r="I66">
            <v>0</v>
          </cell>
          <cell r="J66">
            <v>0</v>
          </cell>
          <cell r="K66">
            <v>0</v>
          </cell>
        </row>
        <row r="67">
          <cell r="G67">
            <v>0</v>
          </cell>
          <cell r="H67">
            <v>0</v>
          </cell>
          <cell r="I67">
            <v>0</v>
          </cell>
          <cell r="J67">
            <v>0</v>
          </cell>
          <cell r="K67">
            <v>0</v>
          </cell>
        </row>
        <row r="68">
          <cell r="G68">
            <v>0</v>
          </cell>
          <cell r="H68">
            <v>0</v>
          </cell>
          <cell r="I68">
            <v>0</v>
          </cell>
          <cell r="J68">
            <v>0</v>
          </cell>
          <cell r="K68">
            <v>0</v>
          </cell>
        </row>
        <row r="69">
          <cell r="G69">
            <v>0</v>
          </cell>
          <cell r="H69">
            <v>0</v>
          </cell>
          <cell r="I69">
            <v>0</v>
          </cell>
          <cell r="J69">
            <v>0</v>
          </cell>
          <cell r="K69">
            <v>0</v>
          </cell>
        </row>
        <row r="70">
          <cell r="G70">
            <v>0</v>
          </cell>
          <cell r="H70">
            <v>0</v>
          </cell>
          <cell r="I70">
            <v>0</v>
          </cell>
          <cell r="J70">
            <v>0</v>
          </cell>
          <cell r="K70">
            <v>0</v>
          </cell>
        </row>
        <row r="71">
          <cell r="G71">
            <v>0</v>
          </cell>
          <cell r="H71">
            <v>0</v>
          </cell>
          <cell r="I71">
            <v>0</v>
          </cell>
          <cell r="J71">
            <v>0</v>
          </cell>
          <cell r="K71">
            <v>0</v>
          </cell>
        </row>
        <row r="72">
          <cell r="G72">
            <v>0</v>
          </cell>
          <cell r="H72">
            <v>0</v>
          </cell>
          <cell r="I72">
            <v>0</v>
          </cell>
          <cell r="J72">
            <v>0</v>
          </cell>
          <cell r="K72">
            <v>0</v>
          </cell>
        </row>
        <row r="73">
          <cell r="G73">
            <v>0</v>
          </cell>
          <cell r="H73">
            <v>0</v>
          </cell>
          <cell r="I73">
            <v>0</v>
          </cell>
          <cell r="J73">
            <v>0</v>
          </cell>
          <cell r="K73">
            <v>0</v>
          </cell>
        </row>
      </sheetData>
      <sheetData sheetId="10">
        <row r="35">
          <cell r="G35">
            <v>7.0311047982916417</v>
          </cell>
          <cell r="H35">
            <v>7.9545797929062116</v>
          </cell>
          <cell r="I35">
            <v>8.4911392097863718</v>
          </cell>
          <cell r="J35">
            <v>9.0260997112462142</v>
          </cell>
          <cell r="K35">
            <v>10.016783032152539</v>
          </cell>
        </row>
        <row r="44">
          <cell r="G44">
            <v>7.0311047982916435</v>
          </cell>
          <cell r="H44">
            <v>7.704376954760261</v>
          </cell>
          <cell r="I44">
            <v>8.4421191212315794</v>
          </cell>
          <cell r="J44">
            <v>9.2505047034373185</v>
          </cell>
          <cell r="K44">
            <v>10.136298249228245</v>
          </cell>
        </row>
        <row r="47">
          <cell r="G47">
            <v>0</v>
          </cell>
          <cell r="H47">
            <v>-6.9814577142962686E-2</v>
          </cell>
          <cell r="I47">
            <v>-6.9814577142962686E-2</v>
          </cell>
          <cell r="J47">
            <v>-6.9814577142962686E-2</v>
          </cell>
          <cell r="K47">
            <v>-6.9814577142962686E-2</v>
          </cell>
        </row>
      </sheetData>
      <sheetData sheetId="11">
        <row r="7">
          <cell r="G7">
            <v>1.0934349756962416</v>
          </cell>
          <cell r="H7">
            <v>1.5154168051531065</v>
          </cell>
          <cell r="I7">
            <v>1.7033557267883765</v>
          </cell>
          <cell r="J7">
            <v>1.8839580202495554</v>
          </cell>
          <cell r="K7">
            <v>2.3268518483533542</v>
          </cell>
        </row>
        <row r="8">
          <cell r="G8">
            <v>0.74343571209177894</v>
          </cell>
          <cell r="H8">
            <v>1.1785219705898482</v>
          </cell>
          <cell r="I8">
            <v>1.4365462592975542</v>
          </cell>
          <cell r="J8">
            <v>1.7091912503690971</v>
          </cell>
          <cell r="K8">
            <v>2.2002061826027015</v>
          </cell>
        </row>
        <row r="9">
          <cell r="G9">
            <v>5.1071952025550127</v>
          </cell>
          <cell r="H9">
            <v>5.1626801514360894</v>
          </cell>
          <cell r="I9">
            <v>5.2197882916709109</v>
          </cell>
          <cell r="J9">
            <v>5.2653277070758637</v>
          </cell>
          <cell r="K9">
            <v>5.3125551721302084</v>
          </cell>
        </row>
        <row r="11">
          <cell r="G11">
            <v>8.7038907948608746E-2</v>
          </cell>
          <cell r="H11">
            <v>9.7960865727167543E-2</v>
          </cell>
          <cell r="I11">
            <v>0.13144893202953056</v>
          </cell>
          <cell r="J11">
            <v>0.16762273355169821</v>
          </cell>
          <cell r="K11">
            <v>0.17716982906627521</v>
          </cell>
        </row>
        <row r="12">
          <cell r="G12">
            <v>7.0311047982916417</v>
          </cell>
          <cell r="H12">
            <v>7.9545797929062116</v>
          </cell>
          <cell r="I12">
            <v>8.4911392097863718</v>
          </cell>
          <cell r="J12">
            <v>9.0260997112462142</v>
          </cell>
          <cell r="K12">
            <v>10.016783032152539</v>
          </cell>
        </row>
        <row r="17">
          <cell r="G17">
            <v>7.0311047982916435</v>
          </cell>
          <cell r="H17">
            <v>7.704376954760261</v>
          </cell>
          <cell r="I17">
            <v>8.4421191212315794</v>
          </cell>
          <cell r="J17">
            <v>9.2505047034373185</v>
          </cell>
          <cell r="K17">
            <v>10.136298249228245</v>
          </cell>
        </row>
        <row r="32">
          <cell r="G32">
            <v>4.9862840639356971</v>
          </cell>
          <cell r="H32">
            <v>4.9211243284979282</v>
          </cell>
          <cell r="I32">
            <v>4.8577657152631089</v>
          </cell>
          <cell r="J32">
            <v>4.7841373734728982</v>
          </cell>
          <cell r="K32">
            <v>4.7127700259164866</v>
          </cell>
        </row>
        <row r="34">
          <cell r="G34">
            <v>8.4978290907971016E-2</v>
          </cell>
          <cell r="H34">
            <v>9.3377390314715661E-2</v>
          </cell>
          <cell r="I34">
            <v>0.12233218660226508</v>
          </cell>
          <cell r="J34">
            <v>0.1523039455171398</v>
          </cell>
          <cell r="K34">
            <v>0.15716743315919107</v>
          </cell>
        </row>
      </sheetData>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RFM input"/>
      <sheetName val="Adjustment for previous period"/>
      <sheetName val="RAB roll forward"/>
      <sheetName val="Total RAB roll forward"/>
      <sheetName val="TAB roll forward"/>
      <sheetName val="RAB remaining lives"/>
      <sheetName val="TAB remaining lives"/>
      <sheetName val="PTRM input summary"/>
    </sheetNames>
    <sheetDataSet>
      <sheetData sheetId="0"/>
      <sheetData sheetId="1"/>
      <sheetData sheetId="2"/>
      <sheetData sheetId="3"/>
      <sheetData sheetId="4">
        <row r="7">
          <cell r="J7">
            <v>247.15838494764884</v>
          </cell>
        </row>
        <row r="41">
          <cell r="H41">
            <v>32.106387363919595</v>
          </cell>
          <cell r="I41">
            <v>27.53251862508024</v>
          </cell>
          <cell r="J41">
            <v>14.046387189617297</v>
          </cell>
          <cell r="K41">
            <v>7.8455511624731313</v>
          </cell>
          <cell r="L41">
            <v>13.091499272164437</v>
          </cell>
        </row>
        <row r="42">
          <cell r="H42">
            <v>19.949087322731913</v>
          </cell>
          <cell r="I42">
            <v>15.85937989449685</v>
          </cell>
          <cell r="J42">
            <v>15.140711820619988</v>
          </cell>
          <cell r="K42">
            <v>12.853325097720557</v>
          </cell>
          <cell r="L42">
            <v>16.293218607981576</v>
          </cell>
        </row>
        <row r="43">
          <cell r="H43">
            <v>3.3360097624950149</v>
          </cell>
          <cell r="I43">
            <v>5.9039213415738381</v>
          </cell>
          <cell r="J43">
            <v>5.8062693518956205</v>
          </cell>
          <cell r="K43">
            <v>8.2879066531477417</v>
          </cell>
          <cell r="L43">
            <v>0.23410273533021991</v>
          </cell>
        </row>
        <row r="44">
          <cell r="H44">
            <v>1.8008263989342173</v>
          </cell>
          <cell r="I44">
            <v>1.8672789146911755</v>
          </cell>
          <cell r="J44">
            <v>1.699268562090672</v>
          </cell>
          <cell r="K44">
            <v>0.7239055872169865</v>
          </cell>
          <cell r="L44">
            <v>0.95339646441243331</v>
          </cell>
        </row>
        <row r="45">
          <cell r="H45">
            <v>11.530251595016235</v>
          </cell>
          <cell r="I45">
            <v>8.9026992076939475</v>
          </cell>
          <cell r="J45">
            <v>6.155834040598835</v>
          </cell>
          <cell r="K45">
            <v>4.070494575003317</v>
          </cell>
          <cell r="L45">
            <v>6.0090049906868277</v>
          </cell>
        </row>
        <row r="46">
          <cell r="H46">
            <v>5.4372752588897981</v>
          </cell>
          <cell r="I46">
            <v>6.2630040753019847</v>
          </cell>
          <cell r="J46">
            <v>5.699771909012207</v>
          </cell>
          <cell r="K46">
            <v>5.0252333187931191</v>
          </cell>
          <cell r="L46">
            <v>4.0684022916442926</v>
          </cell>
        </row>
        <row r="47">
          <cell r="H47">
            <v>5.641762397139221</v>
          </cell>
          <cell r="I47">
            <v>4.7709033100613967</v>
          </cell>
          <cell r="J47">
            <v>2.9301223935735967</v>
          </cell>
          <cell r="K47">
            <v>0.97142535316004497</v>
          </cell>
          <cell r="L47">
            <v>2.4931096507145267</v>
          </cell>
        </row>
        <row r="48">
          <cell r="H48">
            <v>2.2380575858594902</v>
          </cell>
          <cell r="I48">
            <v>1.0615292435644648</v>
          </cell>
          <cell r="J48">
            <v>0.5741411885828982</v>
          </cell>
          <cell r="K48">
            <v>0.46307037591076944</v>
          </cell>
          <cell r="L48">
            <v>1.1776914700839201</v>
          </cell>
        </row>
        <row r="49">
          <cell r="H49">
            <v>2.9182240228024074</v>
          </cell>
          <cell r="I49">
            <v>1.7829786002059402</v>
          </cell>
          <cell r="J49">
            <v>0.83052686363117334</v>
          </cell>
          <cell r="K49">
            <v>5.1062510035629183</v>
          </cell>
          <cell r="L49">
            <v>1.8175502268302943</v>
          </cell>
        </row>
        <row r="50">
          <cell r="H50">
            <v>0</v>
          </cell>
          <cell r="I50">
            <v>0</v>
          </cell>
          <cell r="J50">
            <v>0</v>
          </cell>
          <cell r="K50">
            <v>0</v>
          </cell>
          <cell r="L50">
            <v>9.1348125025662537</v>
          </cell>
        </row>
        <row r="51">
          <cell r="H51">
            <v>1.0324313577301479E-2</v>
          </cell>
          <cell r="I51">
            <v>4.2108471429205908E-2</v>
          </cell>
          <cell r="J51">
            <v>3.6730382974804063E-2</v>
          </cell>
          <cell r="K51">
            <v>0</v>
          </cell>
          <cell r="L51">
            <v>10.224553133915512</v>
          </cell>
        </row>
        <row r="52">
          <cell r="H52">
            <v>0.42319982927314526</v>
          </cell>
          <cell r="I52">
            <v>0.89720945945667374</v>
          </cell>
          <cell r="J52">
            <v>2.738507940034804</v>
          </cell>
          <cell r="K52">
            <v>4.4524210543727776</v>
          </cell>
          <cell r="L52">
            <v>4.9213407128757565</v>
          </cell>
        </row>
        <row r="53">
          <cell r="H53">
            <v>7.1853125161228826E-2</v>
          </cell>
          <cell r="I53">
            <v>9.4752877694043031E-3</v>
          </cell>
          <cell r="J53">
            <v>9.6262624835691347E-5</v>
          </cell>
          <cell r="K53">
            <v>0</v>
          </cell>
          <cell r="L53">
            <v>0</v>
          </cell>
        </row>
        <row r="54">
          <cell r="H54">
            <v>0.59995155383735821</v>
          </cell>
          <cell r="I54">
            <v>0.31264932138924606</v>
          </cell>
          <cell r="J54">
            <v>0.4537768074514853</v>
          </cell>
          <cell r="K54">
            <v>0.5399265363282606</v>
          </cell>
          <cell r="L54">
            <v>0.58691649685596525</v>
          </cell>
        </row>
        <row r="70">
          <cell r="H70"/>
          <cell r="I70"/>
          <cell r="J70"/>
          <cell r="K70"/>
          <cell r="L70"/>
        </row>
        <row r="71">
          <cell r="H71">
            <v>88.091490415134217</v>
          </cell>
          <cell r="I71">
            <v>78.398688702564527</v>
          </cell>
          <cell r="J71">
            <v>59.186422213062812</v>
          </cell>
          <cell r="K71">
            <v>52.313038113888901</v>
          </cell>
          <cell r="L71">
            <v>75.269127271020949</v>
          </cell>
        </row>
        <row r="75">
          <cell r="H75">
            <v>3.1527083999999997E-2</v>
          </cell>
          <cell r="I75">
            <v>3.2585330999999995E-2</v>
          </cell>
          <cell r="J75">
            <v>0.136414496</v>
          </cell>
          <cell r="K75">
            <v>0</v>
          </cell>
          <cell r="L75">
            <v>0</v>
          </cell>
        </row>
        <row r="76">
          <cell r="H76">
            <v>6.3054167999999994E-2</v>
          </cell>
          <cell r="I76">
            <v>6.286666199999999E-2</v>
          </cell>
          <cell r="J76">
            <v>0.11989699199999998</v>
          </cell>
          <cell r="K76">
            <v>0</v>
          </cell>
          <cell r="L76">
            <v>0</v>
          </cell>
        </row>
        <row r="77">
          <cell r="H77">
            <v>1.0509028E-2</v>
          </cell>
          <cell r="I77">
            <v>1.0477777000000002E-2</v>
          </cell>
          <cell r="J77">
            <v>1.9982831999999999E-2</v>
          </cell>
          <cell r="K77">
            <v>0</v>
          </cell>
          <cell r="L77">
            <v>0</v>
          </cell>
        </row>
        <row r="78">
          <cell r="H78">
            <v>0</v>
          </cell>
          <cell r="I78">
            <v>0</v>
          </cell>
          <cell r="J78">
            <v>0</v>
          </cell>
          <cell r="K78">
            <v>0</v>
          </cell>
          <cell r="L78">
            <v>0</v>
          </cell>
        </row>
        <row r="79">
          <cell r="H79">
            <v>7.6680000000000003E-3</v>
          </cell>
          <cell r="I79">
            <v>0</v>
          </cell>
          <cell r="J79">
            <v>0</v>
          </cell>
          <cell r="K79">
            <v>0</v>
          </cell>
          <cell r="L79">
            <v>0</v>
          </cell>
        </row>
        <row r="80">
          <cell r="H80">
            <v>0</v>
          </cell>
          <cell r="I80">
            <v>0</v>
          </cell>
          <cell r="J80">
            <v>0</v>
          </cell>
          <cell r="K80">
            <v>0</v>
          </cell>
          <cell r="L80">
            <v>0</v>
          </cell>
        </row>
        <row r="81">
          <cell r="H81">
            <v>0</v>
          </cell>
          <cell r="I81">
            <v>0</v>
          </cell>
          <cell r="J81">
            <v>0</v>
          </cell>
          <cell r="K81">
            <v>0</v>
          </cell>
          <cell r="L81">
            <v>0</v>
          </cell>
        </row>
        <row r="82">
          <cell r="H82">
            <v>0</v>
          </cell>
          <cell r="I82">
            <v>0</v>
          </cell>
          <cell r="J82">
            <v>0</v>
          </cell>
          <cell r="K82">
            <v>0</v>
          </cell>
          <cell r="L82">
            <v>0</v>
          </cell>
        </row>
        <row r="83">
          <cell r="H83">
            <v>0</v>
          </cell>
          <cell r="I83">
            <v>0</v>
          </cell>
          <cell r="J83">
            <v>0</v>
          </cell>
          <cell r="K83">
            <v>0</v>
          </cell>
          <cell r="L83">
            <v>0</v>
          </cell>
        </row>
        <row r="84">
          <cell r="H84">
            <v>0</v>
          </cell>
          <cell r="I84">
            <v>0</v>
          </cell>
          <cell r="J84">
            <v>0.01</v>
          </cell>
          <cell r="K84">
            <v>0</v>
          </cell>
          <cell r="L84">
            <v>0</v>
          </cell>
        </row>
        <row r="85">
          <cell r="H85">
            <v>0</v>
          </cell>
          <cell r="I85">
            <v>8.8683600000000005E-3</v>
          </cell>
          <cell r="J85">
            <v>0</v>
          </cell>
          <cell r="K85">
            <v>0</v>
          </cell>
          <cell r="L85">
            <v>0</v>
          </cell>
        </row>
        <row r="86">
          <cell r="H86">
            <v>0</v>
          </cell>
          <cell r="I86">
            <v>0</v>
          </cell>
          <cell r="J86">
            <v>0</v>
          </cell>
          <cell r="K86">
            <v>0</v>
          </cell>
          <cell r="L86">
            <v>0</v>
          </cell>
        </row>
        <row r="87">
          <cell r="H87">
            <v>0</v>
          </cell>
          <cell r="I87">
            <v>0</v>
          </cell>
          <cell r="J87">
            <v>4.7779199999999997E-3</v>
          </cell>
          <cell r="K87">
            <v>0</v>
          </cell>
          <cell r="L87">
            <v>0</v>
          </cell>
        </row>
        <row r="88">
          <cell r="H88">
            <v>2.725E-3</v>
          </cell>
          <cell r="I88">
            <v>2.1818200000000001E-3</v>
          </cell>
          <cell r="J88">
            <v>0</v>
          </cell>
          <cell r="K88">
            <v>0</v>
          </cell>
          <cell r="L88">
            <v>0</v>
          </cell>
        </row>
        <row r="105">
          <cell r="H105">
            <v>0.11548327999999999</v>
          </cell>
          <cell r="I105">
            <v>0.11697995</v>
          </cell>
          <cell r="J105">
            <v>0.29107223999999998</v>
          </cell>
          <cell r="K105">
            <v>0</v>
          </cell>
          <cell r="L105">
            <v>0</v>
          </cell>
        </row>
        <row r="109">
          <cell r="H109">
            <v>0</v>
          </cell>
          <cell r="I109">
            <v>0</v>
          </cell>
          <cell r="J109">
            <v>0</v>
          </cell>
          <cell r="K109">
            <v>0</v>
          </cell>
          <cell r="L109">
            <v>0</v>
          </cell>
        </row>
        <row r="110">
          <cell r="H110">
            <v>5.3106686759825035</v>
          </cell>
          <cell r="I110">
            <v>5.963491534246244</v>
          </cell>
          <cell r="J110">
            <v>5.8241786364543326</v>
          </cell>
          <cell r="K110">
            <v>7.0847798734005885</v>
          </cell>
          <cell r="L110">
            <v>7.5529232266695274</v>
          </cell>
        </row>
        <row r="111">
          <cell r="H111">
            <v>0</v>
          </cell>
          <cell r="I111">
            <v>0</v>
          </cell>
          <cell r="J111">
            <v>0</v>
          </cell>
          <cell r="K111">
            <v>0</v>
          </cell>
          <cell r="L111">
            <v>0</v>
          </cell>
        </row>
        <row r="112">
          <cell r="H112">
            <v>8.2180596443576642E-3</v>
          </cell>
          <cell r="I112">
            <v>4.1345E-2</v>
          </cell>
          <cell r="J112">
            <v>3.4379002203569334E-2</v>
          </cell>
          <cell r="K112">
            <v>0.70310306256815769</v>
          </cell>
          <cell r="L112">
            <v>0.89355204742035987</v>
          </cell>
        </row>
        <row r="113">
          <cell r="H113">
            <v>3.2369391888566557</v>
          </cell>
          <cell r="I113">
            <v>3.2219789983140044</v>
          </cell>
          <cell r="J113">
            <v>2.8200862893186893</v>
          </cell>
          <cell r="K113">
            <v>2.2690274672306203</v>
          </cell>
          <cell r="L113">
            <v>2.3269263217961171</v>
          </cell>
        </row>
        <row r="114">
          <cell r="H114">
            <v>0.58660520551648376</v>
          </cell>
          <cell r="I114">
            <v>0.59173364743975188</v>
          </cell>
          <cell r="J114">
            <v>0.68015040202340782</v>
          </cell>
          <cell r="K114">
            <v>0.6638651266519916</v>
          </cell>
          <cell r="L114">
            <v>0.6808049966950992</v>
          </cell>
        </row>
        <row r="115">
          <cell r="H115">
            <v>0</v>
          </cell>
          <cell r="I115">
            <v>0</v>
          </cell>
          <cell r="J115">
            <v>0</v>
          </cell>
          <cell r="K115">
            <v>0</v>
          </cell>
          <cell r="L115">
            <v>0</v>
          </cell>
        </row>
        <row r="116">
          <cell r="H116">
            <v>0</v>
          </cell>
          <cell r="I116">
            <v>0</v>
          </cell>
          <cell r="J116">
            <v>0</v>
          </cell>
          <cell r="K116">
            <v>0</v>
          </cell>
          <cell r="L116">
            <v>0</v>
          </cell>
        </row>
        <row r="117">
          <cell r="H117">
            <v>0</v>
          </cell>
          <cell r="I117">
            <v>0</v>
          </cell>
          <cell r="J117">
            <v>0</v>
          </cell>
          <cell r="K117">
            <v>0</v>
          </cell>
          <cell r="L117">
            <v>0</v>
          </cell>
        </row>
        <row r="118">
          <cell r="H118">
            <v>0</v>
          </cell>
          <cell r="I118">
            <v>0</v>
          </cell>
          <cell r="J118">
            <v>0</v>
          </cell>
          <cell r="K118">
            <v>0</v>
          </cell>
          <cell r="L118">
            <v>0</v>
          </cell>
        </row>
        <row r="119">
          <cell r="H119">
            <v>0</v>
          </cell>
          <cell r="I119">
            <v>0</v>
          </cell>
          <cell r="J119">
            <v>0</v>
          </cell>
          <cell r="K119">
            <v>0</v>
          </cell>
          <cell r="L119">
            <v>0</v>
          </cell>
        </row>
        <row r="120">
          <cell r="H120">
            <v>0</v>
          </cell>
          <cell r="I120">
            <v>0</v>
          </cell>
          <cell r="J120">
            <v>0</v>
          </cell>
          <cell r="K120">
            <v>0</v>
          </cell>
          <cell r="L120">
            <v>0</v>
          </cell>
        </row>
        <row r="121">
          <cell r="H121">
            <v>0</v>
          </cell>
          <cell r="I121">
            <v>0</v>
          </cell>
          <cell r="J121">
            <v>0</v>
          </cell>
          <cell r="K121">
            <v>0</v>
          </cell>
          <cell r="L121">
            <v>0</v>
          </cell>
        </row>
        <row r="122">
          <cell r="H122">
            <v>0</v>
          </cell>
          <cell r="I122">
            <v>0</v>
          </cell>
          <cell r="J122">
            <v>0</v>
          </cell>
          <cell r="K122">
            <v>0</v>
          </cell>
          <cell r="L122">
            <v>0</v>
          </cell>
        </row>
        <row r="139">
          <cell r="H139">
            <v>9.1424311300000003</v>
          </cell>
          <cell r="I139">
            <v>9.8883334299999994</v>
          </cell>
          <cell r="J139">
            <v>9.3587943299999985</v>
          </cell>
          <cell r="K139">
            <v>10.720775529851357</v>
          </cell>
          <cell r="L139">
            <v>11.454206592581105</v>
          </cell>
        </row>
        <row r="189">
          <cell r="H189">
            <v>5.9586167965074432E-2</v>
          </cell>
          <cell r="I189">
            <v>5.9404093163105687E-2</v>
          </cell>
          <cell r="J189">
            <v>6.7924759811456292E-2</v>
          </cell>
          <cell r="K189">
            <v>7.1053290136615654E-2</v>
          </cell>
          <cell r="L189">
            <v>7.1053290136615654E-2</v>
          </cell>
        </row>
      </sheetData>
      <sheetData sheetId="5">
        <row r="75">
          <cell r="G75">
            <v>-21.809540586458937</v>
          </cell>
        </row>
      </sheetData>
      <sheetData sheetId="6">
        <row r="7">
          <cell r="G7">
            <v>1</v>
          </cell>
          <cell r="H7">
            <v>1.0244988864142539</v>
          </cell>
          <cell r="I7">
            <v>1.0381070310155818</v>
          </cell>
          <cell r="J7">
            <v>1.0517151756169099</v>
          </cell>
          <cell r="K7">
            <v>1.0740714131762341</v>
          </cell>
          <cell r="L7">
            <v>1.1001162986782227</v>
          </cell>
        </row>
        <row r="631">
          <cell r="H631">
            <v>-51.750479999266091</v>
          </cell>
          <cell r="I631">
            <v>-54.736253268168312</v>
          </cell>
          <cell r="J631">
            <v>-50.506892527890884</v>
          </cell>
          <cell r="K631">
            <v>-52.190878619404579</v>
          </cell>
          <cell r="L631">
            <v>-54.664472400856887</v>
          </cell>
        </row>
        <row r="663">
          <cell r="H663">
            <v>11.43174868049484</v>
          </cell>
          <cell r="I663">
            <v>11.817113218361134</v>
          </cell>
          <cell r="J663">
            <v>19.746696267089298</v>
          </cell>
          <cell r="K663">
            <v>23.021381170307968</v>
          </cell>
          <cell r="L663">
            <v>23.357833596989167</v>
          </cell>
        </row>
      </sheetData>
      <sheetData sheetId="7">
        <row r="7">
          <cell r="H7">
            <v>860.64736494583178</v>
          </cell>
          <cell r="I7">
            <v>901.4769226578253</v>
          </cell>
          <cell r="J7">
            <v>928.95327656481231</v>
          </cell>
          <cell r="K7">
            <v>949.38437740390225</v>
          </cell>
          <cell r="L7">
            <v>963.25942144525368</v>
          </cell>
        </row>
        <row r="201">
          <cell r="G201">
            <v>860.64736494583178</v>
          </cell>
          <cell r="H201">
            <v>901.4769226578253</v>
          </cell>
          <cell r="I201">
            <v>928.95327656481231</v>
          </cell>
          <cell r="J201">
            <v>949.38437740390225</v>
          </cell>
          <cell r="K201">
            <v>963.25942144525368</v>
          </cell>
        </row>
        <row r="202">
          <cell r="G202">
            <v>297.81718190620074</v>
          </cell>
        </row>
        <row r="203">
          <cell r="G203">
            <v>226.62198523555949</v>
          </cell>
        </row>
        <row r="204">
          <cell r="G204">
            <v>169.08021074388432</v>
          </cell>
        </row>
        <row r="205">
          <cell r="G205">
            <v>0.19939876662384715</v>
          </cell>
        </row>
        <row r="206">
          <cell r="G206">
            <v>82.765066852139796</v>
          </cell>
        </row>
        <row r="207">
          <cell r="G207">
            <v>15.108502064534626</v>
          </cell>
        </row>
        <row r="208">
          <cell r="G208">
            <v>9.6502261835778285</v>
          </cell>
        </row>
        <row r="209">
          <cell r="G209">
            <v>1.4640594788423977</v>
          </cell>
        </row>
        <row r="210">
          <cell r="G210">
            <v>6.0561408822847236</v>
          </cell>
        </row>
        <row r="211">
          <cell r="G211">
            <v>34.47125290902666</v>
          </cell>
        </row>
        <row r="212">
          <cell r="G212">
            <v>1.1039263282242053</v>
          </cell>
        </row>
        <row r="213">
          <cell r="G213">
            <v>0.63274905481995813</v>
          </cell>
        </row>
        <row r="214">
          <cell r="G214">
            <v>5.3410336523268272E-2</v>
          </cell>
        </row>
        <row r="215">
          <cell r="G215">
            <v>8.1172821226019582</v>
          </cell>
        </row>
        <row r="216">
          <cell r="G216">
            <v>4.0240680801536897</v>
          </cell>
        </row>
        <row r="217">
          <cell r="G217">
            <v>3.4819040008341107</v>
          </cell>
        </row>
        <row r="218">
          <cell r="G218">
            <v>0</v>
          </cell>
        </row>
        <row r="219">
          <cell r="G219">
            <v>0</v>
          </cell>
        </row>
        <row r="220">
          <cell r="G220">
            <v>0</v>
          </cell>
        </row>
        <row r="221">
          <cell r="G221">
            <v>0</v>
          </cell>
        </row>
        <row r="233">
          <cell r="H233"/>
          <cell r="I233">
            <v>0</v>
          </cell>
          <cell r="J233">
            <v>0</v>
          </cell>
          <cell r="K233">
            <v>0</v>
          </cell>
          <cell r="L233">
            <v>-5.8039745363994797</v>
          </cell>
        </row>
        <row r="265">
          <cell r="H265"/>
          <cell r="I265">
            <v>0</v>
          </cell>
          <cell r="J265">
            <v>0</v>
          </cell>
          <cell r="K265">
            <v>0</v>
          </cell>
          <cell r="L265">
            <v>-2.1775571163904734</v>
          </cell>
        </row>
        <row r="297">
          <cell r="H297"/>
          <cell r="I297">
            <v>0</v>
          </cell>
          <cell r="J297">
            <v>0</v>
          </cell>
          <cell r="K297">
            <v>0</v>
          </cell>
          <cell r="L297">
            <v>0</v>
          </cell>
        </row>
        <row r="329">
          <cell r="L329">
            <v>990.0144001272763</v>
          </cell>
        </row>
      </sheetData>
      <sheetData sheetId="8"/>
      <sheetData sheetId="9"/>
      <sheetData sheetId="10"/>
      <sheetData sheetId="11">
        <row r="7">
          <cell r="J7">
            <v>268.24601667949491</v>
          </cell>
        </row>
        <row r="8">
          <cell r="J8">
            <v>243.79090173519486</v>
          </cell>
        </row>
        <row r="9">
          <cell r="J9">
            <v>180.53440799429359</v>
          </cell>
        </row>
        <row r="10">
          <cell r="J10">
            <v>7.6600899739675867</v>
          </cell>
        </row>
        <row r="11">
          <cell r="J11">
            <v>99.608956662973966</v>
          </cell>
        </row>
        <row r="12">
          <cell r="J12">
            <v>43.812806131127651</v>
          </cell>
        </row>
        <row r="13">
          <cell r="J13">
            <v>33.116638375029275</v>
          </cell>
        </row>
        <row r="14">
          <cell r="J14">
            <v>9.4940274448363784</v>
          </cell>
        </row>
        <row r="15">
          <cell r="J15">
            <v>15.044125562886432</v>
          </cell>
        </row>
        <row r="16">
          <cell r="J16">
            <v>46.354917721396681</v>
          </cell>
        </row>
        <row r="17">
          <cell r="J17">
            <v>10.359004210140208</v>
          </cell>
        </row>
        <row r="18">
          <cell r="J18">
            <v>14.722412528496614</v>
          </cell>
        </row>
        <row r="19">
          <cell r="J19">
            <v>0.31276830796123112</v>
          </cell>
        </row>
        <row r="20">
          <cell r="J20">
            <v>0.44612408791803038</v>
          </cell>
        </row>
        <row r="21">
          <cell r="J21">
            <v>9.895683461546545</v>
          </cell>
        </row>
        <row r="22">
          <cell r="J22">
            <v>5.9325888946022349</v>
          </cell>
        </row>
        <row r="23">
          <cell r="J23">
            <v>0</v>
          </cell>
        </row>
        <row r="24">
          <cell r="J24">
            <v>0.22524682042874938</v>
          </cell>
        </row>
        <row r="25">
          <cell r="J25">
            <v>0.45768353498117459</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990.0144001272763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Raw_Data"/>
      <sheetName val="Calc_Valuation"/>
      <sheetName val="Output_Summary"/>
      <sheetName val="Lookup"/>
      <sheetName val="Checks"/>
    </sheetNames>
    <sheetDataSet>
      <sheetData sheetId="0"/>
      <sheetData sheetId="1"/>
      <sheetData sheetId="2"/>
      <sheetData sheetId="3"/>
      <sheetData sheetId="4">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J21">
            <v>9.1348125025662537</v>
          </cell>
        </row>
        <row r="22">
          <cell r="J22">
            <v>10.224553133915512</v>
          </cell>
        </row>
        <row r="23">
          <cell r="J23">
            <v>0.16183439327856242</v>
          </cell>
        </row>
        <row r="24">
          <cell r="J24">
            <v>0</v>
          </cell>
        </row>
        <row r="25">
          <cell r="J25">
            <v>3.3212635901010278E-2</v>
          </cell>
        </row>
        <row r="26">
          <cell r="J26">
            <v>0</v>
          </cell>
        </row>
        <row r="27">
          <cell r="J27">
            <v>0</v>
          </cell>
        </row>
        <row r="28">
          <cell r="J28">
            <v>0</v>
          </cell>
        </row>
        <row r="29">
          <cell r="J29">
            <v>0</v>
          </cell>
        </row>
        <row r="30">
          <cell r="J30">
            <v>0</v>
          </cell>
        </row>
        <row r="31">
          <cell r="J31">
            <v>0</v>
          </cell>
        </row>
        <row r="32">
          <cell r="J32">
            <v>0</v>
          </cell>
        </row>
      </sheetData>
      <sheetData sheetId="5"/>
      <sheetData sheetId="6"/>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1T12:22:28.682"/>
    </inkml:context>
    <inkml:brush xml:id="br0">
      <inkml:brushProperty name="width" value="0.10583" units="cm"/>
      <inkml:brushProperty name="height" value="0.10583" units="cm"/>
      <inkml:brushProperty name="color" value="#FFC000"/>
    </inkml:brush>
  </inkml:definitions>
  <inkml:trace contextRef="#ctx0" brushRef="#br0">10194 17546 1408,'0'0'608,"0"-9"-320,0 9-64,0 0 288,0 0-192,0 0-96,0 0-64,0-10-32,0 10-64,0 0 32,0 0 0,10-10 96,-10 0-32,11-9 64,-11 10 0,10-11 96,0 10-160,10-10-32,1 11-64,-11-20-64,10-1 96,0 1 0,1 0 32,-1-10 64,0 11-96,11-12-64,-11 1 64,0 0 64,10 0-64,-10 1-64,11-11 64,-11 10 0,1 1-32,9-10-64,1 8 32,-1-8-128,1 0 64,-1 8 32,-10 0 64,11-7-32,-1 7 64,1 2-128,-11-11 0,11 11 96,-1-12 32,0 2-32,0 9 32,-10-1 0,11 3 32,10-3 0,-11 1 64,1 0-96,-1 1 0,1-2 32,-1 1 64,1 2-96,-1-4 0,1 4 32,-1 6 0,1-8 0,-11 11 0,10-12 64,-10 2 32,20 10-96,-9-2-96,-1 1 0,11 1-32,0-3 0,-11 3 64,1-1-32,9-1-32,1 1 32,-11 9 32,1 2-32,10-2-32,-1 0 32,0 1 32,-10-1-32,11 10 64,-10-9-64,9 9-32,1-19 96,-11 19 64,11-10-64,-10 12 0,-1-2-32,11 10-64,-11-10 32,11 10 32,-11 0-32,0 0-32,10-10 32,-9 10-32,-1 0 64,1 0 32,-1 0 32,1 0 0,-1 10-64,-9 0 32,9 0-128,11-2 0,-11 2 32,1 0 64,-1 10 32,1-10 32,-11-1-64,10 1 32,0 0-64,-10-1-32,11 1 96,-1 10 0,-9-1-32,9 1 32,-9 0 0,-1-2 96,0 2-96,11 0 0,-1-2-32,-9 3-64,9-2 32,1 0-32,-11 0 64,10 2 32,-9 7-32,-1-8-64,11-1 96,-12 11 0,1-12 32,11 11 0,-11 0-160,0 1 32,11-2 64,-21 1 32,10 2-32,11-4-64,-1-7 96,-9 11 0,9 6 32,-10-7 0,11 0-64,-11-11-64,1 9 32,9 2-32,-10 9 64,1-10 32,9 1-128,0-1 32,-10-1 0,11 2 64,-11-1-96,0 0-64,11 0 64,-1 11 64,1-12 0,-1-8-32,1 9 32,-1-9 32,1 9-32,9 0 64,-9 1-64,-1-2 64,11 1-128,-11 1 0,10 0 32,1-12 64,-1 12-32,1-10 64,0 8-128,-1-9 0,1 2 32,10-2 0,-10 0 0,-1-9 0,11 0 0,-9 7 64,7-6-32,1-1-32,11 0 32,0 0-32,-10-1 0,0-9 0,-10 0 0,9 9 64,1-9 32,-1 0 32,1-9-160,-10 9 32,9 0 0,-9-9 0,10-1 0,-21 0 64,21 10-32,0-21 64,-10 11-128,-1-7 0,-1-2 32,2-1 0,-1 1 0,1-2 0,0 2-96,-1-9 64,-9-3 96,-1 12 32,11-9-128,0-1 32,-11-2 0,1 13 64,-1-11-32,1 9-32,-2 0-64,1-8 32,1-2 32,-1 1 0,1 0 0,-11-10 64,1 10-32,9 0 64,-20 9-128,11-9 0,9-1 32,-10 2 0,11-1 0,-1 9 0,-9 0 0,9 1 0,-9-20-96,9 9 64,-10 2 32,12-2 0,-4 1 0,3 1 0,-11-1 0,11 8 64,-11 1-96,0-17-64,11 6-32,-1 12 96,1 0 0,-1 0 96,1 0-32,-1-2-32,1 2 32,-11 0 32,21-9-96,-11 7 0,1-7 32,-2 8 64,-8 2-96,9-13 0,1 12 32,-1 0 0,1 0 0,-1-2 64,11 3-96,-11-2 0,1-10 32,9 12 0,1-2 0,-11 0 0,1 1 0,10-1 64,-12 1-96,2 0 0,-1-1 32,11-10 0,-11 22-96,1-12 64,-1 10 32,-9-10 64,9 11-32,1-11-32,9 11 32,-9-1-32,-1-9 0,-9 19 0,-1-10-96,10 10 64,1-10 32,-2 10 0,2-10 0,-11 10 0,11 0-96,-1 0 64,1 0 32,-11 10 64,0-10-32,11 10-32,-1-10 32,-9 10 32,9-1-96,-10 1-64,1 0 64,-1-1 64,0 1 0,11 0-32,-1 9-64,-9 1 32,0 0 32,-3-2 0,3 2 64,-1 0 32,0-1-32,1-9 32,-1 19 0,0-10 32,1 11 0,-1-10 0,0 8-64,1-8-64,-1 8 32,0-7 32,-9 8-32,9-1 64,-10 3-64,10-13 64,-10 12-64,1-12 64,19 13-64,-10-13-32,1 1 32,-11 10 32,10 1-96,1-11 0,-1 10 96,-1 1 32,-9-1-32,11-1-64,-1-8 32,0 1 31,-9 6-94,9 3-1,10-11 32,-9 2 63,-11-2-31,10-1 64,-10 2 0,11 1 32,-1-11-64,-10 17-64,11 3-64,-1-10 32,0-1 32,1 1 0,-1-2 0,0 2 64,11 0-32,-11-1-32,0 1 32,1-1-32,10 0-96,-13 11 64,13-10 32,-1 8 64,-9-18-96,9 10 0,-9-1 32,-1 1 64,10-10-32,1 8-32,-1 2 32,1 0-32,-1-10 0,1 9 64,-1-1-96,1 2 0,-1 0 32,1-10 0,-2 10 0,2-10 64,-1-2-32,1 2 64,-1 10-64,11-10-32,-11 0 32,1 0-32,10 0 0,-11-2 0,1-8 0,-1 10 0,1-10-96,-1 0 64,1 0 32,-1 0 64,0 0 32,-10 0 32,21 0-160,-21 0-32,10 0 96,1 0 32,-11-10-96,11 10-32,-11-8 96,0 8 32,11-10 0,-11 10 32,1-10-128,-1 0 0,10 0 32,-9-1 0,-1 2 64,0 9 96,1-10-224,-11 2 0,10 8 0,-1-10 96,2 0 0,-1 0-32,0 10 32,1-10-32,-1 10 0,0-9 0,1 9 0,-11-11 64,0 11-32,10 0-32,-9 0 32,-1 0-32,0-10-288,0 10-64,-10 0-671,10 0-289,-10 10-1696,0 1-2112,-20-2 1344</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5"/>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14778 15297 1024,'0'0'416,"0"7"-192,-7-7 0,7 7 288,0-7-192,-7 7-32,7 0-32,0-1 0,-7 8-128,7 0-96,0 0 64,-6-2 64,6 9 224,-7-8 128,0 9-192,7-9-96,-7 8-128,-1-7 0,1-2-64,0 11-32,7-10 32,-7 1-32,1-7 0,6 5 64,-7-5-96,7 7-64,-7-14 128,7 7 96,0 1-32,0-8 0,-7 0-96,7 0-32</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6"/>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14694 15750 5824,'0'-15'32,"7"2"-96,0-1 32,-7-5 32,7 6 64,6-9-96,-13 7 0,14 1 32,-7-6 0,0 13 0,-7-5 0,8-3-96,0-5 64,-1 13 32,0-7 64,-1 14-96,1 0 0,-7 0-32,7 0 0,0 7 64,-7 0 64,7 0-32,-7 6-32,0 2 32,0 4 32,0-5-32,0 6-32,0 2-64,0 0 32,0-2 96,0-8 32,0 9-128,0-8 32,0 2 0,0-8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36.981"/>
    </inkml:context>
    <inkml:brush xml:id="br0">
      <inkml:brushProperty name="width" value="0.10583" units="cm"/>
      <inkml:brushProperty name="height" value="0.10583" units="cm"/>
      <inkml:brushProperty name="color" value="#FFC000"/>
    </inkml:brush>
  </inkml:definitions>
  <inkml:trace contextRef="#ctx0" brushRef="#br0">10194 17544 1408,'0'0'608,"0"-9"-320,0 9-64,0 0 288,0 0-192,0 0-96,0 0-64,0-10-32,0 10-64,0 0 32,0 0 0,10-10 96,-10 0-32,11-8 64,-11 9 0,10-12 96,0 11-160,10-10-32,1 11-64,-11-19-64,10-2 96,0 0 0,1 3 32,-1-14 64,0 14-96,11-14-64,-11 2 64,0 2 64,10-4-64,-10 4-64,11-13 64,-11 13 0,1-4-32,9-6-64,1 7 32,-1-7-128,1-3 64,-1 12 32,-10-2 64,11-7-32,-1 6 64,1 4-128,-11-12 0,11 10 96,-1-10 32,0 1-32,0 10 32,-10-2 0,11 2 32,10-1 0,-11-1 64,1 2-96,-1-1 0,1 0 32,-1 1 64,1-1-96,-1-1 0,1 2 32,-1 9 0,1-11 0,-11 12 0,10-12 64,-10 2 32,20 9-96,-9 0-96,-1 0 0,11-1-32,0 2 0,-11-2 64,1 1-32,9 0-32,1 0 32,-11 9 32,1 0-32,10 2-32,-1-2 32,0 0 32,-10 1-32,11 9 64,-10-9-64,9 9-32,1-19 96,-11 19 64,11-10-64,-10 11 0,-1 0-32,11 9-64,-11-10 32,11 10 32,-11 0-32,0 0-32,10-10 32,-9 10-32,-1 0 64,1 0 32,-1 0 32,1 0 0,-1 10-64,-9 0 32,9-1-128,11 0 0,-11 1 32,1 0 64,-1 10 32,1-11 32,-11 1-64,10 0 32,0-1-64,-10 1-32,11 0 96,-1 9 0,-9 1-32,9 0 32,-9-2 0,-1 2 96,0 0-96,11-1 0,-1 0-32,-9 1-64,9-1 32,1 1-32,-11 0 64,10-2 32,-9 12-32,-1-11-64,11 1 96,-12 9 0,1-10 32,11 11 0,-11-2-160,0 2 32,11-2 64,-21 2 32,10-1-32,11 0-64,-1-10 96,-9 11 0,9 8 32,-10-8 0,11-1-64,-11-10-64,1 10 32,9 1-32,-10 8 64,1-8 32,9-1-128,0 0 32,-10 0 0,11 1 64,-11-3-96,0 3-64,11-1 64,-1 11 64,1-12 0,-1-8-32,1 8 32,-1-7 32,1 7-32,9 1 64,-9 1-64,-1-1 64,11-1-128,-11 3 0,10-3 32,1-9 64,-1 12-32,1-13 64,0 11-128,-1-10 0,1 2 32,10-2 0,-10-1 0,-1-8 0,11 0 0,-9 11 64,7-11-32,1-1-32,11 0 32,0 1-32,-10-1 0,0-9 0,-10 0 0,9 10 64,1-10 32,-1 0 32,1-10-160,-10 10 32,9 0 0,-9-9 0,10-1 0,-21 1 64,21 9-32,0-19 64,-10 8-128,-1-9 0,-1 2 32,2-1 0,-1-1 0,1 0 0,0 0-96,-1-8 64,-9-2 96,-1 10 32,11-8-128,0-1 32,-11-1 0,1 11 64,-1-9-32,1 7-32,-2 1-64,1-8 32,1-2 32,-1 2 0,1-2 0,-11-9 64,1 10-32,9 1 64,-20 7-128,11-6 0,9-3 32,-10 1 0,11 0 0,-1 10 0,-9-1 0,9 0 0,-9-18-96,9 8 64,-10 1 32,12 0 0,-4 0 0,3 0 0,-11 0 0,11 9 64,-11 2-96,0-22-64,11 11-32,-1 10 96,1-1 0,-1 1 96,1-1-32,-1 0-32,1 2 32,-11-2 32,21-9-96,-11 9 0,1-9 32,-2 10 64,-8-1-96,9-8 0,1 8 32,-1 0 0,1 1 0,-1-1 64,11 1-96,-11 0 0,1-11 32,9 10 0,1 2 0,-11-2 0,1 0 0,10 1 64,-12 0-96,2-1 0,-1 1 32,11-11 0,-11 21-96,1-10 64,-1 9 32,-9-10 64,9 10-32,1-9-32,9 10 32,-9-1-32,-1-10 0,-9 20 0,-1-9-96,10 9 64,1-10 32,-2 10 0,2-10 0,-11 10 0,11 0-96,-1 0 64,1 0 32,-11 10 64,0-10-32,11 10-32,-1-10 32,-9 9 32,9 1-96,-10 0-64,1 0 64,-1-1 64,0 1 0,11-1-32,-1 11-64,-9 0 32,0-1 32,-3 0 0,3 1 64,-1-1 32,0 1-32,1-11 32,-1 20 0,0-9 32,1 10 0,-1-12 0,0 12-64,1-11-64,-1 10 32,0-9 32,-9 9-32,9 1 64,-10-2-64,10-8 64,-10 9-64,1-10 64,19 10-64,-10-9-32,1 0 32,-11 8 32,10 2-96,1-11 0,-1 10 96,-1 0 32,-9 1-32,11-2-64,-1-8 32,0 0 31,-9 8-94,9 2-1,10-11 32,-9 1 63,-11-1-31,10 0 64,-10 1 0,11 0 32,-1-10-64,-10 19-64,11 0-64,-1-10 32,0 0 32,1 2 0,-1-3 0,0 2 64,11-2-32,-11 1-32,0 2 32,1-2-32,10 0-96,-13 10 64,13-9 32,-1 9 64,-9-19-96,9 8 0,-9 3 32,-1-2 64,10-9-32,1 8-32,-1 2 32,1 1-32,-1-12 0,1 10 64,-1 0-96,1 0 0,-1 2 32,1-11 0,-2 9 0,2-10 64,-1 0-32,1 1 64,-1 11-64,11-11-32,-11-1 32,1 0-32,10 1 0,-11-1 0,1-9 0,-1 10 0,1-10-96,-1 0 64,1 0 32,-1 0 64,0 0 32,-10 0 32,21 0-160,-21 0-32,10 0 96,1 0 32,-11-10-96,11 10-32,-11-9 96,0 9 32,11-10 0,-11 10 32,1-9-128,-1 0 0,10-1 32,-9-1 0,-1 1 64,0 10 96,1-10-224,-11 1 0,10 9 0,-1-9 96,2-1 0,-1 1-32,0 9 32,1-10-32,-1 10 0,0-10 0,1 10 0,-11-11 64,0 11-32,10 0-32,-9 0 32,-1 0-32,0-9-288,0 9-64,-10 0-671,10 0-289,-10 9-1696,0 2-2112,-20-1 1344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1T12:22:28.681"/>
    </inkml:context>
    <inkml:brush xml:id="br0">
      <inkml:brushProperty name="width" value="0.10583" units="cm"/>
      <inkml:brushProperty name="height" value="0.10583" units="cm"/>
      <inkml:brushProperty name="color" value="#587B7C"/>
    </inkml:brush>
  </inkml:definitions>
  <inkml:trace contextRef="#ctx0" brushRef="#br0">10193 15716 1408,'0'0'608,"0"-3"-320,0 3-64,0 0 288,0 0-192,0 0-96,0 0-64,0-2-32,0 2-64,0 0 32,0 0 0,11-2 96,-11-1-32,10-2 64,-10 3 0,10-4 96,0 4-160,10-3-32,1 2-64,-11-5-64,10 0 96,1 1 0,-1-1 32,0-2 64,1 3-96,9-4-64,-10 1 64,0 0 64,10 0-64,-10 1-64,11-4 64,-11 1 0,1 3-32,9-4-64,1 2 32,-1 0-128,1-2 64,-1 2 32,-10 1 64,11-4-32,-1 4 64,1 0-128,-11-2 0,11 2 96,-1-3 32,0 1-32,0 2 32,-10-1 0,11 0 32,10 1 0,-11 0 64,1 0-96,-1 1 0,1-2 32,-1 1 64,1 0-96,-1-2 0,1 3 32,-1 1 0,1-2 0,-11 2 0,10-2 64,-10-1 32,20 4-96,-9 1-96,-1-2 0,11-1-32,0 1 0,-11 0 64,1 1-32,9 0-32,1-1 32,-11 3 32,1 1-32,10-2-32,-1 1 32,0 0 32,-10 0-32,11 2 64,-11-2-64,11 2-32,0-3 96,-11 3 64,11-3-64,-11 3 0,1 1-32,10 2-64,-11-3 32,11 3 32,-11 0-32,0 0-32,10-2 32,-9 2-32,-1 0 64,1 0 32,-1 0 32,1 0 0,-1 2-64,-9 1 32,9-1-128,11 1 0,-11-1 32,1 2 64,-1 1 32,1-2 32,-11-2-64,9 2 32,2 0-64,-11-1-32,11 1 96,-1 2 0,-9 0-32,9 0 32,-10 1 0,1-2 96,-1 1-96,11 0 0,-1 0-32,-10 0-64,11 0 32,-1 0-32,-9 0 64,9 0 32,-9 4-32,-1-4-64,10 1 96,-10 0 0,0-1 32,10 2 0,-9 1-160,-1 0 32,11 0 64,-21-1 32,10 1-32,11-1-64,-1-2 96,-10 4 0,11 1 32,-11-2 0,11 0-64,-11-3-64,0 3 32,11-2-32,-11 4 64,1-2 32,9 0-128,-1 0 32,-8-1 0,9 2 64,-9-2-96,-1 0-64,10 1 64,1 2 64,-1-2 0,1-3-32,-1 3 32,1-4 32,-1 4-32,11-1 64,-10 0-64,-1 1 64,11 1-128,-11-1 0,10 0 32,0-3 64,1 3-32,0-3 64,-1 1-128,1 0 0,0-1 32,10 0 0,-11 0 0,1-2 0,10-1 0,-11 3 64,10-3-32,1 1-32,10-1 32,0 1-32,-10 1 0,0-4 0,-11 0 0,11 2 64,0-2 32,-1 0 32,0-2-160,-9 2 32,10 0 0,-10-4 0,9 1 0,-19 1 64,20 2-32,0-5 64,-11 2-128,1-1 0,-2-1 32,1-1 0,1 1 0,-1 0 0,1 1-96,0-4 64,-11 0 96,1 3 32,9-3-128,1 1 32,-10-1 0,-1 2 64,1-2-32,-1 3-32,0 0-64,0-2 32,0 0 32,1-1 0,-1 0 0,-9-2 64,-1 2-32,11 1 64,-21 2-128,10-2 0,11-2 32,-11 2 0,10-1 0,1 3 0,-11-1 0,11 1 0,-11-5-96,11 4 64,-11-2 32,11 0 0,-2 1 0,1-1 0,-9 0 0,9 2 64,-10 1-96,1-5-64,9 2-32,1 3 96,-1 0 0,1 0 96,-1 0-32,1 0-32,-1-1 32,-9 1 32,19-2-96,-9 3 0,-1-4 32,0 3 64,-10-1-96,10-2 0,1 3 32,-1 0 0,1 0 0,-1 0 64,11 0-96,-10 0 0,-1-2 32,11 2 0,-1 0 0,-9 0 0,-1-1 0,11 1 64,-11 0-96,0 1 0,0-1 32,11-4 0,-10 6-96,-1-2 64,1 3 32,-11-3 64,10 3-32,1-4-32,10 4 32,-11-1-32,1-2 0,-11 5 0,0-3-96,11 3 64,-1-2 32,0 2 0,0-3 0,-10 3 0,11 0-96,-1 0 64,1 0 32,-11 3 64,1-3-32,9 2-32,1-2 32,-11 3 32,10 0-96,-9-1-64,-1 1 64,0-1 64,1 1 0,9 0-32,1 2-64,-11-1 32,1 1 32,-2 0 0,1 2 64,0-2 32,1-1-32,-1-1 32,0 4 0,1-1 32,-1 1 0,0-1 0,1 0-64,-1 0-64,0 1 32,1-2 32,-11 2-32,10 1 64,-10 0-64,11-2 64,-11 2-64,0-3 64,20 2-64,-9-3-32,-1 1 32,-10 3 32,11 0-96,-1-3 0,0 3 96,0 0 32,-10-1-32,10 0-64,0-2 32,1 2 31,-11 0-94,10 1-1,11-3 32,-11 1 63,-10-1-31,10 0 64,-9-1 0,9 0 32,0-1-64,-10 5-64,11 0-64,-1-3 32,0 0 32,1 0 0,-1 0 0,0 2 64,11-3-32,-11 1-32,1 0 32,-1-1-32,11 2-96,-12 1 64,11-1 32,1 1 64,-11-4-96,10 2 0,-9 0 32,-1 0 64,11-3-32,-1 3-32,1 0 32,-1 0-32,1-3 0,-1 4 64,1 0-96,-1-1 0,1 0 32,-1-2 0,0 2 0,0-2 64,0-1-32,1 1 64,-1 2-64,11-2-32,-10-1 32,-1 1-32,11-1 0,-11 1 0,1-3 0,-1 1 0,1-1-96,-1 0 64,1 0 32,-1 0 64,0 0 32,-10 0 32,21 0-160,-21 0-32,10 0 96,1 0 32,-11-1-96,11 1-32,-11-3 96,0 3 32,11-2 0,-11 2 32,1-3-128,-1 1 0,10-1 32,-9 0 0,-1 1 64,0 2 96,1-3-224,-11 1 0,10 2 0,0-3 96,0 0 0,0 1-32,0 2 32,1-3-32,-1 3 0,0-2 0,1 2 0,-11-3 64,0 3-32,10 0-32,-9 0 32,-1 0-32,0-3-288,0 3-64,-10 0-671,10 0-289,-10 3-1696,0 0-2112,-20-1 1344</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78"/>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15063 15647 5760,'0'0'64,"7"-15"-32,-7 1-32,14 0 32,0-6-32,0 0-96,0-2 64,0 2-32,0-1 0,0 1 64,0-1 64,0 0-32,0 1-32,0 6-64,0-7 32,-7 7 96,0 8 32,7-8-128,-7 7-32,0 0 32,0 7 64,-7 0-64,7 0 0,-7 7 96,7 7 32,-7 6-32,0-6-64,-7 7 32,0-1-32,7 8 0,-7-7 0,7 6 0,-7-6 64,7-1-32,-7 8-32,7-14 32,-7-1 32,7-6-32,0 0-32,7-7 32,-7 0 32,7-7-96,-7 0 0,7-6 32,0-7 0,7-2 0,-6 2 64,-3-1-96,9 0-64,0 2 64,0-3 64,0 1 0,7 1 64,-7-1-128,0 7 0,-7 1-32,7-1 0,-7 7 64,7 7 64,-7 0-32,0 0-32,0 7-64,0 7 32,-7-7 32,7 13 64,-7-6-32,0 7-32,0-8 96,0 15 0,-7-7-32,7-1 32,0 1-64,0-7 64,0 7-64,0-7-32,7-8 32,-7 8-32,7-7 0,-7-7 0,7 0 64,0-7-32,7 0-32,-7-6 32,7-9-32,0 9 0,0-8 64,-7 0-96,7 8-64,0 0 128,-7-9 32,7 1-96,-7 8 32,0 6-64,7 0 0,-7 0 64,0 0 0,0 7 0,0 7 0,0 0 64,-7 7 32,7-7-32,-14 6 32,7 8 0,-7 1 96,7-3 32,-7 9 32,7-8-128,-7 2-96,7-2-96,0-6 32,0-8 96,0 8 32,0-14-128,0 0 32,7 0 0,0-7 64,7-6-96,0-1 0,0-6 32,7 5 64,-7-5-32,0-1-32,0 7-64,-2-5 32,2-3 32,7 1 0,-7 8 0,-7-1 0,7 7-96,-7 0 64,0 0 32,0 7 64,0 7-96,0 0-64,-7 7 64,7-1 0,-7 1 96,0 0 96,0 8-128,0-3-32,0 9 0,0-8 64,0-5-32,0 5-32,0-13-64,0 0 32,0 0-32,7-7 0,0 0 128,-7-7 32,14 0-32,0-6-64,0-9 32,7 9-32,0-8 0,0 7 0,-7 0 0,7 2 0,-7-3 0,0 1 64,0 7-96,0-7 0,-7 8-128,7 6 32,-7 0 128,0 6 64,0-6 0,0 7 32,-7 7-64,0 0-32,0 7 96,0-1 0,-7 8-32,7 0 32,-7-8-128,7 1 0,-7 6 32,7-5 64,0-9-96,0-6 0,0-7 96,7 0-32,0-13-32,0-2 96,0 1 0,0-7-192,7 1 0,-7 0 96,7-8 128,0 7-96,7 0-32,-6 2 0,6-3 0,-9 1 0,2 1 64,0 13-96,0-7-64,0 7 64,-7 0 0,7 7 32,-14 14 64,7-7-96,0 7-64,-7-1 128,0 1 32,0 7 0,-7 0-64,7 6 32,-7 1 32,7-7-32,-7 6-32,7-7 32,0 1-32,0 1 0,0-15 0,7 6 64,0-13 32,0-7-128,0 1 32,7-1-64,0-15 0,0 1 64,0 1 64,0 0-96,0-8 0,7 7 32,0 0 0,0 2 0,0-3 64,-7 1-32,0 14-32,7-6 32,-14 6-32,7 7 0,-7 0-96,0 14 64,0-8 32,-7 15 64,0 1 32,0-3 32,0 16-64,-7-8-64,7 8 32,-7-8 32,0 9-32,7-16-32,-7-1 32,7 2 32,0-8-32,0 2-32,7-15 32,-7 0-32,14 0 0,-7-15 0,7-5 0,0-1 64,7 2-32,-7-9-32,0 0-64,0 1 32,1-1 32,6 1 64,-9-1-96,16 2 0,-7-3 32,0 2 0,0 6 0,-7-6 0,7 13-96,-7 7 64,-7 0 32,7 7 64,-7 0-96,0 7 0,-7 14 32,0-1 64,0 1-32,-7 6-32,7 1 96,-7 6 64,0-6-128,0 7-32,0-1 0,7-7 0,-7 2-96,0-9 64,7-1 32,0-5 64,0 0-32,7-8-32,-7 1 32,7-14 32,0 1-32,7-8-32,-7-14 32,14 10 32,-7-11-96,0 2 0,7-7 32,-7 6 0,0 0-96,0 1 0,7-1 128,-14 0 32,14 15-96,-7-1 32,0 0 0,-7 7 0,7 7 0,-7 7 0,0 0 0,-7 7 0,0 6 0,-7 1 0,0 14 0,0-1 64,-7 8-96,7-1 0,0 8 32,-7-10 0,7 2 0,0 7 0,0-13 0,7 7 0,-7-8 0,7-6 64,0-14 32,0 0 32,0-14-64,7-14-192,0 0 0,14-14 128,0 0 128,0 1-96,7-8-96,-7-5 32,7 4 0,-7-5 96,-2 9 32,2-11-192,0 16 0,0-8 96,-7 8 128,7 6-96,0 2-96,-7-3 32,7 1 0,-7 14-64,-7 7 64,7 0 32,-7 7 64,-7 7-32,7 0-32,-7 7 32,-7 13-32,0 8 0,0-1 0,0 0 0,0-1 64,-7 1-32,7 1-32,0-8 32,0-5 32,7-2-96,-7-7-64,7-13 64,0 0 0,0-7 96,7-7 32,-7-14-192,21 8 0,-7-14 32,7-9 32,0 3 32,0-9 64,0 2-96,0 5 0,0 1 32,0 0 0,-7 6 0,7 0 0,-7 1 0,0 14 0,-7-9-96,7 8 64,-7 14 32,0 0 64,0 0-96,0 14 0,1-7 32,-8 21 64,0-1-32,0 7-32,-8 8 32,1-1-32,7-6 0,-7 5 64,7-5-32,-7-8-32,7 0 32,-7-13 32,14-7-192,-7-14 96,7 0 64,0-14 0,8-5-32,6-3 32,0-5-32,-2 2 0,-5 3 64,7 2-96,0 0 0,-7 5 32,0 9 0,7-1 0,-7 0 0,0 7 0,-7 7 0,7 7 0,-7 7 0,0 6 64,-7 2 32,7 12-128,-7 7-32,0-8 32,0 9 64,0 6-64,0-7 0,-7 8-192,7-2-96,0-11-1152,0-3-1600,0-4 448</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79"/>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33099 14073 4928,'0'14'320,"0"-7"0,0 0 0,0 7-96,0-1-64,0 1-64,-7-1-96,7 2 96,0 5 0,0-6-32,-7 7-64,7-8 96,0 8 0,-7 0-32,7-7-128,0 6 32,-7 0-32,7 1 0,0 0 64,0 0 0,0-9 0,0 10 64,-7-1-32,7 6-32,0-7 96,0-5 0,0 5-128,0-6-32,0 0 96,0 5 32,0-13 0,0 9-64,0-1-64,0-7 32,0 7 32,0-1 0,0 0 64,0-6-96,0 7 0,0-6 96,0-1 32,0-7-32,0 6 32,0-6 128,0-6 128,0-1-192,0-1-96,7 1-32,-7-7-32,0 1 0,7 0 0,0-15-96,0 6 64,0-3 32,0-10 64,0 0 32,14 9 96,-7-9-256,0 1 0,0 6 0,0-7 96,7 8-64,-7-7 0,0 5 96,0 3 32,0-2-128,-7 8-32,7-1-64,-7 0 96,7 1 0,-2 6 96,-4 0-96,-1 0 0,0 8 32,0-8 0,0 7 0,-7 0 0,7 7-96,-7 0 64,7 0 96,-7 0 32,0 7-128,7 0 32,-7 7 0,0 6 0,-7 1 0,7-1 0,0 1 0,-7 14 0,7-8 0,-7 1 64,7-1-96,-7 8 0,0-2 32,7 2 64,-7 0-32,7-1-32,-7 1-64,-1-9-32,8 3 128,0-2 32,-7-6 0,7-3 32,0-3-64,0-1-32,0 7 32,0-15 32,0 7-32,0-13-32,0 7-64,0 0 32,0-14 96,7 7 32,-7-7-128,8 1 32,-8-7 0,7-8 64,0-1-32,0-3-32,7-3-64,-7 1 32,0-8 32,7 1 64,-7-2-32,7-4-32,7 5-64,-7 1 32,7 0 32,-7 0 0,0 6 0,0 1 0,0-1-96,0 7 64,0 8 32,-7-1 0,7 0 64,-7 0 32,0 7-128,0 7-32,0-6 32,0 6 0,0 6 32,-7 1 64,7 0-192,-7 14 32,0-1 96,0 1 64,0 7 0,0 6 32,-7-6-128,7 6-64,-7 0 64,0 0 64,7 8 0,-7-9 64,0 3-64,7-2-32,-7-7-64,0 1-32,7 0 64,0-3 64,0 4 0,0-8 64,0-2-64,0 2-32,0 1 32,0-9-32,0-6-96,0 7 64,7-14 32,-7 0 64,7 0-96,0-14-64,0 0 64,0 1 64,0-2 0,0-6-32,7-5 32,0-10 32,-7 4-32,7-9 64,0 6-128,7-6 0,0-1 32,0 1 0,0 0 0,0 7 64,-2-1-32,2 1 64,-7 6-64,0 8-32,0-1-64,0 0 32,-7 8 32,7 6 64,-7 0-192,0 7-32,0 0 64,-7 7 32,7 0 64,-7 6 64,0 1-32,0 14-32,0-8 96,0 15 0,-7-8-128,7 15 32,-7-9-64,0 9 0,0 5 0,0-4 0,7-3 128,-7-5 32,0 0-128,7-2 32,0-5 64,0-2 32,0-5-32,0-6-64,7-2 32,-7 1-32,7-7-96,0 0 0,0-7 128,0-7 32,0 0 0,7-7 32,-7 1-128,0-9 0,7 2-128,0-7 32,0-9 192,7 4 128,0-2-192,0-8 32,0 1-32,0 6 64,0-6-96,0 0 0,0 7-32,0-1 0,-7 1 0,0-1-64,7 7 224,-14 8 96,7 6-192,-7 1 32,0 6-96,0 0-64,0 14 96,0 0 64,-7 13 64,0 1-128,0 7-32,0-1 96,0 7 32,-7 15-96,0-9-32,7 16 96,-7-1 32,7-1-96,-7-5-32,0 4 96,0-4 32,7 0 0,-7-2-64,7 2 32,0-16-32,0 2-96,0-7 0,7-1 64,-7-6 0,7-8 32,-7-13 0,7 0 0,0-7 64,0 1-32,7-15-32,5-6 32,-5-1 32,0-7-32,7-5 64,-7-2-64,8 2-32,-1-9-64,0 1 32,0 1 32,0-2 0,0 2-96,-7-3 64,7 3-32,0 6 0,0 0 64,0 5 64,0 3-32,-7 5-32,7 7 32,-7 1-32,0 13 0,-7 0 0,7 0-96,-7 14 64,0 0 32,-7 7 64,7 7-96,-7 6-64,0 1 64,0 6 0,-7 14 32,0-6 0,0 6 0,0 7 64,0-15-96,0 9 0,0-3 32,-7 4 0,7-10 0,7 2 64,-7-8-96,7 1 0,0-14 32,7 5 64,-7-12 32,7 8 32,0-16-160,0 1 32,0-7 0,0-7 64,0-14-96,7 0 0,0-5 32,0-9 0,7 0 0,-7-5 64,7-9-32,-9 1-32,9-6 32,-7 5 32,14-5-32,0 6-32,1 0-64,-8-1-32,0 8 128,7 0 96,-14 13-96,7 0-96,-7 8 32,0-1 64,0 8-160,0 6 32,-7 7 32,0 0 32,7 14 32,-7-1 0,-7 8 0,7 7 0,-7 6-96,0 7 0,-7 7 64,0 7 64,0 6 64,0 2 96,7-1-160,-14-1-96,7 0 32,0 2 0,0-8 32,7-1 0,-7-12 64,7 6 32,0-13-128,0-8 32,7 0 0,-7-5 0,7-15 64,-7-1 32,7-6-32,0-13 32,7-2 0,-7-13 32,7 2-64,0-9-64,0-13 32,7-1-32,0-5 0,0-1 0,7-1 0,0-5 0,-7 0-96,12 5 64,-12-5 32,7 6 0,-7 6 0,0 2 0,7 11 0,-7-4 64,0 13-32,0 5-32,0 2-64,-7 13-32,0 7 64,-7 0 0,0 14 32,0 6 0,0 8 0,-7 0 0,0 13 0,-7 7 0,-7 7 0,0-1 0,0 9 0,7-1 64,-7-1-32,0 0 64,7-5-128,0-9 0,-7 3 32,7-2 64,7-14-96,-7 6 0,7-11 32,0-9 0,0 0 0,0-13 64,0-7-32,7-14-32,0 1 96,7-14 0,7-8-32,0-13-64,7-8 32,-7 1-32,7-6 0,0-1 64,7-7-32,-7 9-32,7-9 32,7 7 32,-9 6-32,2 2-32,-7 6-64,7 13 32,-7 0 96,-6 8 32,-1 7-192,-7 6 0,7 7 32,-14 14 32,0 7 32,0-1 64,0 21-32,-7 8 64,0 5-128,-7 9-64,0 6 64,-7-1 0,-7 8 96,0 1 32,-1 5-32,8-13-64,-7-2-64,-7 2 32,14-12 32,-7-3 64,7-12-96,7-7 0,0-16 96,0 2 96,7-14-64,0-7-64,14-12-96,-7-2 32,7-14 32,0-13 0,7-1 0,0-5 64,-7-1-96,14-1-64,-6 2 64,-1-7 0,0 12 32,7 9 0,-7-3-96,7 17 64,-7-2 32,0 15 0,0 6-160,-7-1 32,0 16 128,0 5 64,-7 8 64,0 6 0,0 8-160,-7 6-32,-7 7-64,0-1 96,0 9 0,0-2 96,0-5-32,0-1 64,-7-1-128,7 9-64,-7-8 64,0 7 64,7-6-512,0-16-128,7 2-928</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0"/>
    </inkml:context>
    <inkml:brush xml:id="br0">
      <inkml:brushProperty name="width" value="0.15" units="cm"/>
      <inkml:brushProperty name="height" value="0.3" units="cm"/>
      <inkml:brushProperty name="color" value="#FF2500"/>
      <inkml:brushProperty name="tip" value="rectangle"/>
      <inkml:brushProperty name="rasterOp" value="maskPen"/>
    </inkml:brush>
  </inkml:definitions>
  <inkml:trace contextRef="#ctx0" brushRef="#br0">23906 19665 5408,'-8'13'128,"8"-6"-64,0 7 32,0-8-64,0 1-32,0 0-64,0-7 32,0 7-32,0 0 0,0-7 64,0 7 64,0-7-32,0 0 64,0 0-64,0 0 64,0 0-128,8 0 0,-8-7 32,7 0 0,0 0 0,0-7 0,1 8 64,-8-8 32,7 0-32,0-7-64,0 8 96,8-1 0,-8 0-32,1-7-64,-1 10 32,7-4-32,1 1 0,0 7 0,-8-6 0,7 6 0,1 0 0,-1 0 0,-6 0 0,-1 0 0,0 7 0,1 0 64,-1 0-32,0 7-32,-7 0 32,0 0 32,0 7-96,0-1 0,0 1 96,-7 8 96,7-4-224,-7 3 0,7 0 0,-8-1 32,1 1 32,0 0 0,7-8 0,-8 1 0,8 0 0,0 0 64,-7-8-96,7 1 0,0 0 32,0 0 64,0-7 32,7 0-32,-7 0-64,8-7 32,6 0-128,-6 0 64,-1 1 32,7-15 64,-1 7 32,2-6 32,0 6-64,0-6 32,-1-1-64,1 0 64,-1 0-64,1 1-32,-1 0 96,1 6 0,-1 0-128,1 1 32,7 6 0,-15 0 64,8 7-96,-8 0 0,0 0 32,1 7 0,-8 7 0,0-1 0,0 1 0,0 8 64,0-4-32,-8 10-32,1-7 32,0 6-32,-8-6-96,8-1 64,7 1 32,-7 6 0,-1-6 64,1 0 32,7-1-128,-7-5 32,7 5 0,0-13 0,0 6 0,0-13 0,7 7 0,0-14 0,1 1 64,6-1 32,1-7-32,-1 1-64,1-2 96,-1 2 0,1-8 32,7 0 0,-8 2-64,1-3-64,7 1 32,-8 1 32,1 0-96,-1-1-64,1 7 64,-1 0 64,-6 0 0,6 7 64,-6 0-64,-1 1-32,0 6-64,-7 0 32,7 6 32,-7 1 0,8 0 64,-8 7 32,-8 7-128,8-1 32,-7-6 0,7 7 0,-7-1 0,7-6 0,-7 0 0,7 0 64,0-1-32,0-6-32,0-7 32,7 7-32,-7-7 0,7 0 0,0 0-96,8-7 0,0 0 128,-3-6 32,3-1 0,6 0-64,1-7-64,-7 1-32,7 6 128,-8-13 32,8 6-96,0 0 32,-8 1 0,1 7 64,0-1-192,-1 0 32,-7 7 96,1 1 64,-1-1 0,0 7-64,-7 7 32,8-1 32,-8 8-32,-8 7-32,8-8-64,-7 14 32,7 1 96,-7-8 32,-8 8-32,8-8-64,0 1 32,-1 1-32,8-10-160,-7-5 32,7 0 128,0 0 128,0-7-96,7 0-32,1-7-64,-1 0 0,0 0 128,0-5 96,8-10-64,-8 8-64,15-6-96,0-1-32,-8-6 128,8 6 32,-7 7 0,7-7 32,-8 2-64,1 5 64,-1 7-64,1-7-32,-8 8 32,8 6-32,-8-7 0,-7 14 64,7-1-96,1 1 0,-8 7 32,0 0 64,0 5-32,-8 2-32,1 7-64,7-8 32,-7 8 32,-1-8 64,1-6-32,0 7-32,0-7 32,7-1-32,0-6 0,0 7 0,7-14 0,0 0 64,0 0-32,1-7-32,6 0-64,1-7 32,-1-6 96,6-1 32,9-6 32,1 0 0,0-8-64,-1 7-64,0 3 96,0-4 0,-7 2-32,7 6-64,-7 0-64,0 1 32,-1 6 32,-6 0 64,-1 0-96,-6 14-64,6 0 128,-14 7 32,8 0-96,-8 7 32,0 0 0,0 6 0,-8 8 64,8-1 32,-14 8-128,-1-2 32,1 2 0,6-1 64,-6 0-96,-1 1-64,8-8 128,-8-6 32,8 0 0,7-1-64,-7-12-64,14-2-32,0-6 64,1-6 0,6-9 96,1-5-32,7-1-32,-8-6-64,8-8-32,7 8 64,0-15 64,0 8 64,0 0 96,1 0-160,4-7-32,-5 13 0,-6-6 0,6 0-96,-7 6 64,0 7 96,-1 1 32,-6-1-128,0 14 32,-1 0 0,-7 7 0,1 7 64,-8 0 32,-8 14-32,8-1-64,-14 8 32,7-1-32,-8 8 0,0 6 0,1 0 0,-1 2 0,1-4 0,-1-11 0,1 6-96,6-7 64,1-6 96,0-7 32,0 0-128,7-1 32,0-6 0,7-7 0,0 0-96,8-7 64,-8 0 32,15-13 64,-8-1-32,8-6-32,7-8-64,0 1 32,1-1 96,6 9 32,-14-8-128,14 6 32,-14-6 0,7 13 0,-14 0 0,6 1 0,-6 6-96,0 7 0,-8 0 128,7 7 32,-6 7 0,-8 8-64,0-2 32,0 0 32,-8 15-32,1-1-32,0 8 32,-8 6-32,1-8 0,6 2 0,-6 7 0,-1-15 0,8 0 0,0 2 64,0-10-96,-1 2 0,8-7 32,0-7 0,8 0 0,-8-14 64,7 0-32,7 0 64,1-14-64,-1 1-32,8-8 32,0 1 32,-2-1-32,9-6 64,-7-1-64,7 10-32,-7-4 96,7 9 0,-7-1-128,0 1-32,-8-1 96,8 7 32,-7 0-96,-8 7 32,0 7 0,8 0 64,-15 0-32,7 14-32,-7-7 96,0 13 64,-7 8 0,-1-7 0,1 13-192,-7-1-32,6-5-64,1 0 96,-8-1 0,8 1 96,7-15-32,0-6-32,0 0-64,0 0 32,0-7 32,15-7 64,-1-7-32,-6-6-32,13-1 96,-6-6 64,7-1-128,0 0-32,7-5 0,0 6 64,0-1-96,0-6 0,-7 6 32,7 1 64,-9 6-96,2 0 0,-8 1 32,8 13 0,-15 0 0,8 0 0,-8 7 0,0 14 64,-7-7-32,0 13 64,0 1-64,-7 6-32,-7 1-64,-1 14 32,1-8 96,-1 0 32,0 6-128,1-12-32,1-1 32,6 1 64,0-14 0,-1-1-32,8-6 32,0 0-32,8-14 0,-1-6 64,0-1-32,6-6-32,1-8 32,8 0 32,0-4-32,0-4 64,0 2-128,8-1 0,-1 1 32,-7 7 0,7-8-96,-7 8 64,0 6 32,-8 0 0,8 1-96,-7 6 64,-1 7 32,1 7 64,-8 0-96,7 7 0,-14 0 96,8 13 32,-8 8-128,-8-7 32,1 13 0,0 0 64,-8 8-96,1-1 0,7 0 32,-8 0 0,0 0 64,8-14 32,-7 8-32,6-15-64,1 1 96,7-7 0,0 0-32,0-8-64,0 1-64,0 0-32,0-7-736,0 0-224,7-7-2176</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1"/>
    </inkml:context>
    <inkml:brush xml:id="br0">
      <inkml:brushProperty name="width" value="0.15" units="cm"/>
      <inkml:brushProperty name="height" value="0.3" units="cm"/>
      <inkml:brushProperty name="color" value="#FF2500"/>
      <inkml:brushProperty name="tip" value="rectangle"/>
      <inkml:brushProperty name="rasterOp" value="maskPen"/>
    </inkml:brush>
  </inkml:definitions>
  <inkml:trace contextRef="#ctx0" brushRef="#br0">23959 19928 896,'0'7'416,"0"-7"-192,0 7-64,0 0 192,-7 0-64,7-1 0,-6-1-96,6 3 32,0-1-64,0 0 64,-8 7 0,8-7 96,-7-1-96,7 9 32,-6-3-32,6-5 96,0 8-160,-7-8-32</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2"/>
    </inkml:context>
    <inkml:brush xml:id="br0">
      <inkml:brushProperty name="width" value="0.10583" units="cm"/>
      <inkml:brushProperty name="height" value="0.10583" units="cm"/>
      <inkml:brushProperty name="color" value="#BFBFBF"/>
    </inkml:brush>
  </inkml:definitions>
  <inkml:trace contextRef="#ctx0" brushRef="#br0">10193 15715 1408,'0'0'608,"0"-3"-320,0 3-64,0 0 288,0 0-192,0 0-96,0 0-64,0-2-32,0 2-64,0 0 32,0 0 0,11-3 96,-11 0-32,10-2 64,-10 3 0,10-4 96,0 4-160,10-3-32,1 2-64,-11-4-64,10 0 96,1 0 0,-1-1 32,0-3 64,1 4-96,9-5-64,-10 3 64,0-1 64,10 0-64,-10 0-64,11-2 64,-11 2 0,1 0-32,9-4-64,1 3 32,-1-1-128,1 0 64,-1 1 32,-10 2 64,11-4-32,-1 1 64,1 2-128,-11-2 0,11 2 96,-1-3 32,0 0-32,0 4 32,-10 0 0,11-3 32,10 2 0,-11 0 64,1-1-96,-1 1 0,1 0 32,-1 0 64,1 1-96,-1-2 0,1 0 32,-1 3 0,1-1 0,-11 1 0,10-2 64,-10-1 32,20 3-96,-9 1-96,-1 0 0,11 0-32,0-2 0,-11 1 64,1 1-32,9 0-32,1-1 32,-11 3 32,1 0-32,10 0-32,-1 0 32,0 0 32,-10 0-32,11 2 64,-11-2-64,11 2-32,0-4 96,-11 5 64,11-4-64,-11 3 0,1 1-32,10 2-64,-11-3 32,11 3 32,-11 0-32,0 0-32,10-3 32,-9 3-32,-1 0 64,1 0 32,-1 0 32,1 0 0,-1 3-64,-9 0 32,9-1-128,11 1 0,-11-1 32,1 2 64,-1 0 32,1-1 32,-11-1-64,9 1 32,2 0-64,-11-1-32,11 1 96,-1 2 0,-9 0-32,9 0 32,-10 0 0,1 0 96,-1 0-96,11 0 0,-1 0-32,-10 0-64,11 0 32,-1 0-32,-9 0 64,9 1 32,-9 1-32,-1-2-64,10 0 96,-10 2 0,0-1 32,10 1 0,-9 1-160,-1 0 32,11 0 64,-21-1 32,10 0-32,11 1-64,-1-2 96,-10 2 0,11 1 32,-11-1 0,11 0-64,-11-3-64,0 2 32,11 1-32,-11 2 64,1-2 32,9 0-128,-1 1 32,-8-2 0,9 0 64,-9-1-96,-1 2-64,10 0 64,1 2 64,-1-2 0,1-3-32,-1 3 32,1-4 32,-1 4-32,11 1 64,-10-2-64,-1 1 64,11-1-128,-11 1 0,10 0 32,0-4 64,1 4-32,0-3 64,-1 2-128,1-1 0,0-1 32,10 0 0,-11 1 0,1-3 0,10-1 0,-11 4 64,10-4-32,1 0-32,10 0 32,0 1-32,-10 0 0,0-3 0,-11 0 0,11 2 64,0-2 32,-1 0 32,0-2-160,-9 2 32,10 0 0,-10-3 0,9 0 0,-19 1 64,20 2-32,0-4 64,-11 1-128,1-2 0,-2 0 32,1-2 0,1 2 0,-1 0 0,1 0-96,0-3 64,-11 0 96,1 3 32,9-2-128,1 0 32,-10 0 0,-1 2 64,1-3-32,-1 3-32,0-2-64,0 0 32,0 0 32,1-1 0,-1 0 0,-9-2 64,-1 2-32,11 0 64,-21 3-128,10-1 0,11-1 32,-11 0 0,10-2 0,1 4 0,-11-1 0,11 1 0,-11-5-96,11 2 64,-11 1 32,11-1 0,-2 1 0,1-1 0,-9 1 0,9 2 64,-10 0-96,1-7-64,9 5-32,1 2 96,-1 0 0,1 0 96,-1 0-32,1 0-32,-1-1 32,-9 1 32,19-3-96,-9 3 0,-1-2 32,0 2 64,-10 1-96,10-5 0,1 4 32,-1 0 0,1 0 0,-1 0 64,11 0-96,-10 0 0,-1-3 32,11 4 0,-1-1 0,-9 0 0,-1-1 0,11 1 64,-11 0-96,0 0 0,0 0 32,11-3 0,-10 5-96,-1-2 64,1 2 32,-11-1 64,10 2-32,1-4-32,10 4 32,-11-1-32,1-2 0,-11 5 0,0-3-96,11 3 64,-1-2 32,0 2 0,0-3 0,-10 3 0,11 0-96,-1 0 64,1 0 32,-11 3 64,1-3-32,9 2-32,1-2 32,-11 3 32,10 0-96,-9-1-64,-1 1 64,0-1 64,1 1 0,9 0-32,1 2-64,-11-1 32,1 1 32,-2 0 0,1 1 64,0-1 32,1 0-32,-1-2 32,0 4 0,1-1 32,-1 1 0,0-2 0,1 2-64,-1-1-64,0 1 32,1-2 32,-11 2-32,10 1 64,-10 1-64,11-5 64,-11 3-64,0-2 64,20 3-64,-9-3-32,-1 0 32,-10 3 32,11 0-96,-1-3 0,0 3 96,0-1 32,-10 0-32,10 2-64,0-4 32,1 1 31,-11 0-94,10 2-1,11-3 32,-11 1 63,-10-2-31,10 1 64,-9 0 0,9 0 32,0-2-64,-10 5-64,11 0-64,-1-3 32,0 1 32,1-1 0,-1 0 0,0 0 64,11-1-32,-11 0-32,1 1 32,-1 0-32,11 1-96,-12 1 64,11-1 32,1 1 64,-11-4-96,10 2 0,-9-1 32,-1 2 64,11-4-32,-1 3-32,1 2 32,-1-2-32,1-3 0,-1 4 64,1-1-96,-1-1 0,1 1 32,-1-2 0,0 2 0,0-2 64,0-2-32,1 2 64,-1 2-64,11-2-32,-10-1 32,-1 1-32,11-1 0,-11 1 0,1-3 0,-1 2 0,1-2-96,-1 0 64,1 0 32,-1 0 64,0 0 32,-10 0 32,21 0-160,-21 0-32,10 0 96,1 0 32,-11-2-96,11 2-32,-11-3 96,0 3 32,11-2 0,-11 2 32,1-3-128,-1 1 0,10-1 32,-9 0 0,-1 1 64,0 2 96,1-3-224,-11 2 0,10 1 0,0-3 96,0 0 0,0 1-32,0 2 32,1-3-32,-1 3 0,0-2 0,1 2 0,-11-3 64,0 3-32,10 0-32,-9 0 32,-1 0-32,0-2-288,0 2-64,-10 0-671,10 0-289,-10 2-1696,0 1-2112,-20-1 1344</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3"/>
    </inkml:context>
    <inkml:brush xml:id="br0">
      <inkml:brushProperty name="width" value="0.10583" units="cm"/>
      <inkml:brushProperty name="height" value="0.10583" units="cm"/>
      <inkml:brushProperty name="color" value="#FFC000"/>
    </inkml:brush>
  </inkml:definitions>
  <inkml:trace contextRef="#ctx0" brushRef="#br0">10194 17544 1408,'0'0'608,"0"-9"-320,0 9-64,0 0 288,0 0-192,0 0-96,0 0-64,0-10-32,0 10-64,0 0 32,0 0 0,10-10 96,-10 0-32,11-8 64,-11 9 0,10-12 96,0 11-160,10-10-32,1 11-64,-11-19-64,10-2 96,0 0 0,1 3 32,-1-14 64,0 14-96,11-14-64,-11 2 64,0 2 64,10-4-64,-10 4-64,11-13 64,-11 13 0,1-4-32,9-6-64,1 7 32,-1-7-128,1-3 64,-1 12 32,-10-2 64,11-7-32,-1 6 64,1 4-128,-11-12 0,11 10 96,-1-10 32,0 1-32,0 10 32,-10-2 0,11 2 32,10-1 0,-11-1 64,1 2-96,-1-1 0,1 0 32,-1 1 64,1-1-96,-1-1 0,1 2 32,-1 9 0,1-11 0,-11 12 0,10-12 64,-10 2 32,20 9-96,-9 0-96,-1 0 0,11-1-32,0 2 0,-11-2 64,1 1-32,9 0-32,1 0 32,-11 9 32,1 0-32,10 2-32,-1-2 32,0 0 32,-10 1-32,11 9 64,-10-9-64,9 9-32,1-19 96,-11 19 64,11-10-64,-10 11 0,-1 0-32,11 9-64,-11-10 32,11 10 32,-11 0-32,0 0-32,10-10 32,-9 10-32,-1 0 64,1 0 32,-1 0 32,1 0 0,-1 10-64,-9 0 32,9-1-128,11 0 0,-11 1 32,1 0 64,-1 10 32,1-11 32,-11 1-64,10 0 32,0-1-64,-10 1-32,11 0 96,-1 9 0,-9 1-32,9 0 32,-9-2 0,-1 2 96,0 0-96,11-1 0,-1 0-32,-9 1-64,9-1 32,1 1-32,-11 0 64,10-2 32,-9 12-32,-1-11-64,11 1 96,-12 9 0,1-10 32,11 11 0,-11-2-160,0 2 32,11-2 64,-21 2 32,10-1-32,11 0-64,-1-10 96,-9 11 0,9 8 32,-10-8 0,11-1-64,-11-10-64,1 10 32,9 1-32,-10 8 64,1-8 32,9-1-128,0 0 32,-10 0 0,11 1 64,-11-3-96,0 3-64,11-1 64,-1 11 64,1-12 0,-1-8-32,1 8 32,-1-7 32,1 7-32,9 1 64,-9 1-64,-1-1 64,11-1-128,-11 3 0,10-3 32,1-9 64,-1 12-32,1-13 64,0 11-128,-1-10 0,1 2 32,10-2 0,-10-1 0,-1-8 0,11 0 0,-9 11 64,7-11-32,1-1-32,11 0 32,0 1-32,-10-1 0,0-9 0,-10 0 0,9 10 64,1-10 32,-1 0 32,1-10-160,-10 10 32,9 0 0,-9-9 0,10-1 0,-21 1 64,21 9-32,0-19 64,-10 8-128,-1-9 0,-1 2 32,2-1 0,-1-1 0,1 0 0,0 0-96,-1-8 64,-9-2 96,-1 10 32,11-8-128,0-1 32,-11-1 0,1 11 64,-1-9-32,1 7-32,-2 1-64,1-8 32,1-2 32,-1 2 0,1-2 0,-11-9 64,1 10-32,9 1 64,-20 7-128,11-6 0,9-3 32,-10 1 0,11 0 0,-1 10 0,-9-1 0,9 0 0,-9-18-96,9 8 64,-10 1 32,12 0 0,-4 0 0,3 0 0,-11 0 0,11 9 64,-11 2-96,0-22-64,11 11-32,-1 10 96,1-1 0,-1 1 96,1-1-32,-1 0-32,1 2 32,-11-2 32,21-9-96,-11 9 0,1-9 32,-2 10 64,-8-1-96,9-8 0,1 8 32,-1 0 0,1 1 0,-1-1 64,11 1-96,-11 0 0,1-11 32,9 10 0,1 2 0,-11-2 0,1 0 0,10 1 64,-12 0-96,2-1 0,-1 1 32,11-11 0,-11 21-96,1-10 64,-1 9 32,-9-10 64,9 10-32,1-9-32,9 10 32,-9-1-32,-1-10 0,-9 20 0,-1-9-96,10 9 64,1-10 32,-2 10 0,2-10 0,-11 10 0,11 0-96,-1 0 64,1 0 32,-11 10 64,0-10-32,11 10-32,-1-10 32,-9 9 32,9 1-96,-10 0-64,1 0 64,-1-1 64,0 1 0,11-1-32,-1 11-64,-9 0 32,0-1 32,-3 0 0,3 1 64,-1-1 32,0 1-32,1-11 32,-1 20 0,0-9 32,1 10 0,-1-12 0,0 12-64,1-11-64,-1 10 32,0-9 32,-9 9-32,9 1 64,-10-2-64,10-8 64,-10 9-64,1-10 64,19 10-64,-10-9-32,1 0 32,-11 8 32,10 2-96,1-11 0,-1 10 96,-1 0 32,-9 1-32,11-2-64,-1-8 32,0 0 31,-9 8-94,9 2-1,10-11 32,-9 1 63,-11-1-31,10 0 64,-10 1 0,11 0 32,-1-10-64,-10 19-64,11 0-64,-1-10 32,0 0 32,1 2 0,-1-3 0,0 2 64,11-2-32,-11 1-32,0 2 32,1-2-32,10 0-96,-13 10 64,13-9 32,-1 9 64,-9-19-96,9 8 0,-9 3 32,-1-2 64,10-9-32,1 8-32,-1 2 32,1 1-32,-1-12 0,1 10 64,-1 0-96,1 0 0,-1 2 32,1-11 0,-2 9 0,2-10 64,-1 0-32,1 1 64,-1 11-64,11-11-32,-11-1 32,1 0-32,10 1 0,-11-1 0,1-9 0,-1 10 0,1-10-96,-1 0 64,1 0 32,-1 0 64,0 0 32,-10 0 32,21 0-160,-21 0-32,10 0 96,1 0 32,-11-10-96,11 10-32,-11-9 96,0 9 32,11-10 0,-11 10 32,1-9-128,-1 0 0,10-1 32,-9-1 0,-1 1 64,0 10 96,1-10-224,-11 1 0,10 9 0,-1-9 96,2-1 0,-1 1-32,0 9 32,1-10-32,-1 10 0,0-10 0,1 10 0,-11-11 64,0 11-32,10 0-32,-9 0 32,-1 0-32,0-9-288,0 9-64,-10 0-671,10 0-289,-10 9-1696,0 2-2112,-20-1 1344</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8-01-14T10:56:46.684"/>
    </inkml:context>
    <inkml:brush xml:id="br0">
      <inkml:brushProperty name="width" value="0.15" units="cm"/>
      <inkml:brushProperty name="height" value="0.3" units="cm"/>
      <inkml:brushProperty name="color" value="#00F900"/>
      <inkml:brushProperty name="tip" value="rectangle"/>
      <inkml:brushProperty name="rasterOp" value="maskPen"/>
    </inkml:brush>
  </inkml:definitions>
  <inkml:trace contextRef="#ctx0" brushRef="#br0">33168 14110 2304,'0'0'864,"0"0"-448,-6 0-352,6 0 288,0 0-96,0 6 32</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X33"/>
  <sheetViews>
    <sheetView showGridLines="0" tabSelected="1" zoomScaleNormal="100" workbookViewId="0"/>
  </sheetViews>
  <sheetFormatPr defaultColWidth="9.1328125" defaultRowHeight="10.199999999999999" x14ac:dyDescent="0.35"/>
  <cols>
    <col min="1" max="1" width="9.1328125" style="9"/>
    <col min="2" max="3" width="5.796875" style="9" customWidth="1"/>
    <col min="4" max="4" width="12.796875" style="9" customWidth="1"/>
    <col min="5" max="5" width="9.1328125" style="9"/>
    <col min="6" max="13" width="10.796875" style="9" customWidth="1"/>
    <col min="14" max="16384" width="9.1328125" style="9"/>
  </cols>
  <sheetData>
    <row r="1" spans="2:15" ht="11.25" customHeight="1" x14ac:dyDescent="0.35"/>
    <row r="2" spans="2:15" ht="11.25" customHeight="1" x14ac:dyDescent="0.35"/>
    <row r="3" spans="2:15" s="7" customFormat="1" ht="18.899999999999999" x14ac:dyDescent="0.35">
      <c r="B3" s="5" t="s">
        <v>1738</v>
      </c>
    </row>
    <row r="4" spans="2:15" ht="11.25" customHeight="1" x14ac:dyDescent="0.35"/>
    <row r="5" spans="2:15" ht="11.25" customHeight="1" x14ac:dyDescent="0.35">
      <c r="N5" s="74"/>
      <c r="O5" s="74"/>
    </row>
    <row r="6" spans="2:15" ht="11.25" customHeight="1" x14ac:dyDescent="0.35">
      <c r="C6" s="54"/>
      <c r="D6" s="54"/>
      <c r="E6" s="54"/>
      <c r="F6" s="54"/>
      <c r="G6" s="54"/>
      <c r="N6" s="74"/>
      <c r="O6" s="74"/>
    </row>
    <row r="7" spans="2:15" ht="11.25" customHeight="1" x14ac:dyDescent="0.35">
      <c r="C7" s="54"/>
      <c r="D7" s="54"/>
      <c r="E7" s="54"/>
      <c r="F7" s="54"/>
      <c r="G7" s="54"/>
      <c r="N7" s="74"/>
      <c r="O7" s="74"/>
    </row>
    <row r="8" spans="2:15" ht="11.25" customHeight="1" x14ac:dyDescent="0.35">
      <c r="C8" s="54"/>
      <c r="D8" s="54"/>
      <c r="E8" s="54"/>
      <c r="F8" s="54"/>
      <c r="G8" s="54"/>
    </row>
    <row r="9" spans="2:15" x14ac:dyDescent="0.35">
      <c r="C9" s="54"/>
      <c r="D9" s="54"/>
      <c r="E9" s="54"/>
      <c r="F9" s="54"/>
      <c r="G9" s="54"/>
    </row>
    <row r="11" spans="2:15" ht="12.3" x14ac:dyDescent="0.35">
      <c r="C11" s="45" t="s">
        <v>28</v>
      </c>
      <c r="F11" s="176" t="s">
        <v>134</v>
      </c>
    </row>
    <row r="13" spans="2:15" ht="12.3" x14ac:dyDescent="0.35">
      <c r="C13" s="14" t="s">
        <v>29</v>
      </c>
    </row>
    <row r="14" spans="2:15" ht="12.3" x14ac:dyDescent="0.35">
      <c r="C14" s="16" t="s">
        <v>175</v>
      </c>
    </row>
    <row r="16" spans="2:15" ht="12.3" x14ac:dyDescent="0.35">
      <c r="C16" s="14" t="s">
        <v>36</v>
      </c>
    </row>
    <row r="18" spans="3:13" x14ac:dyDescent="0.35">
      <c r="C18" s="30"/>
      <c r="D18" s="31"/>
      <c r="E18" s="31"/>
      <c r="F18" s="31"/>
      <c r="G18" s="31"/>
      <c r="H18" s="31"/>
      <c r="I18" s="31"/>
      <c r="J18" s="31"/>
      <c r="K18" s="31"/>
      <c r="L18" s="31"/>
      <c r="M18" s="32"/>
    </row>
    <row r="19" spans="3:13" ht="12.3" x14ac:dyDescent="0.35">
      <c r="C19" s="33"/>
      <c r="D19" s="44" t="s">
        <v>14</v>
      </c>
      <c r="E19" s="34"/>
      <c r="F19" s="36" t="s">
        <v>25</v>
      </c>
      <c r="G19" s="34"/>
      <c r="H19" s="34"/>
      <c r="I19" s="34"/>
      <c r="J19" s="34"/>
      <c r="K19" s="34"/>
      <c r="L19" s="34"/>
      <c r="M19" s="35"/>
    </row>
    <row r="20" spans="3:13" ht="12.3" x14ac:dyDescent="0.35">
      <c r="C20" s="33"/>
      <c r="D20" s="52" t="s">
        <v>43</v>
      </c>
      <c r="E20" s="34"/>
      <c r="F20" s="36" t="s">
        <v>38</v>
      </c>
      <c r="G20" s="34"/>
      <c r="H20" s="34"/>
      <c r="I20" s="34"/>
      <c r="J20" s="34"/>
      <c r="K20" s="34"/>
      <c r="L20" s="34"/>
      <c r="M20" s="35"/>
    </row>
    <row r="21" spans="3:13" ht="12.3" x14ac:dyDescent="0.35">
      <c r="C21" s="33"/>
      <c r="D21" s="37" t="s">
        <v>20</v>
      </c>
      <c r="E21" s="34"/>
      <c r="F21" s="36" t="s">
        <v>22</v>
      </c>
      <c r="G21" s="34"/>
      <c r="H21" s="34"/>
      <c r="I21" s="34"/>
      <c r="J21" s="34"/>
      <c r="K21" s="34"/>
      <c r="L21" s="34"/>
      <c r="M21" s="35"/>
    </row>
    <row r="22" spans="3:13" ht="12.3" x14ac:dyDescent="0.35">
      <c r="C22" s="33"/>
      <c r="D22" s="38" t="s">
        <v>21</v>
      </c>
      <c r="E22" s="34"/>
      <c r="F22" s="36" t="s">
        <v>23</v>
      </c>
      <c r="G22" s="34"/>
      <c r="H22" s="34"/>
      <c r="I22" s="34"/>
      <c r="J22" s="34"/>
      <c r="K22" s="34"/>
      <c r="L22" s="34"/>
      <c r="M22" s="35"/>
    </row>
    <row r="23" spans="3:13" ht="12.3" x14ac:dyDescent="0.35">
      <c r="C23" s="33"/>
      <c r="D23" s="39" t="s">
        <v>5</v>
      </c>
      <c r="E23" s="34"/>
      <c r="F23" s="36" t="s">
        <v>26</v>
      </c>
      <c r="G23" s="34"/>
      <c r="H23" s="34"/>
      <c r="I23" s="34"/>
      <c r="J23" s="34"/>
      <c r="K23" s="34"/>
      <c r="L23" s="34"/>
      <c r="M23" s="35"/>
    </row>
    <row r="24" spans="3:13" ht="12.3" x14ac:dyDescent="0.35">
      <c r="C24" s="33"/>
      <c r="D24" s="40" t="s">
        <v>24</v>
      </c>
      <c r="E24" s="34"/>
      <c r="F24" s="36" t="s">
        <v>27</v>
      </c>
      <c r="G24" s="34"/>
      <c r="H24" s="34"/>
      <c r="I24" s="34"/>
      <c r="J24" s="34"/>
      <c r="K24" s="34"/>
      <c r="L24" s="34"/>
      <c r="M24" s="35"/>
    </row>
    <row r="25" spans="3:13" ht="12.3" x14ac:dyDescent="0.35">
      <c r="C25" s="33"/>
      <c r="D25" s="51"/>
      <c r="E25" s="34"/>
      <c r="F25" s="36" t="s">
        <v>37</v>
      </c>
      <c r="G25" s="34"/>
      <c r="H25" s="34"/>
      <c r="I25" s="34"/>
      <c r="J25" s="34"/>
      <c r="K25" s="34"/>
      <c r="L25" s="34"/>
      <c r="M25" s="35"/>
    </row>
    <row r="26" spans="3:13" ht="12.3" x14ac:dyDescent="0.35">
      <c r="C26" s="33"/>
      <c r="D26" s="50" t="s">
        <v>44</v>
      </c>
      <c r="E26" s="34"/>
      <c r="F26" s="36" t="s">
        <v>39</v>
      </c>
      <c r="G26" s="34"/>
      <c r="H26" s="34"/>
      <c r="I26" s="34"/>
      <c r="J26" s="34"/>
      <c r="K26" s="34"/>
      <c r="L26" s="34"/>
      <c r="M26" s="35"/>
    </row>
    <row r="27" spans="3:13" ht="12.3" x14ac:dyDescent="0.4">
      <c r="C27" s="33"/>
      <c r="D27" s="47" t="s">
        <v>7</v>
      </c>
      <c r="E27" s="34"/>
      <c r="F27" s="36" t="s">
        <v>40</v>
      </c>
      <c r="G27" s="34"/>
      <c r="H27" s="34"/>
      <c r="I27" s="34"/>
      <c r="J27" s="34"/>
      <c r="K27" s="34"/>
      <c r="L27" s="34"/>
      <c r="M27" s="35"/>
    </row>
    <row r="28" spans="3:13" ht="12.3" x14ac:dyDescent="0.4">
      <c r="C28" s="33"/>
      <c r="D28" s="47" t="s">
        <v>6</v>
      </c>
      <c r="E28" s="34"/>
      <c r="F28" s="36" t="s">
        <v>41</v>
      </c>
      <c r="G28" s="34"/>
      <c r="H28" s="34"/>
      <c r="I28" s="34"/>
      <c r="J28" s="34"/>
      <c r="K28" s="34"/>
      <c r="L28" s="34"/>
      <c r="M28" s="35"/>
    </row>
    <row r="29" spans="3:13" ht="12.3" x14ac:dyDescent="0.35">
      <c r="C29" s="33"/>
      <c r="D29" s="53"/>
      <c r="E29" s="34"/>
      <c r="F29" s="36" t="s">
        <v>42</v>
      </c>
      <c r="G29" s="34"/>
      <c r="H29" s="34"/>
      <c r="I29" s="34"/>
      <c r="J29" s="34"/>
      <c r="K29" s="34"/>
      <c r="L29" s="34"/>
      <c r="M29" s="35"/>
    </row>
    <row r="30" spans="3:13" x14ac:dyDescent="0.35">
      <c r="C30" s="41"/>
      <c r="D30" s="42"/>
      <c r="E30" s="42"/>
      <c r="F30" s="42"/>
      <c r="G30" s="42"/>
      <c r="H30" s="42"/>
      <c r="I30" s="42"/>
      <c r="J30" s="42"/>
      <c r="K30" s="42"/>
      <c r="L30" s="42"/>
      <c r="M30" s="43"/>
    </row>
    <row r="32" spans="3:13" ht="12.3" x14ac:dyDescent="0.35">
      <c r="C32" s="14" t="s">
        <v>120</v>
      </c>
      <c r="D32" s="48"/>
    </row>
    <row r="33" spans="3:24" ht="81" customHeight="1" x14ac:dyDescent="0.35">
      <c r="C33" s="675" t="s">
        <v>150</v>
      </c>
      <c r="D33" s="675"/>
      <c r="E33" s="675"/>
      <c r="F33" s="675"/>
      <c r="G33" s="675"/>
      <c r="H33" s="675"/>
      <c r="I33" s="675"/>
      <c r="J33" s="675"/>
      <c r="K33" s="675"/>
      <c r="L33" s="675"/>
      <c r="M33" s="675"/>
      <c r="N33" s="675"/>
      <c r="O33" s="675"/>
      <c r="P33" s="675"/>
      <c r="Q33" s="675"/>
      <c r="R33" s="675"/>
      <c r="S33" s="675"/>
      <c r="T33" s="675"/>
      <c r="U33" s="675"/>
      <c r="V33" s="675"/>
      <c r="W33" s="675"/>
      <c r="X33" s="675"/>
    </row>
  </sheetData>
  <mergeCells count="1">
    <mergeCell ref="C33:X33"/>
  </mergeCells>
  <conditionalFormatting sqref="D28">
    <cfRule type="cellIs" dxfId="51" priority="2" operator="equal">
      <formula>"Ok"</formula>
    </cfRule>
  </conditionalFormatting>
  <conditionalFormatting sqref="D27">
    <cfRule type="cellIs" dxfId="50" priority="1" operator="equal">
      <formula>"Ok"</formula>
    </cfRule>
  </conditionalFormatting>
  <pageMargins left="0.7" right="0.7" top="0.75" bottom="0.75" header="0.3" footer="0.3"/>
  <pageSetup paperSize="9" scale="7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E24"/>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IF(SUM($A6:$A34)&gt;0,1,0)</f>
        <v>0</v>
      </c>
      <c r="B1" s="136" t="s">
        <v>545</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515</v>
      </c>
    </row>
    <row r="24" spans="2:2" s="139" customFormat="1" x14ac:dyDescent="0.35">
      <c r="B24" s="139" t="s">
        <v>32</v>
      </c>
    </row>
  </sheetData>
  <conditionalFormatting sqref="B2">
    <cfRule type="cellIs" dxfId="42" priority="1" operator="notEqual">
      <formula>"No Errors Found"</formula>
    </cfRule>
  </conditionalFormatting>
  <hyperlinks>
    <hyperlink ref="B3:D3" location="Cover!A1" display="Go to Cover Sheet"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546</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41" priority="1" operator="notEqual">
      <formula>"No Errors Found"</formula>
    </cfRule>
  </conditionalFormatting>
  <hyperlinks>
    <hyperlink ref="B3:D3" location="Cover!A1" display="Go to Cover Sheet"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G68"/>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IF(SUM($A6:$A68)&gt;0,1,0)</f>
        <v>0</v>
      </c>
      <c r="B1" s="136" t="s">
        <v>549</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516</v>
      </c>
    </row>
    <row r="51" spans="2:7" s="139" customFormat="1" x14ac:dyDescent="0.35">
      <c r="B51" s="139" t="s">
        <v>517</v>
      </c>
    </row>
    <row r="52" spans="2:7" ht="13.2" thickBot="1" x14ac:dyDescent="0.55000000000000004"/>
    <row r="53" spans="2:7" ht="26.1" thickBot="1" x14ac:dyDescent="0.55000000000000004">
      <c r="D53" s="214" t="s">
        <v>518</v>
      </c>
      <c r="E53" s="206" t="s">
        <v>519</v>
      </c>
      <c r="F53" s="206" t="s">
        <v>520</v>
      </c>
    </row>
    <row r="54" spans="2:7" ht="13.8" thickBot="1" x14ac:dyDescent="0.55000000000000004">
      <c r="D54" s="207" t="s">
        <v>521</v>
      </c>
      <c r="E54" s="216" t="s">
        <v>522</v>
      </c>
      <c r="F54" s="216" t="s">
        <v>531</v>
      </c>
      <c r="G54" s="225"/>
    </row>
    <row r="55" spans="2:7" ht="13.8" thickBot="1" x14ac:dyDescent="0.55000000000000004">
      <c r="D55" s="678" t="s">
        <v>523</v>
      </c>
      <c r="E55" s="222" t="s">
        <v>524</v>
      </c>
      <c r="F55" s="216" t="s">
        <v>532</v>
      </c>
    </row>
    <row r="56" spans="2:7" ht="13.8" thickBot="1" x14ac:dyDescent="0.55000000000000004">
      <c r="D56" s="679"/>
      <c r="E56" s="223"/>
      <c r="F56" s="216" t="s">
        <v>533</v>
      </c>
    </row>
    <row r="57" spans="2:7" ht="13.8" thickBot="1" x14ac:dyDescent="0.55000000000000004">
      <c r="D57" s="679"/>
      <c r="E57" s="223"/>
      <c r="F57" s="216" t="s">
        <v>534</v>
      </c>
    </row>
    <row r="58" spans="2:7" ht="13.8" thickBot="1" x14ac:dyDescent="0.55000000000000004">
      <c r="D58" s="680"/>
      <c r="E58" s="224"/>
      <c r="F58" s="216" t="s">
        <v>535</v>
      </c>
    </row>
    <row r="59" spans="2:7" ht="13.8" thickBot="1" x14ac:dyDescent="0.55000000000000004">
      <c r="D59" s="678" t="s">
        <v>525</v>
      </c>
      <c r="E59" s="222" t="s">
        <v>526</v>
      </c>
      <c r="F59" s="216" t="s">
        <v>536</v>
      </c>
    </row>
    <row r="60" spans="2:7" ht="13.8" thickBot="1" x14ac:dyDescent="0.55000000000000004">
      <c r="D60" s="679"/>
      <c r="E60" s="223"/>
      <c r="F60" s="216" t="s">
        <v>537</v>
      </c>
    </row>
    <row r="61" spans="2:7" ht="13.8" thickBot="1" x14ac:dyDescent="0.55000000000000004">
      <c r="D61" s="680"/>
      <c r="E61" s="224"/>
      <c r="F61" s="216" t="s">
        <v>538</v>
      </c>
    </row>
    <row r="62" spans="2:7" ht="13.8" thickBot="1" x14ac:dyDescent="0.55000000000000004">
      <c r="D62" s="678" t="s">
        <v>527</v>
      </c>
      <c r="E62" s="222" t="s">
        <v>528</v>
      </c>
      <c r="F62" s="216" t="s">
        <v>539</v>
      </c>
    </row>
    <row r="63" spans="2:7" ht="13.8" thickBot="1" x14ac:dyDescent="0.55000000000000004">
      <c r="D63" s="679"/>
      <c r="E63" s="223"/>
      <c r="F63" s="216" t="s">
        <v>540</v>
      </c>
    </row>
    <row r="64" spans="2:7" ht="13.8" thickBot="1" x14ac:dyDescent="0.55000000000000004">
      <c r="D64" s="680"/>
      <c r="E64" s="224"/>
      <c r="F64" s="216" t="s">
        <v>541</v>
      </c>
    </row>
    <row r="65" spans="2:6" ht="13.8" thickBot="1" x14ac:dyDescent="0.55000000000000004">
      <c r="D65" s="678" t="s">
        <v>529</v>
      </c>
      <c r="E65" s="222" t="s">
        <v>530</v>
      </c>
      <c r="F65" s="216" t="s">
        <v>542</v>
      </c>
    </row>
    <row r="66" spans="2:6" ht="13.8" thickBot="1" x14ac:dyDescent="0.55000000000000004">
      <c r="D66" s="680"/>
      <c r="E66" s="224"/>
      <c r="F66" s="216" t="s">
        <v>543</v>
      </c>
    </row>
    <row r="68" spans="2:6" s="139" customFormat="1" x14ac:dyDescent="0.35">
      <c r="B68" s="139" t="s">
        <v>32</v>
      </c>
    </row>
  </sheetData>
  <mergeCells count="4">
    <mergeCell ref="D62:D64"/>
    <mergeCell ref="D65:D66"/>
    <mergeCell ref="D55:D58"/>
    <mergeCell ref="D59:D61"/>
  </mergeCells>
  <conditionalFormatting sqref="B2">
    <cfRule type="cellIs" dxfId="40" priority="1" operator="notEqual">
      <formula>"No Errors Found"</formula>
    </cfRule>
  </conditionalFormatting>
  <hyperlinks>
    <hyperlink ref="B3:D3" location="Cover!A1" display="Go to Cover Sheet"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E3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IF(SUM($A6:$A39)&gt;0,1,0)</f>
        <v>0</v>
      </c>
      <c r="B1" s="136" t="s">
        <v>550</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544</v>
      </c>
    </row>
    <row r="39" spans="2:2" s="139" customFormat="1" x14ac:dyDescent="0.35">
      <c r="B39" s="139" t="s">
        <v>32</v>
      </c>
    </row>
  </sheetData>
  <conditionalFormatting sqref="B2">
    <cfRule type="cellIs" dxfId="39" priority="1" operator="notEqual">
      <formula>"No Errors Found"</formula>
    </cfRule>
  </conditionalFormatting>
  <hyperlinks>
    <hyperlink ref="B3:D3" location="Cover!A1" display="Go to Cover Shee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R51"/>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5" width="12.33203125" style="137" customWidth="1"/>
    <col min="16" max="16384" width="9.1328125" style="137"/>
  </cols>
  <sheetData>
    <row r="1" spans="1:18" ht="20.399999999999999" x14ac:dyDescent="0.5">
      <c r="A1" s="65">
        <f>IF(SUM($A6:$A51)&gt;0,1,0)</f>
        <v>0</v>
      </c>
      <c r="B1" s="136" t="s">
        <v>243</v>
      </c>
    </row>
    <row r="2" spans="1:18" s="104" customFormat="1" ht="10.199999999999999" x14ac:dyDescent="0.35">
      <c r="B2" s="105" t="str">
        <f>Title_Msg</f>
        <v>No Errors Found</v>
      </c>
    </row>
    <row r="3" spans="1:18" s="104" customFormat="1" ht="12.3" x14ac:dyDescent="0.35">
      <c r="B3" s="106" t="s">
        <v>51</v>
      </c>
      <c r="C3" s="106"/>
      <c r="D3" s="106"/>
      <c r="E3" s="107"/>
    </row>
    <row r="4" spans="1:18" s="104" customFormat="1" ht="12.3" x14ac:dyDescent="0.35">
      <c r="B4" s="108" t="str">
        <f>Model_Name</f>
        <v>Power and Water Corporation (PWC) - Regulatory Proposal Tables and Charts</v>
      </c>
    </row>
    <row r="6" spans="1:18" s="139" customFormat="1" x14ac:dyDescent="0.35">
      <c r="B6" s="139" t="s">
        <v>244</v>
      </c>
    </row>
    <row r="7" spans="1:18" ht="13.2" thickBot="1" x14ac:dyDescent="0.55000000000000004"/>
    <row r="8" spans="1:18" ht="13.2" thickBot="1" x14ac:dyDescent="0.55000000000000004">
      <c r="D8" s="146" t="s">
        <v>344</v>
      </c>
      <c r="E8" s="141" t="s">
        <v>246</v>
      </c>
      <c r="F8" s="141" t="s">
        <v>247</v>
      </c>
      <c r="G8" s="141" t="s">
        <v>248</v>
      </c>
      <c r="H8" s="141" t="s">
        <v>249</v>
      </c>
      <c r="I8" s="141" t="s">
        <v>250</v>
      </c>
      <c r="J8" s="606" t="s">
        <v>112</v>
      </c>
      <c r="M8" s="156" t="s">
        <v>249</v>
      </c>
      <c r="N8" s="156" t="s">
        <v>250</v>
      </c>
      <c r="R8" s="156" t="s">
        <v>325</v>
      </c>
    </row>
    <row r="9" spans="1:18" ht="13.8" thickBot="1" x14ac:dyDescent="0.55000000000000004">
      <c r="D9" s="681" t="s">
        <v>251</v>
      </c>
      <c r="E9" s="682"/>
      <c r="F9" s="682"/>
      <c r="G9" s="682"/>
      <c r="H9" s="682"/>
      <c r="I9" s="682"/>
      <c r="J9" s="683"/>
      <c r="L9" s="114" t="s">
        <v>934</v>
      </c>
      <c r="M9" s="525">
        <v>176.10338068999999</v>
      </c>
      <c r="N9" s="525">
        <v>177.84186661021639</v>
      </c>
      <c r="Q9" s="376" t="s">
        <v>1011</v>
      </c>
      <c r="R9" s="465">
        <v>0.03</v>
      </c>
    </row>
    <row r="10" spans="1:18" ht="13.8" thickBot="1" x14ac:dyDescent="0.55000000000000004">
      <c r="D10" s="142" t="s">
        <v>252</v>
      </c>
      <c r="E10" s="276">
        <v>179.19605995541366</v>
      </c>
      <c r="F10" s="276">
        <v>196.86049076157855</v>
      </c>
      <c r="G10" s="276">
        <v>206.19305604711266</v>
      </c>
      <c r="H10" s="276">
        <v>205.05981901107774</v>
      </c>
      <c r="I10" s="276">
        <v>204.9777950834733</v>
      </c>
      <c r="J10" s="276">
        <f>SUM(E10:I10)</f>
        <v>992.28722085865593</v>
      </c>
    </row>
    <row r="11" spans="1:18" ht="15.9" thickBot="1" x14ac:dyDescent="0.55000000000000004">
      <c r="D11" s="142" t="s">
        <v>253</v>
      </c>
      <c r="E11" s="145">
        <v>-0.29782903136421413</v>
      </c>
      <c r="F11" s="145">
        <v>-0.08</v>
      </c>
      <c r="G11" s="145">
        <v>-0.03</v>
      </c>
      <c r="H11" s="145">
        <v>0.02</v>
      </c>
      <c r="I11" s="145">
        <v>0.02</v>
      </c>
      <c r="J11" s="145" t="str">
        <f>NA</f>
        <v>N/A</v>
      </c>
    </row>
    <row r="12" spans="1:18" ht="13.2" thickBot="1" x14ac:dyDescent="0.55000000000000004">
      <c r="D12" s="681" t="s">
        <v>254</v>
      </c>
      <c r="E12" s="682"/>
      <c r="F12" s="682"/>
      <c r="G12" s="682"/>
      <c r="H12" s="682"/>
      <c r="I12" s="682"/>
      <c r="J12" s="683"/>
    </row>
    <row r="13" spans="1:18" ht="13.8" thickBot="1" x14ac:dyDescent="0.55000000000000004">
      <c r="D13" s="142" t="s">
        <v>252</v>
      </c>
      <c r="E13" s="276">
        <f>'[3]X factor'!E54/[3]Analysis!G$8*Input_Inflation!P$55*(1-$R$9)</f>
        <v>148.71926047034006</v>
      </c>
      <c r="F13" s="276">
        <f>'[3]X factor'!F54/[3]Analysis!H$8*Input_Inflation!Q$55*(1-$R$9)</f>
        <v>163.37941029046439</v>
      </c>
      <c r="G13" s="276">
        <f>'[3]X factor'!G54/[3]Analysis!I$8*Input_Inflation!R$55*(1-$R$9)</f>
        <v>166.14052232437322</v>
      </c>
      <c r="H13" s="276">
        <f>'[3]X factor'!H54/[3]Analysis!J$8*Input_Inflation!S$55*(1-$R$9)</f>
        <v>168.59940205477395</v>
      </c>
      <c r="I13" s="276">
        <f>'[3]X factor'!I54/[3]Analysis!K$8*Input_Inflation!T$55*(1-$R$9)</f>
        <v>171.9713900958694</v>
      </c>
      <c r="J13" s="276">
        <f>SUM(E13:I13)</f>
        <v>818.80998523582105</v>
      </c>
      <c r="K13" s="514">
        <f>J13-J10</f>
        <v>-173.47723562283488</v>
      </c>
      <c r="L13" s="515">
        <f>K13/J10</f>
        <v>-0.17482562707269356</v>
      </c>
    </row>
    <row r="14" spans="1:18" ht="15.9" thickBot="1" x14ac:dyDescent="0.55000000000000004">
      <c r="D14" s="142" t="s">
        <v>255</v>
      </c>
      <c r="E14" s="188">
        <f>'[3]X factor'!E61</f>
        <v>-7.7100544562462126E-2</v>
      </c>
      <c r="F14" s="188">
        <f>'[3]X factor'!F61</f>
        <v>-0.08</v>
      </c>
      <c r="G14" s="188">
        <f>'[3]X factor'!G61</f>
        <v>0</v>
      </c>
      <c r="H14" s="188">
        <f>'[3]X factor'!H61</f>
        <v>0</v>
      </c>
      <c r="I14" s="188">
        <f>'[3]X factor'!I61</f>
        <v>0</v>
      </c>
      <c r="J14" s="145" t="str">
        <f>NA</f>
        <v>N/A</v>
      </c>
    </row>
    <row r="15" spans="1:18" ht="13.2" thickBot="1" x14ac:dyDescent="0.55000000000000004">
      <c r="D15" s="681" t="s">
        <v>256</v>
      </c>
      <c r="E15" s="682"/>
      <c r="F15" s="682"/>
      <c r="G15" s="682"/>
      <c r="H15" s="682"/>
      <c r="I15" s="682"/>
      <c r="J15" s="683"/>
    </row>
    <row r="16" spans="1:18" ht="13.8" thickBot="1" x14ac:dyDescent="0.55000000000000004">
      <c r="D16" s="142" t="s">
        <v>257</v>
      </c>
      <c r="E16" s="276">
        <v>143.50099570137766</v>
      </c>
      <c r="F16" s="276">
        <v>165.42309480461367</v>
      </c>
      <c r="G16" s="276">
        <v>167.80137341850002</v>
      </c>
      <c r="H16" s="276">
        <f>M9</f>
        <v>176.10338068999999</v>
      </c>
      <c r="I16" s="276">
        <f>N9</f>
        <v>177.84186661021639</v>
      </c>
      <c r="J16" s="276">
        <f>SUM(E16:I16)</f>
        <v>830.6707112247077</v>
      </c>
      <c r="K16" s="495"/>
      <c r="L16" s="494"/>
      <c r="M16" s="495"/>
      <c r="N16" s="494"/>
    </row>
    <row r="17" spans="2:13" ht="14.4" x14ac:dyDescent="0.55000000000000004">
      <c r="M17" s="646"/>
    </row>
    <row r="18" spans="2:13" s="139" customFormat="1" x14ac:dyDescent="0.35">
      <c r="B18" s="139" t="s">
        <v>1377</v>
      </c>
    </row>
    <row r="19" spans="2:13" ht="13.2" thickBot="1" x14ac:dyDescent="0.55000000000000004"/>
    <row r="20" spans="2:13" ht="26.1" thickBot="1" x14ac:dyDescent="0.55000000000000004">
      <c r="D20" s="146" t="s">
        <v>258</v>
      </c>
      <c r="E20" s="441" t="s">
        <v>419</v>
      </c>
      <c r="F20" s="441" t="s">
        <v>246</v>
      </c>
      <c r="G20" s="441" t="s">
        <v>247</v>
      </c>
      <c r="H20" s="441" t="s">
        <v>248</v>
      </c>
      <c r="J20" s="529" t="s">
        <v>1656</v>
      </c>
      <c r="L20" s="156" t="s">
        <v>1629</v>
      </c>
    </row>
    <row r="21" spans="2:13" ht="13.8" thickBot="1" x14ac:dyDescent="0.55000000000000004">
      <c r="D21" s="142" t="s">
        <v>259</v>
      </c>
      <c r="E21" s="475">
        <v>922.67518181818173</v>
      </c>
      <c r="F21" s="475">
        <v>997.92863636363643</v>
      </c>
      <c r="G21" s="475">
        <v>1113.7618000000002</v>
      </c>
      <c r="H21" s="475">
        <v>1118.7031818181817</v>
      </c>
      <c r="I21" s="613"/>
      <c r="J21" s="614"/>
      <c r="L21" s="465">
        <v>0.1</v>
      </c>
    </row>
    <row r="22" spans="2:13" ht="13.8" thickBot="1" x14ac:dyDescent="0.55000000000000004">
      <c r="D22" s="142" t="s">
        <v>260</v>
      </c>
      <c r="E22" s="456"/>
      <c r="F22" s="457">
        <f>F21/E21-1</f>
        <v>8.1560072307530485E-2</v>
      </c>
      <c r="G22" s="457">
        <f t="shared" ref="G22:H22" si="0">G21/F21-1</f>
        <v>0.11607359425865327</v>
      </c>
      <c r="H22" s="457">
        <f t="shared" si="0"/>
        <v>4.4366594528395531E-3</v>
      </c>
      <c r="J22" s="615">
        <f>H21/E21-1</f>
        <v>0.21245613175995071</v>
      </c>
    </row>
    <row r="23" spans="2:13" ht="13.8" thickBot="1" x14ac:dyDescent="0.55000000000000004">
      <c r="D23" s="142" t="s">
        <v>261</v>
      </c>
      <c r="E23" s="475">
        <v>3371.530772727273</v>
      </c>
      <c r="F23" s="475">
        <v>3646.2446363636359</v>
      </c>
      <c r="G23" s="475">
        <v>4094.5743499999999</v>
      </c>
      <c r="H23" s="475">
        <v>4143.2380000000003</v>
      </c>
      <c r="I23" s="613"/>
      <c r="J23" s="614"/>
    </row>
    <row r="24" spans="2:13" ht="13.8" thickBot="1" x14ac:dyDescent="0.55000000000000004">
      <c r="D24" s="142" t="s">
        <v>260</v>
      </c>
      <c r="E24" s="456"/>
      <c r="F24" s="457">
        <f>F23/E23-1</f>
        <v>8.1480455660840168E-2</v>
      </c>
      <c r="G24" s="457">
        <f t="shared" ref="G24" si="1">G23/F23-1</f>
        <v>0.12295656445133063</v>
      </c>
      <c r="H24" s="457">
        <f t="shared" ref="H24" si="2">H23/G23-1</f>
        <v>1.1884910576846819E-2</v>
      </c>
      <c r="J24" s="615">
        <f>H23/E23-1</f>
        <v>0.22888927294247519</v>
      </c>
    </row>
    <row r="25" spans="2:13" ht="13.8" thickBot="1" x14ac:dyDescent="0.55000000000000004">
      <c r="D25" s="142" t="s">
        <v>262</v>
      </c>
      <c r="E25" s="475">
        <v>8223.8762272727272</v>
      </c>
      <c r="F25" s="475">
        <v>8893.6991818181796</v>
      </c>
      <c r="G25" s="475">
        <v>9993.2543500000011</v>
      </c>
      <c r="H25" s="475">
        <v>10169.637999999997</v>
      </c>
      <c r="I25" s="613"/>
      <c r="J25" s="614"/>
    </row>
    <row r="26" spans="2:13" ht="13.8" thickBot="1" x14ac:dyDescent="0.55000000000000004">
      <c r="D26" s="142" t="s">
        <v>263</v>
      </c>
      <c r="E26" s="456"/>
      <c r="F26" s="457">
        <f>F25/E25-1</f>
        <v>8.1448569510826019E-2</v>
      </c>
      <c r="G26" s="457">
        <f t="shared" ref="G26" si="3">G25/F25-1</f>
        <v>0.12363305141123893</v>
      </c>
      <c r="H26" s="457">
        <f t="shared" ref="H26" si="4">H25/G25-1</f>
        <v>1.7650271255228889E-2</v>
      </c>
      <c r="J26" s="615">
        <f>H25/E25-1</f>
        <v>0.23659910715515964</v>
      </c>
    </row>
    <row r="28" spans="2:13" s="139" customFormat="1" x14ac:dyDescent="0.35">
      <c r="B28" s="139" t="s">
        <v>1378</v>
      </c>
    </row>
    <row r="29" spans="2:13" ht="13.2" thickBot="1" x14ac:dyDescent="0.55000000000000004"/>
    <row r="30" spans="2:13" ht="13.2" thickBot="1" x14ac:dyDescent="0.55000000000000004">
      <c r="D30" s="146" t="s">
        <v>264</v>
      </c>
      <c r="E30" s="441" t="s">
        <v>418</v>
      </c>
      <c r="F30" s="141" t="s">
        <v>419</v>
      </c>
      <c r="G30" s="441" t="s">
        <v>246</v>
      </c>
      <c r="H30" s="441" t="s">
        <v>247</v>
      </c>
      <c r="I30" s="441" t="s">
        <v>248</v>
      </c>
      <c r="J30" s="141" t="s">
        <v>265</v>
      </c>
      <c r="L30" s="204" t="s">
        <v>935</v>
      </c>
    </row>
    <row r="31" spans="2:13" ht="13.8" thickBot="1" x14ac:dyDescent="0.55000000000000004">
      <c r="D31" s="227" t="s">
        <v>551</v>
      </c>
      <c r="E31" s="459">
        <v>0.74</v>
      </c>
      <c r="F31" s="459">
        <v>10.91</v>
      </c>
      <c r="G31" s="459">
        <v>0.79</v>
      </c>
      <c r="H31" s="459">
        <v>1.42</v>
      </c>
      <c r="I31" s="459">
        <v>2.73</v>
      </c>
      <c r="J31" s="455">
        <f>AVERAGE(F31:I31)</f>
        <v>3.9624999999999999</v>
      </c>
      <c r="L31" s="381" t="s">
        <v>951</v>
      </c>
    </row>
    <row r="32" spans="2:13" ht="13.8" thickBot="1" x14ac:dyDescent="0.55000000000000004">
      <c r="D32" s="228" t="s">
        <v>266</v>
      </c>
      <c r="E32" s="460">
        <v>2951.83</v>
      </c>
      <c r="F32" s="460">
        <v>110.97</v>
      </c>
      <c r="G32" s="460">
        <v>180.47</v>
      </c>
      <c r="H32" s="460">
        <v>96.19</v>
      </c>
      <c r="I32" s="460">
        <v>126.82</v>
      </c>
      <c r="J32" s="454">
        <f t="shared" ref="J32:J34" si="5">AVERAGE(F32:I32)</f>
        <v>128.61250000000001</v>
      </c>
    </row>
    <row r="33" spans="2:12" ht="13.8" thickBot="1" x14ac:dyDescent="0.55000000000000004">
      <c r="D33" s="228" t="s">
        <v>267</v>
      </c>
      <c r="E33" s="460">
        <v>260.05</v>
      </c>
      <c r="F33" s="460">
        <v>108.06</v>
      </c>
      <c r="G33" s="460">
        <v>170.63</v>
      </c>
      <c r="H33" s="460">
        <v>249.74</v>
      </c>
      <c r="I33" s="460">
        <v>164.15</v>
      </c>
      <c r="J33" s="454">
        <f t="shared" si="5"/>
        <v>173.14500000000001</v>
      </c>
    </row>
    <row r="34" spans="2:12" ht="13.8" thickBot="1" x14ac:dyDescent="0.55000000000000004">
      <c r="D34" s="228" t="s">
        <v>268</v>
      </c>
      <c r="E34" s="458">
        <v>179.96</v>
      </c>
      <c r="F34" s="458">
        <v>1641.69</v>
      </c>
      <c r="G34" s="458">
        <v>1284.26</v>
      </c>
      <c r="H34" s="460">
        <v>782.34</v>
      </c>
      <c r="I34" s="458">
        <v>1655.47</v>
      </c>
      <c r="J34" s="454">
        <f t="shared" si="5"/>
        <v>1340.94</v>
      </c>
    </row>
    <row r="36" spans="2:12" s="139" customFormat="1" x14ac:dyDescent="0.35">
      <c r="B36" s="139" t="s">
        <v>1379</v>
      </c>
    </row>
    <row r="37" spans="2:12" ht="13.2" thickBot="1" x14ac:dyDescent="0.55000000000000004"/>
    <row r="38" spans="2:12" ht="13.2" thickBot="1" x14ac:dyDescent="0.55000000000000004">
      <c r="D38" s="146" t="s">
        <v>115</v>
      </c>
      <c r="E38" s="441" t="s">
        <v>418</v>
      </c>
      <c r="F38" s="441" t="s">
        <v>419</v>
      </c>
      <c r="G38" s="441" t="s">
        <v>246</v>
      </c>
      <c r="H38" s="441" t="s">
        <v>247</v>
      </c>
      <c r="I38" s="441" t="s">
        <v>248</v>
      </c>
      <c r="J38" s="141" t="s">
        <v>265</v>
      </c>
      <c r="L38" s="204" t="s">
        <v>935</v>
      </c>
    </row>
    <row r="39" spans="2:12" ht="13.8" thickBot="1" x14ac:dyDescent="0.55000000000000004">
      <c r="D39" s="227" t="s">
        <v>551</v>
      </c>
      <c r="E39" s="459">
        <v>0.02</v>
      </c>
      <c r="F39" s="459">
        <v>0.18</v>
      </c>
      <c r="G39" s="459">
        <v>0.14000000000000001</v>
      </c>
      <c r="H39" s="459">
        <v>0.01</v>
      </c>
      <c r="I39" s="459">
        <v>0.03</v>
      </c>
      <c r="J39" s="454">
        <f>AVERAGE(F39:I39)</f>
        <v>0.09</v>
      </c>
      <c r="L39" s="381" t="s">
        <v>951</v>
      </c>
    </row>
    <row r="40" spans="2:12" ht="13.8" thickBot="1" x14ac:dyDescent="0.55000000000000004">
      <c r="D40" s="228" t="s">
        <v>266</v>
      </c>
      <c r="E40" s="460">
        <v>48.05</v>
      </c>
      <c r="F40" s="460">
        <v>1.79</v>
      </c>
      <c r="G40" s="460">
        <v>1.53</v>
      </c>
      <c r="H40" s="460">
        <v>1.78</v>
      </c>
      <c r="I40" s="460">
        <v>1.73</v>
      </c>
      <c r="J40" s="454">
        <f t="shared" ref="J40:J41" si="6">AVERAGE(F40:I40)</f>
        <v>1.7075</v>
      </c>
    </row>
    <row r="41" spans="2:12" ht="13.8" thickBot="1" x14ac:dyDescent="0.55000000000000004">
      <c r="D41" s="228" t="s">
        <v>267</v>
      </c>
      <c r="E41" s="460">
        <v>4.07</v>
      </c>
      <c r="F41" s="460">
        <v>1.77</v>
      </c>
      <c r="G41" s="460">
        <v>2.16</v>
      </c>
      <c r="H41" s="460">
        <v>3.52</v>
      </c>
      <c r="I41" s="460">
        <v>2.8</v>
      </c>
      <c r="J41" s="454">
        <f t="shared" si="6"/>
        <v>2.5625</v>
      </c>
    </row>
    <row r="42" spans="2:12" ht="13.8" thickBot="1" x14ac:dyDescent="0.55000000000000004">
      <c r="D42" s="228" t="s">
        <v>268</v>
      </c>
      <c r="E42" s="458">
        <v>3.06</v>
      </c>
      <c r="F42" s="460">
        <v>16.46</v>
      </c>
      <c r="G42" s="460">
        <v>9.6</v>
      </c>
      <c r="H42" s="460">
        <v>11.07</v>
      </c>
      <c r="I42" s="460">
        <v>14.03</v>
      </c>
      <c r="J42" s="454">
        <f t="shared" ref="J42" si="7">AVERAGE(F42:I42)</f>
        <v>12.790000000000001</v>
      </c>
    </row>
    <row r="44" spans="2:12" s="139" customFormat="1" x14ac:dyDescent="0.35">
      <c r="B44" s="139" t="s">
        <v>1380</v>
      </c>
    </row>
    <row r="45" spans="2:12" ht="13.2" thickBot="1" x14ac:dyDescent="0.55000000000000004"/>
    <row r="46" spans="2:12" ht="13.2" thickBot="1" x14ac:dyDescent="0.55000000000000004">
      <c r="D46" s="146" t="s">
        <v>115</v>
      </c>
      <c r="E46" s="441" t="s">
        <v>419</v>
      </c>
      <c r="F46" s="441" t="s">
        <v>246</v>
      </c>
      <c r="G46" s="441" t="s">
        <v>247</v>
      </c>
      <c r="H46" s="441" t="s">
        <v>248</v>
      </c>
      <c r="I46" s="141" t="s">
        <v>265</v>
      </c>
    </row>
    <row r="47" spans="2:12" ht="13.8" thickBot="1" x14ac:dyDescent="0.55000000000000004">
      <c r="D47" s="227" t="s">
        <v>1224</v>
      </c>
      <c r="E47" s="452" t="str">
        <f>NA</f>
        <v>N/A</v>
      </c>
      <c r="F47" s="462">
        <v>146620</v>
      </c>
      <c r="G47" s="462">
        <v>194090</v>
      </c>
      <c r="H47" s="452">
        <v>117920</v>
      </c>
      <c r="I47" s="452">
        <f>AVERAGE(E47:H47)</f>
        <v>152876.66666666666</v>
      </c>
    </row>
    <row r="48" spans="2:12" ht="13.8" thickBot="1" x14ac:dyDescent="0.55000000000000004">
      <c r="D48" s="228" t="s">
        <v>552</v>
      </c>
      <c r="E48" s="463">
        <v>0.25</v>
      </c>
      <c r="F48" s="463">
        <v>0.7</v>
      </c>
      <c r="G48" s="463">
        <v>0.59</v>
      </c>
      <c r="H48" s="463">
        <v>0.68</v>
      </c>
      <c r="I48" s="464">
        <f t="shared" ref="I48:I49" si="8">AVERAGE(E48:H48)</f>
        <v>0.55500000000000005</v>
      </c>
      <c r="K48" s="204" t="s">
        <v>935</v>
      </c>
    </row>
    <row r="49" spans="2:11" ht="13.8" thickBot="1" x14ac:dyDescent="0.55000000000000004">
      <c r="D49" s="228" t="s">
        <v>553</v>
      </c>
      <c r="E49" s="461">
        <v>242819</v>
      </c>
      <c r="F49" s="461">
        <v>221406</v>
      </c>
      <c r="G49" s="461">
        <v>204326</v>
      </c>
      <c r="H49" s="461">
        <v>93982</v>
      </c>
      <c r="I49" s="453">
        <f t="shared" si="8"/>
        <v>190633.25</v>
      </c>
      <c r="K49" s="381" t="s">
        <v>951</v>
      </c>
    </row>
    <row r="51" spans="2:11" s="139" customFormat="1" x14ac:dyDescent="0.35">
      <c r="B51" s="139" t="s">
        <v>32</v>
      </c>
    </row>
  </sheetData>
  <mergeCells count="3">
    <mergeCell ref="D9:J9"/>
    <mergeCell ref="D12:J12"/>
    <mergeCell ref="D15:J15"/>
  </mergeCells>
  <conditionalFormatting sqref="B2">
    <cfRule type="cellIs" dxfId="38" priority="1" operator="notEqual">
      <formula>"No Errors Found"</formula>
    </cfRule>
  </conditionalFormatting>
  <hyperlinks>
    <hyperlink ref="B3:D3" location="Cover!A1" display="Go to Cover Sheet"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G40"/>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6" ht="20.399999999999999" x14ac:dyDescent="0.5">
      <c r="A1" s="65">
        <f>IF(SUM($A6:$A39)&gt;0,1,0)</f>
        <v>0</v>
      </c>
      <c r="B1" s="136" t="s">
        <v>554</v>
      </c>
    </row>
    <row r="2" spans="1:6" s="104" customFormat="1" ht="10.199999999999999" x14ac:dyDescent="0.35">
      <c r="B2" s="105" t="str">
        <f>Title_Msg</f>
        <v>No Errors Found</v>
      </c>
    </row>
    <row r="3" spans="1:6" s="104" customFormat="1" ht="12.3" x14ac:dyDescent="0.35">
      <c r="B3" s="106" t="s">
        <v>51</v>
      </c>
      <c r="C3" s="106"/>
      <c r="D3" s="106"/>
      <c r="E3" s="107"/>
    </row>
    <row r="4" spans="1:6" s="104" customFormat="1" ht="12.3" x14ac:dyDescent="0.35">
      <c r="B4" s="108" t="str">
        <f>Model_Name</f>
        <v>Power and Water Corporation (PWC) - Regulatory Proposal Tables and Charts</v>
      </c>
    </row>
    <row r="6" spans="1:6" s="139" customFormat="1" x14ac:dyDescent="0.35">
      <c r="B6" s="139" t="s">
        <v>843</v>
      </c>
    </row>
    <row r="7" spans="1:6" ht="13.2" thickBot="1" x14ac:dyDescent="0.55000000000000004"/>
    <row r="8" spans="1:6" ht="13.2" thickBot="1" x14ac:dyDescent="0.55000000000000004">
      <c r="D8" s="229" t="s">
        <v>555</v>
      </c>
      <c r="E8" s="230" t="s">
        <v>556</v>
      </c>
      <c r="F8" s="230" t="s">
        <v>557</v>
      </c>
    </row>
    <row r="9" spans="1:6" ht="13.8" thickBot="1" x14ac:dyDescent="0.55000000000000004">
      <c r="D9" s="231" t="s">
        <v>558</v>
      </c>
      <c r="E9" s="232">
        <v>2</v>
      </c>
      <c r="F9" s="233">
        <v>42781</v>
      </c>
    </row>
    <row r="10" spans="1:6" ht="13.8" thickBot="1" x14ac:dyDescent="0.55000000000000004">
      <c r="D10" s="231" t="s">
        <v>559</v>
      </c>
      <c r="E10" s="232">
        <v>2</v>
      </c>
      <c r="F10" s="233">
        <v>42782</v>
      </c>
    </row>
    <row r="11" spans="1:6" ht="13.8" thickBot="1" x14ac:dyDescent="0.55000000000000004">
      <c r="D11" s="231" t="s">
        <v>560</v>
      </c>
      <c r="E11" s="232">
        <v>2</v>
      </c>
      <c r="F11" s="233">
        <v>42782</v>
      </c>
    </row>
    <row r="12" spans="1:6" ht="13.8" thickBot="1" x14ac:dyDescent="0.55000000000000004">
      <c r="D12" s="231" t="s">
        <v>561</v>
      </c>
      <c r="E12" s="232">
        <v>2</v>
      </c>
      <c r="F12" s="233">
        <v>42786</v>
      </c>
    </row>
    <row r="13" spans="1:6" ht="13.8" thickBot="1" x14ac:dyDescent="0.55000000000000004">
      <c r="D13" s="231" t="s">
        <v>562</v>
      </c>
      <c r="E13" s="232">
        <v>1</v>
      </c>
      <c r="F13" s="233">
        <v>42787</v>
      </c>
    </row>
    <row r="15" spans="1:6" s="139" customFormat="1" x14ac:dyDescent="0.35">
      <c r="B15" s="139" t="s">
        <v>842</v>
      </c>
    </row>
    <row r="16" spans="1:6" ht="13.2" thickBot="1" x14ac:dyDescent="0.55000000000000004"/>
    <row r="17" spans="4:7" ht="13.2" thickBot="1" x14ac:dyDescent="0.55000000000000004">
      <c r="D17" s="229" t="s">
        <v>563</v>
      </c>
      <c r="E17" s="230" t="s">
        <v>564</v>
      </c>
      <c r="F17" s="230" t="s">
        <v>844</v>
      </c>
      <c r="G17" s="230" t="s">
        <v>565</v>
      </c>
    </row>
    <row r="18" spans="4:7" ht="13.5" x14ac:dyDescent="0.5">
      <c r="D18" s="291" t="s">
        <v>566</v>
      </c>
      <c r="E18" s="219" t="s">
        <v>845</v>
      </c>
      <c r="F18" s="219" t="s">
        <v>846</v>
      </c>
      <c r="G18" s="684" t="s">
        <v>569</v>
      </c>
    </row>
    <row r="19" spans="4:7" ht="13.5" x14ac:dyDescent="0.5">
      <c r="D19" s="291" t="s">
        <v>567</v>
      </c>
      <c r="E19" s="295" t="s">
        <v>855</v>
      </c>
      <c r="F19" s="219" t="s">
        <v>568</v>
      </c>
      <c r="G19" s="685"/>
    </row>
    <row r="20" spans="4:7" ht="13.8" thickBot="1" x14ac:dyDescent="0.55000000000000004">
      <c r="D20" s="292"/>
      <c r="E20" s="296" t="s">
        <v>856</v>
      </c>
      <c r="F20" s="234"/>
      <c r="G20" s="686"/>
    </row>
    <row r="21" spans="4:7" ht="13.5" x14ac:dyDescent="0.5">
      <c r="D21" s="291" t="s">
        <v>570</v>
      </c>
      <c r="E21" s="219" t="s">
        <v>571</v>
      </c>
      <c r="F21" s="297" t="s">
        <v>857</v>
      </c>
      <c r="G21" s="219" t="s">
        <v>847</v>
      </c>
    </row>
    <row r="22" spans="4:7" ht="13.5" x14ac:dyDescent="0.5">
      <c r="D22" s="291" t="s">
        <v>567</v>
      </c>
      <c r="E22" s="297" t="s">
        <v>858</v>
      </c>
      <c r="F22" s="297" t="s">
        <v>859</v>
      </c>
      <c r="G22" s="219" t="s">
        <v>572</v>
      </c>
    </row>
    <row r="23" spans="4:7" ht="13.5" x14ac:dyDescent="0.5">
      <c r="D23" s="293"/>
      <c r="E23" s="297" t="s">
        <v>860</v>
      </c>
      <c r="F23" s="297" t="s">
        <v>861</v>
      </c>
      <c r="G23" s="235"/>
    </row>
    <row r="24" spans="4:7" ht="13.8" thickBot="1" x14ac:dyDescent="0.55000000000000004">
      <c r="D24" s="292"/>
      <c r="E24" s="298" t="s">
        <v>862</v>
      </c>
      <c r="F24" s="234"/>
      <c r="G24" s="234"/>
    </row>
    <row r="25" spans="4:7" ht="13.5" x14ac:dyDescent="0.5">
      <c r="D25" s="291" t="s">
        <v>848</v>
      </c>
      <c r="E25" s="219" t="s">
        <v>573</v>
      </c>
      <c r="F25" s="219" t="s">
        <v>849</v>
      </c>
      <c r="G25" s="684" t="s">
        <v>850</v>
      </c>
    </row>
    <row r="26" spans="4:7" ht="13.5" x14ac:dyDescent="0.5">
      <c r="D26" s="291" t="s">
        <v>567</v>
      </c>
      <c r="E26" s="297" t="s">
        <v>863</v>
      </c>
      <c r="F26" s="297" t="s">
        <v>864</v>
      </c>
      <c r="G26" s="685"/>
    </row>
    <row r="27" spans="4:7" ht="13.8" thickBot="1" x14ac:dyDescent="0.55000000000000004">
      <c r="D27" s="292"/>
      <c r="E27" s="298" t="s">
        <v>865</v>
      </c>
      <c r="F27" s="298" t="s">
        <v>866</v>
      </c>
      <c r="G27" s="686"/>
    </row>
    <row r="28" spans="4:7" ht="13.5" x14ac:dyDescent="0.5">
      <c r="D28" s="291" t="s">
        <v>574</v>
      </c>
      <c r="E28" s="219" t="s">
        <v>575</v>
      </c>
      <c r="F28" s="297" t="s">
        <v>867</v>
      </c>
      <c r="G28" s="219" t="s">
        <v>576</v>
      </c>
    </row>
    <row r="29" spans="4:7" ht="13.5" x14ac:dyDescent="0.5">
      <c r="D29" s="291" t="s">
        <v>567</v>
      </c>
      <c r="E29" s="297" t="s">
        <v>868</v>
      </c>
      <c r="F29" s="297" t="s">
        <v>869</v>
      </c>
      <c r="G29" s="219" t="s">
        <v>577</v>
      </c>
    </row>
    <row r="30" spans="4:7" ht="13.5" x14ac:dyDescent="0.5">
      <c r="D30" s="293"/>
      <c r="E30" s="297" t="s">
        <v>870</v>
      </c>
      <c r="F30" s="297" t="s">
        <v>871</v>
      </c>
      <c r="G30" s="235"/>
    </row>
    <row r="31" spans="4:7" ht="13.8" thickBot="1" x14ac:dyDescent="0.55000000000000004">
      <c r="D31" s="292"/>
      <c r="E31" s="298" t="s">
        <v>872</v>
      </c>
      <c r="F31" s="234"/>
      <c r="G31" s="234"/>
    </row>
    <row r="32" spans="4:7" ht="13.5" x14ac:dyDescent="0.5">
      <c r="D32" s="291" t="s">
        <v>851</v>
      </c>
      <c r="E32" s="219" t="s">
        <v>579</v>
      </c>
      <c r="F32" s="297" t="s">
        <v>873</v>
      </c>
      <c r="G32" s="219" t="s">
        <v>580</v>
      </c>
    </row>
    <row r="33" spans="2:7" ht="13.5" x14ac:dyDescent="0.5">
      <c r="D33" s="291" t="s">
        <v>578</v>
      </c>
      <c r="E33" s="297" t="s">
        <v>874</v>
      </c>
      <c r="F33" s="297" t="s">
        <v>875</v>
      </c>
      <c r="G33" s="220" t="s">
        <v>876</v>
      </c>
    </row>
    <row r="34" spans="2:7" ht="13.5" x14ac:dyDescent="0.5">
      <c r="D34" s="293"/>
      <c r="E34" s="297" t="s">
        <v>877</v>
      </c>
      <c r="F34" s="297" t="s">
        <v>878</v>
      </c>
      <c r="G34" s="220" t="s">
        <v>879</v>
      </c>
    </row>
    <row r="35" spans="2:7" ht="13.5" x14ac:dyDescent="0.5">
      <c r="D35" s="293"/>
      <c r="E35" s="297" t="s">
        <v>880</v>
      </c>
      <c r="F35" s="235"/>
      <c r="G35" s="220" t="s">
        <v>881</v>
      </c>
    </row>
    <row r="36" spans="2:7" ht="13.8" thickBot="1" x14ac:dyDescent="0.55000000000000004">
      <c r="D36" s="292"/>
      <c r="E36" s="234"/>
      <c r="F36" s="234"/>
      <c r="G36" s="221" t="s">
        <v>882</v>
      </c>
    </row>
    <row r="37" spans="2:7" ht="15" thickBot="1" x14ac:dyDescent="0.55000000000000004">
      <c r="D37" s="294" t="s">
        <v>852</v>
      </c>
      <c r="E37" s="216" t="s">
        <v>853</v>
      </c>
      <c r="F37" s="298" t="s">
        <v>883</v>
      </c>
      <c r="G37" s="216" t="s">
        <v>854</v>
      </c>
    </row>
    <row r="39" spans="2:7" s="139" customFormat="1" x14ac:dyDescent="0.35">
      <c r="B39" s="139" t="s">
        <v>32</v>
      </c>
    </row>
    <row r="40" spans="2:7" x14ac:dyDescent="0.5">
      <c r="B40" s="226" t="s">
        <v>548</v>
      </c>
    </row>
  </sheetData>
  <mergeCells count="2">
    <mergeCell ref="G18:G20"/>
    <mergeCell ref="G25:G27"/>
  </mergeCells>
  <conditionalFormatting sqref="B2">
    <cfRule type="cellIs" dxfId="37" priority="1" operator="notEqual">
      <formula>"No Errors Found"</formula>
    </cfRule>
  </conditionalFormatting>
  <hyperlinks>
    <hyperlink ref="B3:D3" location="Cover!A1" display="Go to Cover Sheet"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581</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36" priority="1" operator="notEqual">
      <formula>"No Errors Found"</formula>
    </cfRule>
  </conditionalFormatting>
  <hyperlinks>
    <hyperlink ref="B3:D3" location="Cover!A1" display="Go to Cover Sheet"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dimension ref="A1:F34"/>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6" ht="20.399999999999999" x14ac:dyDescent="0.5">
      <c r="A1" s="65">
        <f>IF(SUM($A6:$A34)&gt;0,1,0)</f>
        <v>0</v>
      </c>
      <c r="B1" s="136" t="s">
        <v>582</v>
      </c>
    </row>
    <row r="2" spans="1:6" s="104" customFormat="1" ht="10.199999999999999" x14ac:dyDescent="0.35">
      <c r="B2" s="105" t="str">
        <f>Title_Msg</f>
        <v>No Errors Found</v>
      </c>
    </row>
    <row r="3" spans="1:6" s="104" customFormat="1" ht="12.3" x14ac:dyDescent="0.35">
      <c r="B3" s="106" t="s">
        <v>51</v>
      </c>
      <c r="C3" s="106"/>
      <c r="D3" s="106"/>
      <c r="E3" s="107"/>
    </row>
    <row r="4" spans="1:6" s="104" customFormat="1" ht="12.3" x14ac:dyDescent="0.35">
      <c r="B4" s="108" t="str">
        <f>Model_Name</f>
        <v>Power and Water Corporation (PWC) - Regulatory Proposal Tables and Charts</v>
      </c>
    </row>
    <row r="6" spans="1:6" s="139" customFormat="1" x14ac:dyDescent="0.35">
      <c r="B6" s="139" t="s">
        <v>583</v>
      </c>
    </row>
    <row r="7" spans="1:6" ht="13.2" thickBot="1" x14ac:dyDescent="0.55000000000000004"/>
    <row r="8" spans="1:6" ht="39" thickBot="1" x14ac:dyDescent="0.55000000000000004">
      <c r="D8" s="214" t="s">
        <v>584</v>
      </c>
      <c r="E8" s="206" t="s">
        <v>585</v>
      </c>
      <c r="F8" s="206" t="s">
        <v>586</v>
      </c>
    </row>
    <row r="9" spans="1:6" ht="13.2" thickBot="1" x14ac:dyDescent="0.55000000000000004">
      <c r="D9" s="687" t="s">
        <v>587</v>
      </c>
      <c r="E9" s="688"/>
      <c r="F9" s="689"/>
    </row>
    <row r="10" spans="1:6" ht="13.8" thickBot="1" x14ac:dyDescent="0.55000000000000004">
      <c r="D10" s="236" t="s">
        <v>588</v>
      </c>
      <c r="E10" s="237" t="s">
        <v>97</v>
      </c>
      <c r="F10" s="237" t="s">
        <v>97</v>
      </c>
    </row>
    <row r="11" spans="1:6" ht="13.2" thickBot="1" x14ac:dyDescent="0.55000000000000004">
      <c r="D11" s="687" t="s">
        <v>589</v>
      </c>
      <c r="E11" s="688"/>
      <c r="F11" s="689"/>
    </row>
    <row r="12" spans="1:6" ht="13.8" thickBot="1" x14ac:dyDescent="0.55000000000000004">
      <c r="D12" s="236" t="s">
        <v>590</v>
      </c>
      <c r="E12" s="237" t="s">
        <v>98</v>
      </c>
      <c r="F12" s="237" t="s">
        <v>98</v>
      </c>
    </row>
    <row r="13" spans="1:6" ht="13.8" thickBot="1" x14ac:dyDescent="0.55000000000000004">
      <c r="D13" s="236" t="s">
        <v>591</v>
      </c>
      <c r="E13" s="237" t="s">
        <v>98</v>
      </c>
      <c r="F13" s="237" t="s">
        <v>98</v>
      </c>
    </row>
    <row r="14" spans="1:6" ht="27.3" thickBot="1" x14ac:dyDescent="0.55000000000000004">
      <c r="D14" s="236" t="s">
        <v>592</v>
      </c>
      <c r="E14" s="237" t="s">
        <v>98</v>
      </c>
      <c r="F14" s="237" t="s">
        <v>98</v>
      </c>
    </row>
    <row r="15" spans="1:6" ht="27.3" thickBot="1" x14ac:dyDescent="0.55000000000000004">
      <c r="D15" s="236" t="s">
        <v>593</v>
      </c>
      <c r="E15" s="237" t="s">
        <v>98</v>
      </c>
      <c r="F15" s="237" t="s">
        <v>98</v>
      </c>
    </row>
    <row r="16" spans="1:6" ht="13.8" thickBot="1" x14ac:dyDescent="0.55000000000000004">
      <c r="D16" s="236" t="s">
        <v>594</v>
      </c>
      <c r="E16" s="237" t="s">
        <v>98</v>
      </c>
      <c r="F16" s="237" t="s">
        <v>98</v>
      </c>
    </row>
    <row r="17" spans="4:6" ht="13.8" thickBot="1" x14ac:dyDescent="0.55000000000000004">
      <c r="D17" s="236" t="s">
        <v>595</v>
      </c>
      <c r="E17" s="237" t="s">
        <v>98</v>
      </c>
      <c r="F17" s="237" t="s">
        <v>98</v>
      </c>
    </row>
    <row r="18" spans="4:6" ht="13.8" thickBot="1" x14ac:dyDescent="0.55000000000000004">
      <c r="D18" s="236" t="s">
        <v>596</v>
      </c>
      <c r="E18" s="238" t="s">
        <v>34</v>
      </c>
      <c r="F18" s="238" t="s">
        <v>98</v>
      </c>
    </row>
    <row r="19" spans="4:6" ht="13.8" thickBot="1" x14ac:dyDescent="0.55000000000000004">
      <c r="D19" s="236" t="s">
        <v>597</v>
      </c>
      <c r="E19" s="237" t="s">
        <v>98</v>
      </c>
      <c r="F19" s="237" t="s">
        <v>98</v>
      </c>
    </row>
    <row r="20" spans="4:6" ht="27.3" thickBot="1" x14ac:dyDescent="0.55000000000000004">
      <c r="D20" s="236" t="s">
        <v>598</v>
      </c>
      <c r="E20" s="237" t="s">
        <v>98</v>
      </c>
      <c r="F20" s="237" t="s">
        <v>98</v>
      </c>
    </row>
    <row r="21" spans="4:6" ht="27.3" thickBot="1" x14ac:dyDescent="0.55000000000000004">
      <c r="D21" s="236" t="s">
        <v>599</v>
      </c>
      <c r="E21" s="238" t="s">
        <v>34</v>
      </c>
      <c r="F21" s="238" t="s">
        <v>98</v>
      </c>
    </row>
    <row r="22" spans="4:6" ht="40.799999999999997" thickBot="1" x14ac:dyDescent="0.55000000000000004">
      <c r="D22" s="236" t="s">
        <v>600</v>
      </c>
      <c r="E22" s="237" t="s">
        <v>98</v>
      </c>
      <c r="F22" s="237" t="s">
        <v>98</v>
      </c>
    </row>
    <row r="23" spans="4:6" ht="27.3" thickBot="1" x14ac:dyDescent="0.55000000000000004">
      <c r="D23" s="236" t="s">
        <v>601</v>
      </c>
      <c r="E23" s="237" t="s">
        <v>34</v>
      </c>
      <c r="F23" s="237" t="s">
        <v>98</v>
      </c>
    </row>
    <row r="24" spans="4:6" ht="13.2" thickBot="1" x14ac:dyDescent="0.55000000000000004">
      <c r="D24" s="687" t="s">
        <v>602</v>
      </c>
      <c r="E24" s="688"/>
      <c r="F24" s="689"/>
    </row>
    <row r="25" spans="4:6" ht="13.8" thickBot="1" x14ac:dyDescent="0.55000000000000004">
      <c r="D25" s="236" t="s">
        <v>603</v>
      </c>
      <c r="E25" s="238" t="s">
        <v>97</v>
      </c>
      <c r="F25" s="238" t="s">
        <v>98</v>
      </c>
    </row>
    <row r="26" spans="4:6" ht="13.8" thickBot="1" x14ac:dyDescent="0.55000000000000004">
      <c r="D26" s="236" t="s">
        <v>604</v>
      </c>
      <c r="E26" s="237" t="s">
        <v>97</v>
      </c>
      <c r="F26" s="237" t="s">
        <v>97</v>
      </c>
    </row>
    <row r="27" spans="4:6" ht="27.3" thickBot="1" x14ac:dyDescent="0.55000000000000004">
      <c r="D27" s="236" t="s">
        <v>605</v>
      </c>
      <c r="E27" s="237" t="s">
        <v>98</v>
      </c>
      <c r="F27" s="237" t="s">
        <v>98</v>
      </c>
    </row>
    <row r="28" spans="4:6" ht="13.2" thickBot="1" x14ac:dyDescent="0.55000000000000004">
      <c r="D28" s="687" t="s">
        <v>606</v>
      </c>
      <c r="E28" s="688"/>
      <c r="F28" s="689"/>
    </row>
    <row r="29" spans="4:6" ht="13.8" thickBot="1" x14ac:dyDescent="0.55000000000000004">
      <c r="D29" s="236" t="s">
        <v>607</v>
      </c>
      <c r="E29" s="237" t="s">
        <v>97</v>
      </c>
      <c r="F29" s="237" t="s">
        <v>97</v>
      </c>
    </row>
    <row r="30" spans="4:6" ht="13.8" thickBot="1" x14ac:dyDescent="0.55000000000000004">
      <c r="D30" s="236" t="s">
        <v>608</v>
      </c>
      <c r="E30" s="237" t="s">
        <v>98</v>
      </c>
      <c r="F30" s="237" t="s">
        <v>98</v>
      </c>
    </row>
    <row r="31" spans="4:6" ht="13.2" thickBot="1" x14ac:dyDescent="0.55000000000000004">
      <c r="D31" s="687" t="s">
        <v>609</v>
      </c>
      <c r="E31" s="688"/>
      <c r="F31" s="689"/>
    </row>
    <row r="32" spans="4:6" ht="27.3" thickBot="1" x14ac:dyDescent="0.55000000000000004">
      <c r="D32" s="236" t="s">
        <v>242</v>
      </c>
      <c r="E32" s="238" t="s">
        <v>34</v>
      </c>
      <c r="F32" s="238" t="s">
        <v>610</v>
      </c>
    </row>
    <row r="33" spans="2:6" x14ac:dyDescent="0.5">
      <c r="D33"/>
      <c r="E33"/>
      <c r="F33"/>
    </row>
    <row r="34" spans="2:6" s="139" customFormat="1" x14ac:dyDescent="0.35">
      <c r="B34" s="139" t="s">
        <v>32</v>
      </c>
    </row>
  </sheetData>
  <mergeCells count="5">
    <mergeCell ref="D9:F9"/>
    <mergeCell ref="D11:F11"/>
    <mergeCell ref="D24:F24"/>
    <mergeCell ref="D28:F28"/>
    <mergeCell ref="D31:F31"/>
  </mergeCells>
  <conditionalFormatting sqref="B2">
    <cfRule type="cellIs" dxfId="35" priority="1" operator="notEqual">
      <formula>"No Errors Found"</formula>
    </cfRule>
  </conditionalFormatting>
  <hyperlinks>
    <hyperlink ref="D25" location="_ftn1" display="_ftn1" xr:uid="{00000000-0004-0000-1000-000000000000}"/>
    <hyperlink ref="B3:D3" location="Cover!A1" display="Go to Cover Sheet" xr:uid="{00000000-0004-0000-1000-000001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N97"/>
  <sheetViews>
    <sheetView showGridLines="0" zoomScale="85" zoomScaleNormal="85"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12" ht="20.399999999999999" x14ac:dyDescent="0.5">
      <c r="A1" s="65">
        <f>IF(SUM($A60:$A97)&gt;0,1,0)</f>
        <v>0</v>
      </c>
      <c r="B1" s="136" t="s">
        <v>269</v>
      </c>
    </row>
    <row r="2" spans="1:12" s="104" customFormat="1" ht="10.199999999999999" x14ac:dyDescent="0.35">
      <c r="B2" s="105" t="str">
        <f>Title_Msg</f>
        <v>No Errors Found</v>
      </c>
    </row>
    <row r="3" spans="1:12" s="104" customFormat="1" ht="12.3" x14ac:dyDescent="0.35">
      <c r="B3" s="106" t="s">
        <v>51</v>
      </c>
      <c r="C3" s="106"/>
      <c r="D3" s="106"/>
      <c r="E3" s="107"/>
    </row>
    <row r="4" spans="1:12" s="104" customFormat="1" ht="12.3" x14ac:dyDescent="0.35">
      <c r="B4" s="108" t="str">
        <f>Model_Name</f>
        <v>Power and Water Corporation (PWC) - Regulatory Proposal Tables and Charts</v>
      </c>
    </row>
    <row r="6" spans="1:12" s="139" customFormat="1" x14ac:dyDescent="0.35">
      <c r="B6" s="139" t="s">
        <v>1219</v>
      </c>
    </row>
    <row r="8" spans="1:12" x14ac:dyDescent="0.5">
      <c r="L8" s="204" t="s">
        <v>935</v>
      </c>
    </row>
    <row r="9" spans="1:12" x14ac:dyDescent="0.5">
      <c r="L9" s="204" t="s">
        <v>1372</v>
      </c>
    </row>
    <row r="10" spans="1:12" x14ac:dyDescent="0.5">
      <c r="L10" s="204" t="s">
        <v>1361</v>
      </c>
    </row>
    <row r="11" spans="1:12" x14ac:dyDescent="0.5">
      <c r="L11" s="204" t="s">
        <v>1622</v>
      </c>
    </row>
    <row r="26" spans="1:14" ht="13.2" thickBot="1" x14ac:dyDescent="0.55000000000000004">
      <c r="D26" s="448" t="s">
        <v>1221</v>
      </c>
    </row>
    <row r="27" spans="1:14" ht="13.8" thickBot="1" x14ac:dyDescent="0.55000000000000004">
      <c r="D27" s="444"/>
      <c r="E27" s="445" t="s">
        <v>246</v>
      </c>
      <c r="F27" s="445" t="s">
        <v>247</v>
      </c>
      <c r="G27" s="445" t="s">
        <v>248</v>
      </c>
      <c r="H27" s="445" t="s">
        <v>249</v>
      </c>
      <c r="I27" s="445" t="s">
        <v>250</v>
      </c>
      <c r="J27" s="445" t="s">
        <v>236</v>
      </c>
      <c r="K27" s="445" t="s">
        <v>237</v>
      </c>
      <c r="L27" s="445" t="s">
        <v>238</v>
      </c>
      <c r="M27" s="445" t="s">
        <v>239</v>
      </c>
      <c r="N27" s="445" t="s">
        <v>240</v>
      </c>
    </row>
    <row r="28" spans="1:14" ht="13.8" thickBot="1" x14ac:dyDescent="0.55000000000000004">
      <c r="D28" s="446" t="s">
        <v>272</v>
      </c>
      <c r="E28" s="447">
        <v>348.89</v>
      </c>
      <c r="F28" s="447">
        <v>353.83000000000004</v>
      </c>
      <c r="G28" s="447">
        <v>357.45929172399997</v>
      </c>
      <c r="H28" s="447">
        <v>351.64025275700004</v>
      </c>
      <c r="I28" s="447">
        <v>344.61873374300001</v>
      </c>
      <c r="J28" s="447">
        <v>339.07925003499997</v>
      </c>
      <c r="K28" s="447">
        <v>339.32073156500002</v>
      </c>
      <c r="L28" s="447">
        <v>336.87572723300002</v>
      </c>
      <c r="M28" s="447">
        <v>336.03994168899999</v>
      </c>
      <c r="N28" s="447">
        <v>335.67859043299995</v>
      </c>
    </row>
    <row r="29" spans="1:14" ht="13.8" thickBot="1" x14ac:dyDescent="0.55000000000000004">
      <c r="D29" s="446" t="s">
        <v>273</v>
      </c>
      <c r="E29" s="447">
        <v>1750.9817492680004</v>
      </c>
      <c r="F29" s="447">
        <v>1812.1782020339995</v>
      </c>
      <c r="G29" s="447">
        <v>1779.5014095849997</v>
      </c>
      <c r="H29" s="447">
        <v>1872.4920395256695</v>
      </c>
      <c r="I29" s="447">
        <v>1842.7763317131175</v>
      </c>
      <c r="J29" s="447">
        <v>1828.7610648300958</v>
      </c>
      <c r="K29" s="447">
        <v>1828.8009057432359</v>
      </c>
      <c r="L29" s="447">
        <v>1829.6770072474869</v>
      </c>
      <c r="M29" s="447">
        <v>1831.2544176920048</v>
      </c>
      <c r="N29" s="447">
        <v>1835.0101628864788</v>
      </c>
    </row>
    <row r="31" spans="1:14" ht="13.5" x14ac:dyDescent="0.5">
      <c r="A31" s="70">
        <f>IF(SUM(D31:H31)&lt;&gt;0,1,0)</f>
        <v>0</v>
      </c>
      <c r="D31" s="450" t="s">
        <v>822</v>
      </c>
      <c r="E31" s="449">
        <v>0</v>
      </c>
      <c r="F31" s="449">
        <v>0</v>
      </c>
      <c r="G31" s="449">
        <v>0</v>
      </c>
      <c r="H31" s="449">
        <v>0</v>
      </c>
      <c r="I31" s="268">
        <v>0</v>
      </c>
      <c r="J31" s="449">
        <f t="shared" ref="J31:N32" si="0">IF(ROUND(J28-E64,2)&lt;&gt;0,1,0)</f>
        <v>0</v>
      </c>
      <c r="K31" s="268">
        <f t="shared" si="0"/>
        <v>0</v>
      </c>
      <c r="L31" s="268">
        <f t="shared" si="0"/>
        <v>0</v>
      </c>
      <c r="M31" s="268">
        <f t="shared" si="0"/>
        <v>0</v>
      </c>
      <c r="N31" s="268">
        <f t="shared" si="0"/>
        <v>0</v>
      </c>
    </row>
    <row r="32" spans="1:14" ht="13.5" x14ac:dyDescent="0.5">
      <c r="A32" s="70">
        <f>IF(SUM(D32:H32)&lt;&gt;0,1,0)</f>
        <v>0</v>
      </c>
      <c r="D32" s="450" t="s">
        <v>1222</v>
      </c>
      <c r="E32" s="268">
        <v>0</v>
      </c>
      <c r="F32" s="268">
        <v>0</v>
      </c>
      <c r="G32" s="268">
        <v>0</v>
      </c>
      <c r="H32" s="449">
        <v>0</v>
      </c>
      <c r="I32" s="268">
        <v>0</v>
      </c>
      <c r="J32" s="449">
        <f t="shared" si="0"/>
        <v>0</v>
      </c>
      <c r="K32" s="268">
        <f t="shared" si="0"/>
        <v>0</v>
      </c>
      <c r="L32" s="268">
        <f t="shared" si="0"/>
        <v>0</v>
      </c>
      <c r="M32" s="268">
        <f t="shared" si="0"/>
        <v>0</v>
      </c>
      <c r="N32" s="268">
        <f t="shared" si="0"/>
        <v>0</v>
      </c>
    </row>
    <row r="34" spans="2:12" s="139" customFormat="1" x14ac:dyDescent="0.35">
      <c r="B34" s="139" t="s">
        <v>1220</v>
      </c>
    </row>
    <row r="36" spans="2:12" x14ac:dyDescent="0.5">
      <c r="L36" s="204" t="s">
        <v>935</v>
      </c>
    </row>
    <row r="37" spans="2:12" x14ac:dyDescent="0.5">
      <c r="L37" s="204" t="s">
        <v>1362</v>
      </c>
    </row>
    <row r="38" spans="2:12" x14ac:dyDescent="0.5">
      <c r="K38" s="204"/>
      <c r="L38" s="204" t="s">
        <v>1373</v>
      </c>
    </row>
    <row r="54" spans="1:14" ht="13.2" thickBot="1" x14ac:dyDescent="0.55000000000000004">
      <c r="D54" s="448" t="s">
        <v>1221</v>
      </c>
    </row>
    <row r="55" spans="1:14" ht="13.8" thickBot="1" x14ac:dyDescent="0.55000000000000004">
      <c r="D55" s="444"/>
      <c r="E55" s="445" t="s">
        <v>246</v>
      </c>
      <c r="F55" s="445" t="s">
        <v>247</v>
      </c>
      <c r="G55" s="445" t="s">
        <v>248</v>
      </c>
      <c r="H55" s="445" t="s">
        <v>249</v>
      </c>
      <c r="I55" s="445" t="s">
        <v>250</v>
      </c>
      <c r="J55" s="445" t="s">
        <v>236</v>
      </c>
      <c r="K55" s="445" t="s">
        <v>237</v>
      </c>
      <c r="L55" s="445" t="s">
        <v>238</v>
      </c>
      <c r="M55" s="445" t="s">
        <v>239</v>
      </c>
      <c r="N55" s="445" t="s">
        <v>240</v>
      </c>
    </row>
    <row r="56" spans="1:14" ht="13.8" thickBot="1" x14ac:dyDescent="0.55000000000000004">
      <c r="D56" s="446" t="s">
        <v>274</v>
      </c>
      <c r="E56" s="451">
        <v>81111</v>
      </c>
      <c r="F56" s="451">
        <v>82915</v>
      </c>
      <c r="G56" s="451">
        <v>83587</v>
      </c>
      <c r="H56" s="451">
        <v>83959</v>
      </c>
      <c r="I56" s="451">
        <v>84420</v>
      </c>
      <c r="J56" s="451">
        <v>85072</v>
      </c>
      <c r="K56" s="451">
        <v>85848</v>
      </c>
      <c r="L56" s="451">
        <v>86641</v>
      </c>
      <c r="M56" s="451">
        <v>87028</v>
      </c>
      <c r="N56" s="451">
        <v>87419</v>
      </c>
    </row>
    <row r="58" spans="1:14" ht="13.5" x14ac:dyDescent="0.5">
      <c r="A58" s="70">
        <f>IF(SUM(D58:H58)&lt;&gt;0,1,0)</f>
        <v>0</v>
      </c>
      <c r="D58" s="450" t="s">
        <v>1223</v>
      </c>
      <c r="E58" s="449">
        <v>0</v>
      </c>
      <c r="F58" s="449">
        <v>0</v>
      </c>
      <c r="G58" s="449">
        <v>0</v>
      </c>
      <c r="H58" s="449">
        <v>0</v>
      </c>
      <c r="I58" s="268">
        <v>0</v>
      </c>
      <c r="J58" s="449">
        <f t="shared" ref="J58:M58" si="1">IF(ROUND(J56-E66,2)&lt;&gt;0,1,0)</f>
        <v>0</v>
      </c>
      <c r="K58" s="268">
        <f t="shared" si="1"/>
        <v>0</v>
      </c>
      <c r="L58" s="268">
        <f t="shared" si="1"/>
        <v>0</v>
      </c>
      <c r="M58" s="268">
        <f t="shared" si="1"/>
        <v>0</v>
      </c>
      <c r="N58" s="268">
        <f>IF(ROUND(N56-I66,2)&lt;&gt;0,1,0)</f>
        <v>0</v>
      </c>
    </row>
    <row r="60" spans="1:14" s="139" customFormat="1" x14ac:dyDescent="0.35">
      <c r="B60" s="139" t="s">
        <v>270</v>
      </c>
    </row>
    <row r="61" spans="1:14" ht="13.2" thickBot="1" x14ac:dyDescent="0.55000000000000004"/>
    <row r="62" spans="1:14" ht="13.8" thickBot="1" x14ac:dyDescent="0.55000000000000004">
      <c r="D62" s="140"/>
      <c r="E62" s="141" t="s">
        <v>236</v>
      </c>
      <c r="F62" s="141" t="s">
        <v>237</v>
      </c>
      <c r="G62" s="141" t="s">
        <v>238</v>
      </c>
      <c r="H62" s="141" t="s">
        <v>239</v>
      </c>
      <c r="I62" s="141" t="s">
        <v>240</v>
      </c>
    </row>
    <row r="63" spans="1:14" ht="13.8" thickBot="1" x14ac:dyDescent="0.55000000000000004">
      <c r="D63" s="142" t="s">
        <v>271</v>
      </c>
      <c r="E63" s="179">
        <f t="shared" ref="E63:I63" si="2">E76+E84+E92</f>
        <v>351.45470943999999</v>
      </c>
      <c r="F63" s="179">
        <f t="shared" si="2"/>
        <v>351.465614039</v>
      </c>
      <c r="G63" s="179">
        <f t="shared" si="2"/>
        <v>350.783038938</v>
      </c>
      <c r="H63" s="179">
        <f t="shared" si="2"/>
        <v>347.03282983500003</v>
      </c>
      <c r="I63" s="179">
        <f t="shared" si="2"/>
        <v>347.10653889899999</v>
      </c>
    </row>
    <row r="64" spans="1:14" ht="13.8" thickBot="1" x14ac:dyDescent="0.55000000000000004">
      <c r="D64" s="142" t="s">
        <v>272</v>
      </c>
      <c r="E64" s="179">
        <f t="shared" ref="E64:I64" si="3">E77+E85+E93</f>
        <v>339.07925003500003</v>
      </c>
      <c r="F64" s="179">
        <f t="shared" si="3"/>
        <v>339.32073156500002</v>
      </c>
      <c r="G64" s="179">
        <f t="shared" si="3"/>
        <v>336.87572723300002</v>
      </c>
      <c r="H64" s="179">
        <f t="shared" si="3"/>
        <v>336.03994168899999</v>
      </c>
      <c r="I64" s="179">
        <f t="shared" si="3"/>
        <v>335.67859043299995</v>
      </c>
    </row>
    <row r="65" spans="1:9" ht="13.8" thickBot="1" x14ac:dyDescent="0.55000000000000004">
      <c r="D65" s="142" t="s">
        <v>273</v>
      </c>
      <c r="E65" s="179">
        <f>E78+E86+E94</f>
        <v>1828.7610648300958</v>
      </c>
      <c r="F65" s="179">
        <f t="shared" ref="F65:I65" si="4">F78+F86+F94</f>
        <v>1828.8009057432359</v>
      </c>
      <c r="G65" s="179">
        <f t="shared" si="4"/>
        <v>1829.6770072474869</v>
      </c>
      <c r="H65" s="179">
        <f t="shared" si="4"/>
        <v>1831.2544176920048</v>
      </c>
      <c r="I65" s="179">
        <f t="shared" si="4"/>
        <v>1835.0101628864788</v>
      </c>
    </row>
    <row r="66" spans="1:9" ht="13.8" thickBot="1" x14ac:dyDescent="0.55000000000000004">
      <c r="D66" s="142" t="s">
        <v>274</v>
      </c>
      <c r="E66" s="147">
        <v>85072</v>
      </c>
      <c r="F66" s="147">
        <v>85848</v>
      </c>
      <c r="G66" s="147">
        <v>86641</v>
      </c>
      <c r="H66" s="147">
        <v>87028</v>
      </c>
      <c r="I66" s="147">
        <v>87419</v>
      </c>
    </row>
    <row r="68" spans="1:9" ht="13.5" x14ac:dyDescent="0.5">
      <c r="D68" s="450" t="s">
        <v>271</v>
      </c>
      <c r="E68" s="645">
        <v>351.45470943999999</v>
      </c>
      <c r="F68" s="645">
        <v>351.465614039</v>
      </c>
      <c r="G68" s="645">
        <v>350.783038938</v>
      </c>
      <c r="H68" s="645">
        <v>347.03282983500003</v>
      </c>
      <c r="I68" s="645">
        <v>347.10653889899999</v>
      </c>
    </row>
    <row r="69" spans="1:9" ht="13.5" x14ac:dyDescent="0.5">
      <c r="D69" s="450" t="s">
        <v>272</v>
      </c>
      <c r="E69" s="645">
        <v>339.07925003499997</v>
      </c>
      <c r="F69" s="645">
        <v>339.32073156500002</v>
      </c>
      <c r="G69" s="645">
        <v>336.87572723300002</v>
      </c>
      <c r="H69" s="645">
        <v>336.03994168899999</v>
      </c>
      <c r="I69" s="645">
        <v>335.67859043299995</v>
      </c>
    </row>
    <row r="70" spans="1:9" ht="13.5" x14ac:dyDescent="0.5">
      <c r="A70" s="70">
        <f>IF(SUM(D70:H70)&lt;&gt;0,1,0)</f>
        <v>0</v>
      </c>
      <c r="D70" s="272" t="s">
        <v>821</v>
      </c>
      <c r="E70" s="268">
        <f>IF(ROUND(E63-E68,2)&lt;&gt;0,1,0)</f>
        <v>0</v>
      </c>
      <c r="F70" s="268">
        <f t="shared" ref="F70:I70" si="5">IF(ROUND(F63-F68,2)&lt;&gt;0,1,0)</f>
        <v>0</v>
      </c>
      <c r="G70" s="268">
        <f t="shared" si="5"/>
        <v>0</v>
      </c>
      <c r="H70" s="268">
        <f t="shared" si="5"/>
        <v>0</v>
      </c>
      <c r="I70" s="268">
        <f t="shared" si="5"/>
        <v>0</v>
      </c>
    </row>
    <row r="71" spans="1:9" ht="13.5" x14ac:dyDescent="0.5">
      <c r="A71" s="70">
        <f>IF(SUM(D71:H71)&lt;&gt;0,1,0)</f>
        <v>0</v>
      </c>
      <c r="D71" s="272" t="s">
        <v>822</v>
      </c>
      <c r="E71" s="268">
        <f t="shared" ref="E71:I71" si="6">IF(ROUND(E64-E69,2)&lt;&gt;0,1,0)</f>
        <v>0</v>
      </c>
      <c r="F71" s="268">
        <f t="shared" si="6"/>
        <v>0</v>
      </c>
      <c r="G71" s="268">
        <f t="shared" si="6"/>
        <v>0</v>
      </c>
      <c r="H71" s="268">
        <f t="shared" si="6"/>
        <v>0</v>
      </c>
      <c r="I71" s="268">
        <f t="shared" si="6"/>
        <v>0</v>
      </c>
    </row>
    <row r="73" spans="1:9" s="139" customFormat="1" x14ac:dyDescent="0.35">
      <c r="B73" s="139" t="s">
        <v>275</v>
      </c>
    </row>
    <row r="74" spans="1:9" ht="13.2" thickBot="1" x14ac:dyDescent="0.55000000000000004"/>
    <row r="75" spans="1:9" ht="13.8" thickBot="1" x14ac:dyDescent="0.55000000000000004">
      <c r="D75" s="140"/>
      <c r="E75" s="141" t="s">
        <v>236</v>
      </c>
      <c r="F75" s="141" t="s">
        <v>237</v>
      </c>
      <c r="G75" s="141" t="s">
        <v>238</v>
      </c>
      <c r="H75" s="141" t="s">
        <v>239</v>
      </c>
      <c r="I75" s="141" t="s">
        <v>240</v>
      </c>
    </row>
    <row r="76" spans="1:9" ht="13.8" thickBot="1" x14ac:dyDescent="0.55000000000000004">
      <c r="D76" s="142" t="s">
        <v>271</v>
      </c>
      <c r="E76" s="181">
        <v>289.24830709999998</v>
      </c>
      <c r="F76" s="181">
        <v>290.11544400000002</v>
      </c>
      <c r="G76" s="181">
        <v>290.21427190000003</v>
      </c>
      <c r="H76" s="181">
        <v>287.10812220000003</v>
      </c>
      <c r="I76" s="181">
        <v>287.57370950000001</v>
      </c>
    </row>
    <row r="77" spans="1:9" ht="13.8" thickBot="1" x14ac:dyDescent="0.55000000000000004">
      <c r="D77" s="142" t="s">
        <v>272</v>
      </c>
      <c r="E77" s="181">
        <v>279.82231109999998</v>
      </c>
      <c r="F77" s="181">
        <v>281.14329070000002</v>
      </c>
      <c r="G77" s="181">
        <v>279.34789180000001</v>
      </c>
      <c r="H77" s="181">
        <v>278.67129469999998</v>
      </c>
      <c r="I77" s="181">
        <v>279.18506159999998</v>
      </c>
    </row>
    <row r="78" spans="1:9" ht="13.8" thickBot="1" x14ac:dyDescent="0.55000000000000004">
      <c r="D78" s="142" t="s">
        <v>273</v>
      </c>
      <c r="E78" s="179">
        <v>1579.4663467062687</v>
      </c>
      <c r="F78" s="179">
        <v>1581.62784357038</v>
      </c>
      <c r="G78" s="179">
        <v>1584.3391085879171</v>
      </c>
      <c r="H78" s="179">
        <v>1587.5605830537461</v>
      </c>
      <c r="I78" s="179">
        <v>1592.6172039735739</v>
      </c>
    </row>
    <row r="79" spans="1:9" ht="13.8" thickBot="1" x14ac:dyDescent="0.55000000000000004">
      <c r="D79" s="142" t="s">
        <v>274</v>
      </c>
      <c r="E79" s="147">
        <v>71219</v>
      </c>
      <c r="F79" s="147">
        <v>71937</v>
      </c>
      <c r="G79" s="147">
        <v>72668</v>
      </c>
      <c r="H79" s="147">
        <v>73054</v>
      </c>
      <c r="I79" s="147">
        <v>73442</v>
      </c>
    </row>
    <row r="81" spans="2:9" s="139" customFormat="1" x14ac:dyDescent="0.35">
      <c r="B81" s="139" t="s">
        <v>276</v>
      </c>
    </row>
    <row r="82" spans="2:9" ht="13.2" thickBot="1" x14ac:dyDescent="0.55000000000000004"/>
    <row r="83" spans="2:9" ht="13.8" thickBot="1" x14ac:dyDescent="0.55000000000000004">
      <c r="D83" s="140"/>
      <c r="E83" s="141" t="s">
        <v>236</v>
      </c>
      <c r="F83" s="141" t="s">
        <v>237</v>
      </c>
      <c r="G83" s="141" t="s">
        <v>238</v>
      </c>
      <c r="H83" s="141" t="s">
        <v>239</v>
      </c>
      <c r="I83" s="141" t="s">
        <v>240</v>
      </c>
    </row>
    <row r="84" spans="2:9" ht="13.8" thickBot="1" x14ac:dyDescent="0.55000000000000004">
      <c r="D84" s="142" t="s">
        <v>271</v>
      </c>
      <c r="E84" s="181">
        <v>52.488647290000003</v>
      </c>
      <c r="F84" s="181">
        <v>51.577228730000002</v>
      </c>
      <c r="G84" s="181">
        <v>50.826655330000001</v>
      </c>
      <c r="H84" s="181">
        <v>50.256193869999997</v>
      </c>
      <c r="I84" s="181">
        <v>49.931497389999997</v>
      </c>
    </row>
    <row r="85" spans="2:9" ht="13.8" thickBot="1" x14ac:dyDescent="0.55000000000000004">
      <c r="D85" s="142" t="s">
        <v>272</v>
      </c>
      <c r="E85" s="181">
        <v>50.08735317</v>
      </c>
      <c r="F85" s="181">
        <v>49.043856130000002</v>
      </c>
      <c r="G85" s="181">
        <v>48.299005049999998</v>
      </c>
      <c r="H85" s="181">
        <v>48.186534219999999</v>
      </c>
      <c r="I85" s="181">
        <v>47.313222760000002</v>
      </c>
    </row>
    <row r="86" spans="2:9" ht="13.8" thickBot="1" x14ac:dyDescent="0.55000000000000004">
      <c r="D86" s="142" t="s">
        <v>273</v>
      </c>
      <c r="E86" s="179">
        <v>211.90754351280401</v>
      </c>
      <c r="F86" s="179">
        <v>209.72055380496678</v>
      </c>
      <c r="G86" s="179">
        <v>207.7705359401576</v>
      </c>
      <c r="H86" s="179">
        <v>206.0101163903503</v>
      </c>
      <c r="I86" s="179">
        <v>204.58098183095402</v>
      </c>
    </row>
    <row r="87" spans="2:9" ht="13.8" thickBot="1" x14ac:dyDescent="0.55000000000000004">
      <c r="D87" s="142" t="s">
        <v>274</v>
      </c>
      <c r="E87" s="265">
        <v>12217</v>
      </c>
      <c r="F87" s="144">
        <v>12253</v>
      </c>
      <c r="G87" s="144">
        <v>12296</v>
      </c>
      <c r="H87" s="144">
        <v>12282</v>
      </c>
      <c r="I87" s="144">
        <v>12274</v>
      </c>
    </row>
    <row r="89" spans="2:9" s="139" customFormat="1" x14ac:dyDescent="0.35">
      <c r="B89" s="139" t="s">
        <v>277</v>
      </c>
    </row>
    <row r="90" spans="2:9" ht="13.2" thickBot="1" x14ac:dyDescent="0.55000000000000004"/>
    <row r="91" spans="2:9" ht="13.8" thickBot="1" x14ac:dyDescent="0.55000000000000004">
      <c r="D91" s="140"/>
      <c r="E91" s="141" t="s">
        <v>236</v>
      </c>
      <c r="F91" s="141" t="s">
        <v>237</v>
      </c>
      <c r="G91" s="141" t="s">
        <v>238</v>
      </c>
      <c r="H91" s="141" t="s">
        <v>239</v>
      </c>
      <c r="I91" s="141" t="s">
        <v>240</v>
      </c>
    </row>
    <row r="92" spans="2:9" ht="13.8" thickBot="1" x14ac:dyDescent="0.55000000000000004">
      <c r="D92" s="142" t="s">
        <v>271</v>
      </c>
      <c r="E92" s="181">
        <v>9.7177550499999992</v>
      </c>
      <c r="F92" s="181">
        <v>9.7729413090000001</v>
      </c>
      <c r="G92" s="181">
        <v>9.7421117079999995</v>
      </c>
      <c r="H92" s="181">
        <v>9.6685137650000001</v>
      </c>
      <c r="I92" s="181">
        <v>9.6013320090000001</v>
      </c>
    </row>
    <row r="93" spans="2:9" ht="13.8" thickBot="1" x14ac:dyDescent="0.55000000000000004">
      <c r="D93" s="142" t="s">
        <v>272</v>
      </c>
      <c r="E93" s="181">
        <v>9.1695857650000008</v>
      </c>
      <c r="F93" s="181">
        <v>9.1335847349999995</v>
      </c>
      <c r="G93" s="181">
        <v>9.228830383</v>
      </c>
      <c r="H93" s="181">
        <v>9.1821127689999997</v>
      </c>
      <c r="I93" s="181">
        <v>9.1803060730000006</v>
      </c>
    </row>
    <row r="94" spans="2:9" ht="13.8" thickBot="1" x14ac:dyDescent="0.55000000000000004">
      <c r="D94" s="142" t="s">
        <v>273</v>
      </c>
      <c r="E94" s="179">
        <v>37.387174611022957</v>
      </c>
      <c r="F94" s="179">
        <v>37.452508367889045</v>
      </c>
      <c r="G94" s="179">
        <v>37.567362719412372</v>
      </c>
      <c r="H94" s="179">
        <v>37.68371824790853</v>
      </c>
      <c r="I94" s="179">
        <v>37.811977081951063</v>
      </c>
    </row>
    <row r="95" spans="2:9" ht="13.8" thickBot="1" x14ac:dyDescent="0.55000000000000004">
      <c r="D95" s="142" t="s">
        <v>274</v>
      </c>
      <c r="E95" s="147">
        <v>1636</v>
      </c>
      <c r="F95" s="143">
        <v>1658</v>
      </c>
      <c r="G95" s="143">
        <v>1677</v>
      </c>
      <c r="H95" s="143">
        <v>1692</v>
      </c>
      <c r="I95" s="143">
        <v>1703</v>
      </c>
    </row>
    <row r="97" spans="2:2" s="139" customFormat="1" x14ac:dyDescent="0.35">
      <c r="B97" s="139" t="s">
        <v>32</v>
      </c>
    </row>
  </sheetData>
  <conditionalFormatting sqref="B2">
    <cfRule type="cellIs" dxfId="34" priority="1" operator="notEqual">
      <formula>"No Errors Found"</formula>
    </cfRule>
  </conditionalFormatting>
  <hyperlinks>
    <hyperlink ref="B3:D3" location="Cover!A1" display="Go to Cover Shee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S247"/>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2" width="12.33203125" style="137" customWidth="1"/>
    <col min="13" max="13" width="35.796875" style="137" customWidth="1"/>
    <col min="14" max="19" width="12.33203125" style="137" customWidth="1"/>
    <col min="20" max="16384" width="9.1328125" style="137"/>
  </cols>
  <sheetData>
    <row r="1" spans="1:19" ht="20.399999999999999" x14ac:dyDescent="0.5">
      <c r="A1" s="65">
        <f>IF(SUM($A6:$A247)&gt;0,1,0)</f>
        <v>0</v>
      </c>
      <c r="B1" s="136" t="s">
        <v>278</v>
      </c>
    </row>
    <row r="2" spans="1:19" s="104" customFormat="1" ht="10.199999999999999" x14ac:dyDescent="0.35">
      <c r="B2" s="105" t="str">
        <f>Title_Msg</f>
        <v>No Errors Found</v>
      </c>
    </row>
    <row r="3" spans="1:19" s="104" customFormat="1" ht="12.3" x14ac:dyDescent="0.35">
      <c r="B3" s="106" t="s">
        <v>51</v>
      </c>
      <c r="C3" s="106"/>
      <c r="D3" s="106"/>
      <c r="E3" s="107"/>
    </row>
    <row r="4" spans="1:19" s="104" customFormat="1" ht="12.3" x14ac:dyDescent="0.35">
      <c r="B4" s="108" t="str">
        <f>Model_Name</f>
        <v>Power and Water Corporation (PWC) - Regulatory Proposal Tables and Charts</v>
      </c>
    </row>
    <row r="6" spans="1:19" s="139" customFormat="1" x14ac:dyDescent="0.35">
      <c r="B6" s="139" t="s">
        <v>279</v>
      </c>
    </row>
    <row r="7" spans="1:19" ht="13.2" thickBot="1" x14ac:dyDescent="0.55000000000000004"/>
    <row r="8" spans="1:19" ht="13.2" thickBot="1" x14ac:dyDescent="0.55000000000000004">
      <c r="D8" s="690" t="s">
        <v>245</v>
      </c>
      <c r="E8" s="141" t="s">
        <v>246</v>
      </c>
      <c r="F8" s="141" t="s">
        <v>247</v>
      </c>
      <c r="G8" s="141" t="s">
        <v>248</v>
      </c>
      <c r="H8" s="141" t="s">
        <v>249</v>
      </c>
      <c r="I8" s="141" t="s">
        <v>250</v>
      </c>
      <c r="J8" s="141" t="s">
        <v>112</v>
      </c>
      <c r="M8" s="695" t="s">
        <v>245</v>
      </c>
      <c r="N8" s="529" t="s">
        <v>246</v>
      </c>
      <c r="O8" s="529" t="s">
        <v>247</v>
      </c>
      <c r="P8" s="529" t="s">
        <v>248</v>
      </c>
      <c r="Q8" s="529" t="s">
        <v>249</v>
      </c>
      <c r="R8" s="529" t="s">
        <v>250</v>
      </c>
      <c r="S8" s="529" t="s">
        <v>112</v>
      </c>
    </row>
    <row r="9" spans="1:19" ht="13.2" thickBot="1" x14ac:dyDescent="0.55000000000000004">
      <c r="D9" s="691"/>
      <c r="E9" s="148" t="s">
        <v>61</v>
      </c>
      <c r="F9" s="148" t="s">
        <v>61</v>
      </c>
      <c r="G9" s="148" t="s">
        <v>61</v>
      </c>
      <c r="H9" s="148" t="s">
        <v>280</v>
      </c>
      <c r="I9" s="148" t="s">
        <v>280</v>
      </c>
      <c r="J9" s="148" t="s">
        <v>280</v>
      </c>
      <c r="M9" s="695"/>
      <c r="N9" s="529" t="s">
        <v>61</v>
      </c>
      <c r="O9" s="529" t="s">
        <v>61</v>
      </c>
      <c r="P9" s="529" t="s">
        <v>61</v>
      </c>
      <c r="Q9" s="529" t="s">
        <v>280</v>
      </c>
      <c r="R9" s="529" t="s">
        <v>280</v>
      </c>
      <c r="S9" s="529" t="s">
        <v>280</v>
      </c>
    </row>
    <row r="10" spans="1:19" ht="13.8" thickBot="1" x14ac:dyDescent="0.55000000000000004">
      <c r="D10" s="692" t="s">
        <v>281</v>
      </c>
      <c r="E10" s="693"/>
      <c r="F10" s="693"/>
      <c r="G10" s="693"/>
      <c r="H10" s="693"/>
      <c r="I10" s="693"/>
      <c r="J10" s="694"/>
      <c r="M10" s="446" t="s">
        <v>387</v>
      </c>
      <c r="N10" s="530">
        <v>48.082578000733719</v>
      </c>
      <c r="O10" s="530">
        <v>45.374289958075295</v>
      </c>
      <c r="P10" s="530">
        <v>29.751610932919064</v>
      </c>
      <c r="Q10" s="530">
        <f>'[4]Total by category'!S26</f>
        <v>21.266078399811821</v>
      </c>
      <c r="R10" s="530">
        <f>'[4]Total by category'!T26</f>
        <v>31.03932160289126</v>
      </c>
      <c r="S10" s="530">
        <f t="shared" ref="S10:S16" si="0">SUM(N10:R10)</f>
        <v>175.51387889443114</v>
      </c>
    </row>
    <row r="11" spans="1:19" ht="13.8" thickBot="1" x14ac:dyDescent="0.55000000000000004">
      <c r="D11" s="149" t="s">
        <v>282</v>
      </c>
      <c r="E11" s="191">
        <v>92.223056784774727</v>
      </c>
      <c r="F11" s="191">
        <v>66.780716650574789</v>
      </c>
      <c r="G11" s="191">
        <v>55.25344697189508</v>
      </c>
      <c r="H11" s="191">
        <v>64.182710435047341</v>
      </c>
      <c r="I11" s="191">
        <v>73.438215295384936</v>
      </c>
      <c r="J11" s="178">
        <f>SUM(E11:I11)</f>
        <v>351.87814613767682</v>
      </c>
      <c r="M11" s="446" t="s">
        <v>386</v>
      </c>
      <c r="N11" s="530">
        <v>25.611194169707776</v>
      </c>
      <c r="O11" s="530">
        <v>18.766645023359938</v>
      </c>
      <c r="P11" s="530">
        <v>13.514508554538208</v>
      </c>
      <c r="Q11" s="530">
        <f>'[4]Total by category'!S25</f>
        <v>14.491704941884445</v>
      </c>
      <c r="R11" s="530">
        <f>'[4]Total by category'!T25</f>
        <v>4.0324694346927989</v>
      </c>
      <c r="S11" s="530">
        <f t="shared" si="0"/>
        <v>76.416522124183174</v>
      </c>
    </row>
    <row r="12" spans="1:19" ht="13.8" thickBot="1" x14ac:dyDescent="0.55000000000000004">
      <c r="D12" s="149" t="s">
        <v>283</v>
      </c>
      <c r="E12" s="191">
        <v>-2.2269773202706102</v>
      </c>
      <c r="F12" s="191">
        <v>-2.6482474367020927</v>
      </c>
      <c r="G12" s="191">
        <v>-4.1494422465089773</v>
      </c>
      <c r="H12" s="191">
        <v>-3.8263859862731251</v>
      </c>
      <c r="I12" s="191">
        <v>-1.6659251708092859</v>
      </c>
      <c r="J12" s="178">
        <f t="shared" ref="J12:J15" si="1">SUM(E12:I12)</f>
        <v>-14.516978160564092</v>
      </c>
      <c r="M12" s="446" t="s">
        <v>390</v>
      </c>
      <c r="N12" s="530">
        <v>18.034972361039578</v>
      </c>
      <c r="O12" s="530">
        <v>14.731192292311784</v>
      </c>
      <c r="P12" s="530">
        <v>12.309522059828577</v>
      </c>
      <c r="Q12" s="530">
        <f>'[4]Total by category'!S27</f>
        <v>11.071070222845824</v>
      </c>
      <c r="R12" s="530">
        <f>'[4]Total by category'!T27</f>
        <v>11.582349621752176</v>
      </c>
      <c r="S12" s="530">
        <f t="shared" si="0"/>
        <v>67.729106557777939</v>
      </c>
    </row>
    <row r="13" spans="1:19" ht="13.8" thickBot="1" x14ac:dyDescent="0.55000000000000004">
      <c r="D13" s="149" t="s">
        <v>284</v>
      </c>
      <c r="E13" s="178">
        <f>SUM(E11:E12)</f>
        <v>89.99607946450412</v>
      </c>
      <c r="F13" s="178">
        <f t="shared" ref="F13:I13" si="2">SUM(F11:F12)</f>
        <v>64.132469213872696</v>
      </c>
      <c r="G13" s="178">
        <f t="shared" si="2"/>
        <v>51.104004725386105</v>
      </c>
      <c r="H13" s="178">
        <f t="shared" si="2"/>
        <v>60.356324448774217</v>
      </c>
      <c r="I13" s="178">
        <f t="shared" si="2"/>
        <v>71.772290124575647</v>
      </c>
      <c r="J13" s="178">
        <f t="shared" si="1"/>
        <v>337.36116797711281</v>
      </c>
      <c r="M13" s="446" t="s">
        <v>388</v>
      </c>
      <c r="N13" s="530">
        <v>1.1908151252360424</v>
      </c>
      <c r="O13" s="530">
        <v>1.344270832701044</v>
      </c>
      <c r="P13" s="530">
        <v>3.3973754136666479</v>
      </c>
      <c r="Q13" s="530">
        <f>'[4]Total by category'!S28+'[4]Total by category'!S29</f>
        <v>5.1554694527097027</v>
      </c>
      <c r="R13" s="530">
        <f>'[4]Total by category'!T28+'[4]Total by category'!T29</f>
        <v>5.3726512986824559</v>
      </c>
      <c r="S13" s="530">
        <f t="shared" si="0"/>
        <v>16.460582122995895</v>
      </c>
    </row>
    <row r="14" spans="1:19" ht="13.8" thickBot="1" x14ac:dyDescent="0.55000000000000004">
      <c r="D14" s="149" t="s">
        <v>824</v>
      </c>
      <c r="E14" s="191">
        <f>SUM('[8]RFM input'!H41:H54)/Input_Inflation!P39</f>
        <v>93.127177435620766</v>
      </c>
      <c r="F14" s="191">
        <f>SUM('[8]RFM input'!I41:I54)/Input_Inflation!Q39</f>
        <v>80.360469791588031</v>
      </c>
      <c r="G14" s="191">
        <f>SUM('[8]RFM input'!J41:J54)/Input_Inflation!R39</f>
        <v>59.085274133730124</v>
      </c>
      <c r="H14" s="191">
        <f>SUM('[8]RFM input'!K41:K54)/Input_Inflation!S39</f>
        <v>51.984323017251796</v>
      </c>
      <c r="I14" s="191">
        <f>SUM('[8]RFM input'!L41:L54)/Input_Inflation!T39</f>
        <v>71.799968066820824</v>
      </c>
      <c r="J14" s="191">
        <f t="shared" si="1"/>
        <v>356.35721244501156</v>
      </c>
      <c r="M14" s="446" t="s">
        <v>389</v>
      </c>
      <c r="N14" s="530">
        <v>0.20761777890365482</v>
      </c>
      <c r="O14" s="530">
        <v>0.14407168514004207</v>
      </c>
      <c r="P14" s="661">
        <v>11.396577926927781</v>
      </c>
      <c r="Q14" s="530">
        <f>'[4]Capitalised OH'!H32*(1+'[4]SCS total'!$I$7)</f>
        <v>12.694556865798416</v>
      </c>
      <c r="R14" s="530">
        <f>'[4]Capitalised OH'!I32*(1+'[4]SCS total'!$I$7)</f>
        <v>12.857796817934315</v>
      </c>
      <c r="S14" s="530">
        <f t="shared" si="0"/>
        <v>37.30062107470421</v>
      </c>
    </row>
    <row r="15" spans="1:19" ht="13.8" thickBot="1" x14ac:dyDescent="0.55000000000000004">
      <c r="D15" s="149" t="s">
        <v>285</v>
      </c>
      <c r="E15" s="178">
        <f>E14-E13</f>
        <v>3.1310979711166453</v>
      </c>
      <c r="F15" s="178">
        <f t="shared" ref="F15:I15" si="3">F14-F13</f>
        <v>16.228000577715335</v>
      </c>
      <c r="G15" s="178">
        <f t="shared" si="3"/>
        <v>7.9812694083440192</v>
      </c>
      <c r="H15" s="178">
        <f t="shared" si="3"/>
        <v>-8.3720014315224205</v>
      </c>
      <c r="I15" s="178">
        <f t="shared" si="3"/>
        <v>2.7677942245176723E-2</v>
      </c>
      <c r="J15" s="178">
        <f t="shared" si="1"/>
        <v>18.996044467898756</v>
      </c>
      <c r="K15" s="273"/>
      <c r="M15" s="446" t="s">
        <v>102</v>
      </c>
      <c r="N15" s="530">
        <v>2.1192683996502781</v>
      </c>
      <c r="O15" s="530">
        <v>3.3315488844236243</v>
      </c>
      <c r="P15" s="530">
        <v>3.047712350064895</v>
      </c>
      <c r="Q15" s="530">
        <f>'[4]Total by category'!S32</f>
        <v>2.0380111801795344</v>
      </c>
      <c r="R15" s="530">
        <f>'[4]Total by category'!T32</f>
        <v>4.3112266048194599</v>
      </c>
      <c r="S15" s="530">
        <f t="shared" si="0"/>
        <v>14.847767419137792</v>
      </c>
    </row>
    <row r="16" spans="1:19" ht="13.8" thickBot="1" x14ac:dyDescent="0.55000000000000004">
      <c r="D16" s="692" t="s">
        <v>1273</v>
      </c>
      <c r="E16" s="693"/>
      <c r="F16" s="693"/>
      <c r="G16" s="693"/>
      <c r="H16" s="693"/>
      <c r="I16" s="693"/>
      <c r="J16" s="694"/>
      <c r="M16" s="446" t="s">
        <v>1421</v>
      </c>
      <c r="N16" s="531" t="str">
        <f>NA</f>
        <v>N/A</v>
      </c>
      <c r="O16" s="532" t="str">
        <f>NA</f>
        <v>N/A</v>
      </c>
      <c r="P16" s="532" t="str">
        <f>NA</f>
        <v>N/A</v>
      </c>
      <c r="Q16" s="532" t="str">
        <f>NA</f>
        <v>N/A</v>
      </c>
      <c r="R16" s="530">
        <f>SUM([9]Output_Summary!$J$12:$J$32)/Input_Inflation!$T$39</f>
        <v>19.773176108802136</v>
      </c>
      <c r="S16" s="530">
        <f t="shared" si="0"/>
        <v>19.773176108802136</v>
      </c>
    </row>
    <row r="17" spans="1:19" ht="13.8" thickBot="1" x14ac:dyDescent="0.55000000000000004">
      <c r="D17" s="149" t="s">
        <v>282</v>
      </c>
      <c r="E17" s="191">
        <v>78.392252352738808</v>
      </c>
      <c r="F17" s="191">
        <v>52.672764149306772</v>
      </c>
      <c r="G17" s="191">
        <v>40.819491302991779</v>
      </c>
      <c r="H17" s="191">
        <v>49.413377447973545</v>
      </c>
      <c r="I17" s="191">
        <v>58.326136085048297</v>
      </c>
      <c r="J17" s="178">
        <f>SUM(E17:I17)</f>
        <v>279.62402133805921</v>
      </c>
      <c r="M17" s="533" t="s">
        <v>112</v>
      </c>
      <c r="N17" s="534">
        <f>SUM(N10:N16)</f>
        <v>95.246445835271047</v>
      </c>
      <c r="O17" s="534">
        <f t="shared" ref="O17:S17" si="4">SUM(O10:O16)</f>
        <v>83.692018676011742</v>
      </c>
      <c r="P17" s="534">
        <f t="shared" si="4"/>
        <v>73.417307237945181</v>
      </c>
      <c r="Q17" s="534">
        <f t="shared" si="4"/>
        <v>66.716891063229752</v>
      </c>
      <c r="R17" s="534">
        <f t="shared" si="4"/>
        <v>88.968991489574606</v>
      </c>
      <c r="S17" s="534">
        <f t="shared" si="4"/>
        <v>408.04165430203227</v>
      </c>
    </row>
    <row r="18" spans="1:19" ht="13.8" thickBot="1" x14ac:dyDescent="0.55000000000000004">
      <c r="D18" s="149" t="s">
        <v>283</v>
      </c>
      <c r="E18" s="191">
        <v>-2.226417661163147</v>
      </c>
      <c r="F18" s="191">
        <v>-2.6476920899301017</v>
      </c>
      <c r="G18" s="191">
        <v>-4.1488838772548142</v>
      </c>
      <c r="H18" s="191">
        <v>-3.8258258200658575</v>
      </c>
      <c r="I18" s="191">
        <v>-1.6653636814415487</v>
      </c>
      <c r="J18" s="178">
        <f t="shared" ref="J18:J21" si="5">SUM(E18:I18)</f>
        <v>-14.514183129855468</v>
      </c>
    </row>
    <row r="19" spans="1:19" ht="13.8" thickBot="1" x14ac:dyDescent="0.55000000000000004">
      <c r="D19" s="149" t="s">
        <v>284</v>
      </c>
      <c r="E19" s="178">
        <f>SUM(E17:E18)</f>
        <v>76.165834691575668</v>
      </c>
      <c r="F19" s="178">
        <f t="shared" ref="F19" si="6">SUM(F17:F18)</f>
        <v>50.025072059376669</v>
      </c>
      <c r="G19" s="178">
        <f t="shared" ref="G19" si="7">SUM(G17:G18)</f>
        <v>36.670607425736961</v>
      </c>
      <c r="H19" s="178">
        <f t="shared" ref="H19" si="8">SUM(H17:H18)</f>
        <v>45.587551627907686</v>
      </c>
      <c r="I19" s="178">
        <f t="shared" ref="I19" si="9">SUM(I17:I18)</f>
        <v>56.660772403606749</v>
      </c>
      <c r="J19" s="178">
        <f t="shared" si="5"/>
        <v>265.10983820820371</v>
      </c>
      <c r="M19" s="466" t="s">
        <v>292</v>
      </c>
      <c r="N19" s="467">
        <f>[10]Consolidated!E67/Input_Inflation!P$39</f>
        <v>9.4450459169074605</v>
      </c>
      <c r="O19" s="467">
        <f>[10]Consolidated!F67/Input_Inflation!Q$39</f>
        <v>8.3273831126297821</v>
      </c>
      <c r="P19" s="467">
        <f>[10]Consolidated!G67/Input_Inflation!R$39</f>
        <v>8.8213513005956141</v>
      </c>
      <c r="Q19" s="467">
        <f>'[10]Gifted assets'!I26*(1+'[10]Gifted assets'!$K$8)</f>
        <v>9.1137438197259897</v>
      </c>
      <c r="R19" s="467">
        <f>'[10]Gifted assets'!J26*(1+'[10]Gifted assets'!$K$8)</f>
        <v>9.1137438197259897</v>
      </c>
      <c r="S19" s="467">
        <f>SUM(N19:R19)</f>
        <v>44.821267969584838</v>
      </c>
    </row>
    <row r="20" spans="1:19" ht="13.8" thickBot="1" x14ac:dyDescent="0.55000000000000004">
      <c r="D20" s="149" t="s">
        <v>825</v>
      </c>
      <c r="E20" s="191">
        <f>E14-SUM('[8]RFM input'!H$75:H$88,'[8]RFM input'!H$109:H$122)/Input_Inflation!P39</f>
        <v>83.109384320094776</v>
      </c>
      <c r="F20" s="191">
        <f>F14-SUM('[8]RFM input'!I$75:I$88,'[8]RFM input'!I$109:I$122)/Input_Inflation!Q39</f>
        <v>69.743930642722347</v>
      </c>
      <c r="G20" s="191">
        <f>G14-SUM('[8]RFM input'!J$75:J$88,'[8]RFM input'!J$109:J$122)/Input_Inflation!R39</f>
        <v>48.924104665665972</v>
      </c>
      <c r="H20" s="191">
        <f>H14-SUM('[8]RFM input'!K$75:K$88,'[8]RFM input'!K$109:K$122)/Input_Inflation!S39</f>
        <v>40.913252794405977</v>
      </c>
      <c r="I20" s="191">
        <f>I14-SUM('[8]RFM input'!L$75:L$88,'[8]RFM input'!L$109:L$122)/Input_Inflation!T39</f>
        <v>60.217618445068645</v>
      </c>
      <c r="J20" s="178">
        <f t="shared" si="5"/>
        <v>302.9082908679577</v>
      </c>
    </row>
    <row r="21" spans="1:19" ht="13.8" thickBot="1" x14ac:dyDescent="0.55000000000000004">
      <c r="D21" s="149" t="s">
        <v>285</v>
      </c>
      <c r="E21" s="178">
        <f>E20-E19</f>
        <v>6.9435496285191078</v>
      </c>
      <c r="F21" s="178">
        <f t="shared" ref="F21" si="10">F20-F19</f>
        <v>19.718858583345678</v>
      </c>
      <c r="G21" s="178">
        <f t="shared" ref="G21" si="11">G20-G19</f>
        <v>12.253497239929011</v>
      </c>
      <c r="H21" s="178">
        <f t="shared" ref="H21" si="12">H20-H19</f>
        <v>-4.6742988335017088</v>
      </c>
      <c r="I21" s="178">
        <f t="shared" ref="I21" si="13">I20-I19</f>
        <v>3.5568460414618954</v>
      </c>
      <c r="J21" s="178">
        <f t="shared" si="5"/>
        <v>37.798452659753984</v>
      </c>
      <c r="M21" s="468" t="s">
        <v>1225</v>
      </c>
    </row>
    <row r="22" spans="1:19" ht="13.2" thickBot="1" x14ac:dyDescent="0.55000000000000004">
      <c r="E22" s="273"/>
      <c r="H22" s="474"/>
      <c r="I22" s="474"/>
    </row>
    <row r="23" spans="1:19" ht="13.2" thickBot="1" x14ac:dyDescent="0.55000000000000004">
      <c r="D23" s="398" t="s">
        <v>1615</v>
      </c>
      <c r="M23" s="594" t="s">
        <v>1617</v>
      </c>
      <c r="N23" s="529" t="s">
        <v>246</v>
      </c>
      <c r="O23" s="529" t="s">
        <v>247</v>
      </c>
      <c r="P23" s="529" t="s">
        <v>248</v>
      </c>
      <c r="Q23" s="529" t="s">
        <v>249</v>
      </c>
      <c r="R23" s="529" t="s">
        <v>250</v>
      </c>
      <c r="S23" s="529" t="s">
        <v>112</v>
      </c>
    </row>
    <row r="24" spans="1:19" ht="13.8" thickBot="1" x14ac:dyDescent="0.55000000000000004">
      <c r="E24" s="273"/>
      <c r="F24" s="273"/>
      <c r="G24" s="273"/>
      <c r="H24" s="273"/>
      <c r="I24" s="273"/>
      <c r="M24" s="446" t="s">
        <v>1616</v>
      </c>
      <c r="N24" s="530">
        <v>9.23</v>
      </c>
      <c r="O24" s="530">
        <v>9.48</v>
      </c>
      <c r="P24" s="530">
        <v>9.74</v>
      </c>
      <c r="Q24" s="530">
        <v>10</v>
      </c>
      <c r="R24" s="530">
        <v>10.27</v>
      </c>
      <c r="S24" s="530">
        <f t="shared" ref="S24" si="14">SUM(N24:R24)</f>
        <v>48.72</v>
      </c>
    </row>
    <row r="25" spans="1:19" ht="13.8" thickBot="1" x14ac:dyDescent="0.55000000000000004">
      <c r="A25" s="70">
        <f>IF(SUM(E25:I25)&lt;&gt;0,1,0)</f>
        <v>0</v>
      </c>
      <c r="D25" s="12" t="s">
        <v>818</v>
      </c>
      <c r="E25" s="70">
        <f t="shared" ref="E25:F25" si="15">IF(ROUND(N17-N15-E14-E26,3)&lt;&gt;0,1,0)</f>
        <v>0</v>
      </c>
      <c r="F25" s="70">
        <f t="shared" si="15"/>
        <v>0</v>
      </c>
      <c r="G25" s="70">
        <f>IF(ROUND(P17-P15-G14-G26,3)&lt;&gt;0,1,0)</f>
        <v>0</v>
      </c>
      <c r="H25" s="70">
        <f t="shared" ref="H25:I25" si="16">IF(ROUND(Q17-Q15-H14-H26,3)&lt;&gt;0,1,0)</f>
        <v>0</v>
      </c>
      <c r="I25" s="70">
        <f t="shared" si="16"/>
        <v>0</v>
      </c>
      <c r="J25" s="273"/>
      <c r="M25" s="446" t="s">
        <v>828</v>
      </c>
      <c r="N25" s="530">
        <f>N24*Input_Inflation!P47</f>
        <v>10.062753871104816</v>
      </c>
      <c r="O25" s="530">
        <f>O24*Input_Inflation!Q47</f>
        <v>10.335309501416431</v>
      </c>
      <c r="P25" s="530">
        <f>P24*Input_Inflation!R47</f>
        <v>10.618767356940509</v>
      </c>
      <c r="Q25" s="530">
        <f>Q24*Input_Inflation!S47</f>
        <v>10.90222521246459</v>
      </c>
      <c r="R25" s="530">
        <f>R24*Input_Inflation!T47</f>
        <v>11.196585293201133</v>
      </c>
      <c r="S25" s="530">
        <f t="shared" ref="S25" si="17">SUM(N25:R25)</f>
        <v>53.115641235127477</v>
      </c>
    </row>
    <row r="26" spans="1:19" x14ac:dyDescent="0.5">
      <c r="D26" s="12" t="s">
        <v>1768</v>
      </c>
      <c r="E26" s="131">
        <v>0</v>
      </c>
      <c r="F26" s="131">
        <v>0</v>
      </c>
      <c r="G26" s="131">
        <v>11.284320754150158</v>
      </c>
      <c r="H26" s="131">
        <f>'[4]Capitalised OH'!H32*(1+'[4]SCS total'!$I$7)</f>
        <v>12.694556865798416</v>
      </c>
      <c r="I26" s="131">
        <f>'[4]Capitalised OH'!I32*(1+'[4]SCS total'!$I$7)</f>
        <v>12.857796817934315</v>
      </c>
    </row>
    <row r="27" spans="1:19" x14ac:dyDescent="0.5">
      <c r="E27" s="273"/>
      <c r="F27" s="273"/>
      <c r="G27" s="273"/>
      <c r="H27" s="273"/>
      <c r="I27" s="273"/>
      <c r="M27" s="468" t="s">
        <v>1618</v>
      </c>
    </row>
    <row r="28" spans="1:19" x14ac:dyDescent="0.5">
      <c r="E28" s="273"/>
      <c r="F28" s="273"/>
      <c r="G28" s="273"/>
      <c r="H28" s="273"/>
      <c r="I28" s="273"/>
    </row>
    <row r="29" spans="1:19" s="139" customFormat="1" x14ac:dyDescent="0.35">
      <c r="B29" s="139" t="s">
        <v>1309</v>
      </c>
    </row>
    <row r="30" spans="1:19" ht="13.2" thickBot="1" x14ac:dyDescent="0.55000000000000004"/>
    <row r="31" spans="1:19" ht="26.1" thickBot="1" x14ac:dyDescent="0.55000000000000004">
      <c r="D31" s="209" t="s">
        <v>392</v>
      </c>
      <c r="E31" s="206" t="s">
        <v>393</v>
      </c>
    </row>
    <row r="32" spans="1:19" ht="13.8" thickBot="1" x14ac:dyDescent="0.55000000000000004">
      <c r="D32" s="256" t="s">
        <v>404</v>
      </c>
      <c r="E32" s="256" t="s">
        <v>884</v>
      </c>
    </row>
    <row r="33" spans="2:8" ht="13.8" thickBot="1" x14ac:dyDescent="0.55000000000000004">
      <c r="D33" s="256" t="s">
        <v>405</v>
      </c>
      <c r="E33" s="256" t="s">
        <v>1645</v>
      </c>
    </row>
    <row r="34" spans="2:8" ht="13.8" thickBot="1" x14ac:dyDescent="0.55000000000000004">
      <c r="D34" s="256" t="s">
        <v>406</v>
      </c>
      <c r="E34" s="256" t="s">
        <v>1646</v>
      </c>
    </row>
    <row r="35" spans="2:8" ht="13.8" thickBot="1" x14ac:dyDescent="0.55000000000000004">
      <c r="D35" s="256" t="s">
        <v>407</v>
      </c>
      <c r="E35" s="256" t="s">
        <v>611</v>
      </c>
    </row>
    <row r="36" spans="2:8" ht="13.8" thickBot="1" x14ac:dyDescent="0.55000000000000004">
      <c r="D36" s="256" t="s">
        <v>408</v>
      </c>
      <c r="E36" s="256" t="s">
        <v>612</v>
      </c>
    </row>
    <row r="37" spans="2:8" ht="13.8" thickBot="1" x14ac:dyDescent="0.55000000000000004">
      <c r="D37" s="256" t="s">
        <v>409</v>
      </c>
      <c r="E37" s="256" t="s">
        <v>885</v>
      </c>
    </row>
    <row r="38" spans="2:8" ht="13.8" thickBot="1" x14ac:dyDescent="0.55000000000000004">
      <c r="D38" s="256" t="s">
        <v>410</v>
      </c>
      <c r="E38" s="256" t="s">
        <v>1647</v>
      </c>
    </row>
    <row r="39" spans="2:8" ht="13.8" thickBot="1" x14ac:dyDescent="0.55000000000000004">
      <c r="D39" s="256" t="s">
        <v>411</v>
      </c>
      <c r="E39" s="256" t="s">
        <v>1648</v>
      </c>
    </row>
    <row r="40" spans="2:8" ht="13.8" thickBot="1" x14ac:dyDescent="0.55000000000000004">
      <c r="D40" s="256" t="s">
        <v>412</v>
      </c>
      <c r="E40" s="256" t="s">
        <v>886</v>
      </c>
    </row>
    <row r="41" spans="2:8" ht="13.8" thickBot="1" x14ac:dyDescent="0.55000000000000004">
      <c r="D41" s="256" t="s">
        <v>413</v>
      </c>
      <c r="E41" s="256" t="s">
        <v>1649</v>
      </c>
    </row>
    <row r="42" spans="2:8" ht="13.8" thickBot="1" x14ac:dyDescent="0.55000000000000004">
      <c r="D42" s="256" t="s">
        <v>414</v>
      </c>
      <c r="E42" s="256" t="s">
        <v>613</v>
      </c>
    </row>
    <row r="44" spans="2:8" s="139" customFormat="1" x14ac:dyDescent="0.35">
      <c r="B44" s="139" t="s">
        <v>1310</v>
      </c>
    </row>
    <row r="45" spans="2:8" ht="13.2" thickBot="1" x14ac:dyDescent="0.55000000000000004"/>
    <row r="46" spans="2:8" ht="26.1" thickBot="1" x14ac:dyDescent="0.55000000000000004">
      <c r="D46" s="209" t="s">
        <v>422</v>
      </c>
      <c r="E46" s="206" t="s">
        <v>423</v>
      </c>
      <c r="F46" s="206" t="s">
        <v>424</v>
      </c>
      <c r="G46" s="206" t="s">
        <v>425</v>
      </c>
      <c r="H46" s="206" t="s">
        <v>426</v>
      </c>
    </row>
    <row r="47" spans="2:8" ht="13.8" thickBot="1" x14ac:dyDescent="0.55000000000000004">
      <c r="D47" s="210" t="s">
        <v>614</v>
      </c>
      <c r="E47" s="211" t="s">
        <v>428</v>
      </c>
      <c r="F47" s="211" t="s">
        <v>428</v>
      </c>
      <c r="G47" s="211" t="s">
        <v>428</v>
      </c>
      <c r="H47" s="211" t="s">
        <v>428</v>
      </c>
    </row>
    <row r="48" spans="2:8" ht="13.8" thickBot="1" x14ac:dyDescent="0.55000000000000004">
      <c r="D48" s="210" t="s">
        <v>615</v>
      </c>
      <c r="E48" s="211" t="s">
        <v>428</v>
      </c>
      <c r="F48" s="211" t="s">
        <v>428</v>
      </c>
      <c r="G48" s="211" t="s">
        <v>428</v>
      </c>
      <c r="H48" s="211"/>
    </row>
    <row r="49" spans="2:10" ht="13.8" thickBot="1" x14ac:dyDescent="0.55000000000000004">
      <c r="D49" s="210" t="s">
        <v>430</v>
      </c>
      <c r="E49" s="212"/>
      <c r="F49" s="212"/>
      <c r="G49" s="211" t="s">
        <v>428</v>
      </c>
      <c r="H49" s="212"/>
    </row>
    <row r="50" spans="2:10" ht="13.8" thickBot="1" x14ac:dyDescent="0.55000000000000004">
      <c r="D50" s="210" t="s">
        <v>431</v>
      </c>
      <c r="E50" s="211" t="s">
        <v>428</v>
      </c>
      <c r="F50" s="211" t="s">
        <v>428</v>
      </c>
      <c r="G50" s="211" t="s">
        <v>428</v>
      </c>
      <c r="H50" s="212"/>
    </row>
    <row r="51" spans="2:10" ht="13.8" thickBot="1" x14ac:dyDescent="0.55000000000000004">
      <c r="D51" s="210" t="s">
        <v>432</v>
      </c>
      <c r="E51" s="211" t="s">
        <v>428</v>
      </c>
      <c r="F51" s="211" t="s">
        <v>428</v>
      </c>
      <c r="G51" s="211" t="s">
        <v>428</v>
      </c>
      <c r="H51" s="212"/>
    </row>
    <row r="53" spans="2:10" s="139" customFormat="1" x14ac:dyDescent="0.35">
      <c r="B53" s="139" t="s">
        <v>1311</v>
      </c>
    </row>
    <row r="54" spans="2:10" ht="13.2" thickBot="1" x14ac:dyDescent="0.55000000000000004"/>
    <row r="55" spans="2:10" ht="13.2" thickBot="1" x14ac:dyDescent="0.55000000000000004">
      <c r="D55" s="146" t="s">
        <v>245</v>
      </c>
      <c r="E55" s="141" t="s">
        <v>236</v>
      </c>
      <c r="F55" s="141" t="s">
        <v>237</v>
      </c>
      <c r="G55" s="141" t="s">
        <v>238</v>
      </c>
      <c r="H55" s="141" t="s">
        <v>239</v>
      </c>
      <c r="I55" s="141" t="s">
        <v>240</v>
      </c>
      <c r="J55" s="141" t="s">
        <v>112</v>
      </c>
    </row>
    <row r="56" spans="2:10" ht="13.8" thickBot="1" x14ac:dyDescent="0.55000000000000004">
      <c r="D56" s="142" t="s">
        <v>286</v>
      </c>
      <c r="E56" s="178">
        <f>'[4]Total by category'!U26</f>
        <v>34.922118004866356</v>
      </c>
      <c r="F56" s="178">
        <f>'[4]Total by category'!V26</f>
        <v>38.514520475254891</v>
      </c>
      <c r="G56" s="178">
        <f>'[4]Total by category'!W26</f>
        <v>33.444013978344806</v>
      </c>
      <c r="H56" s="178">
        <f>'[4]Total by category'!X26</f>
        <v>22.006857340073573</v>
      </c>
      <c r="I56" s="178">
        <f>'[4]Total by category'!Y26</f>
        <v>19.710304596256083</v>
      </c>
      <c r="J56" s="178">
        <f t="shared" ref="J56:J65" si="18">SUM(E56:I56)</f>
        <v>148.59781439479571</v>
      </c>
    </row>
    <row r="57" spans="2:10" ht="13.8" thickBot="1" x14ac:dyDescent="0.55000000000000004">
      <c r="D57" s="142" t="s">
        <v>287</v>
      </c>
      <c r="E57" s="178">
        <f>'[4]Total by category'!U25</f>
        <v>7.3949044268918529</v>
      </c>
      <c r="F57" s="178">
        <f>'[4]Total by category'!V25</f>
        <v>5.7559834187772951</v>
      </c>
      <c r="G57" s="178">
        <f>'[4]Total by category'!W25</f>
        <v>15.456394555574914</v>
      </c>
      <c r="H57" s="178">
        <f>'[4]Total by category'!X25</f>
        <v>17.585137907500812</v>
      </c>
      <c r="I57" s="178">
        <f>'[4]Total by category'!Y25</f>
        <v>14.397970489733808</v>
      </c>
      <c r="J57" s="178">
        <f t="shared" si="18"/>
        <v>60.59039079847868</v>
      </c>
    </row>
    <row r="58" spans="2:10" ht="13.8" thickBot="1" x14ac:dyDescent="0.55000000000000004">
      <c r="D58" s="142" t="s">
        <v>288</v>
      </c>
      <c r="E58" s="178">
        <f>'[4]Total by category'!U27</f>
        <v>12.647893670135225</v>
      </c>
      <c r="F58" s="178">
        <f>'[4]Total by category'!V27</f>
        <v>13.378655156962429</v>
      </c>
      <c r="G58" s="178">
        <f>'[4]Total by category'!W27</f>
        <v>13.564976556766927</v>
      </c>
      <c r="H58" s="178">
        <f>'[4]Total by category'!X27</f>
        <v>11.49268757276556</v>
      </c>
      <c r="I58" s="178">
        <f>'[4]Total by category'!Y27</f>
        <v>11.589754799327023</v>
      </c>
      <c r="J58" s="178">
        <f t="shared" si="18"/>
        <v>62.673967755957172</v>
      </c>
    </row>
    <row r="59" spans="2:10" ht="13.8" thickBot="1" x14ac:dyDescent="0.55000000000000004">
      <c r="D59" s="142" t="s">
        <v>289</v>
      </c>
      <c r="E59" s="178">
        <f>'[4]Total by category'!U29</f>
        <v>10.761451866960643</v>
      </c>
      <c r="F59" s="178">
        <f>'[4]Total by category'!V29</f>
        <v>9.4308482188013425</v>
      </c>
      <c r="G59" s="178">
        <f>'[4]Total by category'!W29</f>
        <v>7.3596957973945534</v>
      </c>
      <c r="H59" s="178">
        <f>'[4]Total by category'!X29</f>
        <v>4.8917166176201921</v>
      </c>
      <c r="I59" s="178">
        <f>'[4]Total by category'!Y29</f>
        <v>5.0514562576843405</v>
      </c>
      <c r="J59" s="178">
        <f t="shared" si="18"/>
        <v>37.495168758461077</v>
      </c>
    </row>
    <row r="60" spans="2:10" ht="13.8" thickBot="1" x14ac:dyDescent="0.55000000000000004">
      <c r="D60" s="142" t="s">
        <v>290</v>
      </c>
      <c r="E60" s="178">
        <f>'[4]Total by category'!U28</f>
        <v>27.889236896981956</v>
      </c>
      <c r="F60" s="178">
        <f>'[4]Total by category'!V28</f>
        <v>5.5668725227547871</v>
      </c>
      <c r="G60" s="178">
        <f>'[4]Total by category'!W28</f>
        <v>24.961776445441352</v>
      </c>
      <c r="H60" s="178">
        <f>'[4]Total by category'!X28</f>
        <v>5.6597478223745821</v>
      </c>
      <c r="I60" s="178">
        <f>'[4]Total by category'!Y28</f>
        <v>5.3490955046384308</v>
      </c>
      <c r="J60" s="178">
        <f t="shared" si="18"/>
        <v>69.426729192191104</v>
      </c>
    </row>
    <row r="61" spans="2:10" ht="13.8" thickBot="1" x14ac:dyDescent="0.55000000000000004">
      <c r="D61" s="142" t="s">
        <v>158</v>
      </c>
      <c r="E61" s="178">
        <f>'[4]Total by category'!U31</f>
        <v>13.012869520178295</v>
      </c>
      <c r="F61" s="178">
        <f>'[4]Total by category'!V31</f>
        <v>13.19114455870012</v>
      </c>
      <c r="G61" s="178">
        <f>'[4]Total by category'!W31</f>
        <v>13.393456838449179</v>
      </c>
      <c r="H61" s="178">
        <f>'[4]Total by category'!X31</f>
        <v>13.557488562506313</v>
      </c>
      <c r="I61" s="178">
        <f>'[4]Total by category'!Y31</f>
        <v>13.705951532618363</v>
      </c>
      <c r="J61" s="178">
        <f t="shared" si="18"/>
        <v>66.860911012452277</v>
      </c>
    </row>
    <row r="62" spans="2:10" ht="26.1" thickBot="1" x14ac:dyDescent="0.55000000000000004">
      <c r="D62" s="151" t="s">
        <v>953</v>
      </c>
      <c r="E62" s="189">
        <f>SUM(E56:E61)</f>
        <v>106.62847438601433</v>
      </c>
      <c r="F62" s="189">
        <f>SUM(F56:F61)</f>
        <v>85.838024351250866</v>
      </c>
      <c r="G62" s="189">
        <f>SUM(G56:G61)</f>
        <v>108.18031417197174</v>
      </c>
      <c r="H62" s="189">
        <f>SUM(H56:H61)</f>
        <v>75.193635822841031</v>
      </c>
      <c r="I62" s="189">
        <f>SUM(I56:I61)</f>
        <v>69.804533180258048</v>
      </c>
      <c r="J62" s="189">
        <f t="shared" si="18"/>
        <v>445.64498191233599</v>
      </c>
    </row>
    <row r="63" spans="2:10" ht="13.8" thickBot="1" x14ac:dyDescent="0.55000000000000004">
      <c r="D63" s="142" t="s">
        <v>952</v>
      </c>
      <c r="E63" s="191">
        <f>-'[2]PTRM input'!G139</f>
        <v>-12.647893670135224</v>
      </c>
      <c r="F63" s="191">
        <f>-'[2]PTRM input'!H139</f>
        <v>-13.378655156962431</v>
      </c>
      <c r="G63" s="191">
        <f>-'[2]PTRM input'!I139</f>
        <v>-13.564976556766926</v>
      </c>
      <c r="H63" s="191">
        <f>-'[2]PTRM input'!J139</f>
        <v>-11.49268757276556</v>
      </c>
      <c r="I63" s="191">
        <f>-'[2]PTRM input'!K139</f>
        <v>-11.589754799327023</v>
      </c>
      <c r="J63" s="178">
        <f t="shared" si="18"/>
        <v>-62.673967755957165</v>
      </c>
    </row>
    <row r="64" spans="2:10" ht="13.8" thickBot="1" x14ac:dyDescent="0.55000000000000004">
      <c r="D64" s="142" t="s">
        <v>318</v>
      </c>
      <c r="E64" s="191">
        <f>-'[2]PTRM input'!G105</f>
        <v>0</v>
      </c>
      <c r="F64" s="191">
        <f>-'[2]PTRM input'!H105</f>
        <v>0</v>
      </c>
      <c r="G64" s="191">
        <f>-'[2]PTRM input'!I105</f>
        <v>0</v>
      </c>
      <c r="H64" s="191">
        <f>-'[2]PTRM input'!J105</f>
        <v>0</v>
      </c>
      <c r="I64" s="191">
        <f>-'[2]PTRM input'!K105</f>
        <v>0</v>
      </c>
      <c r="J64" s="178">
        <f t="shared" si="18"/>
        <v>0</v>
      </c>
    </row>
    <row r="65" spans="1:10" ht="26.1" thickBot="1" x14ac:dyDescent="0.55000000000000004">
      <c r="D65" s="151" t="s">
        <v>954</v>
      </c>
      <c r="E65" s="189">
        <f>SUM(E62:E64)</f>
        <v>93.980580715879114</v>
      </c>
      <c r="F65" s="189">
        <f t="shared" ref="F65:I65" si="19">SUM(F62:F64)</f>
        <v>72.459369194288428</v>
      </c>
      <c r="G65" s="189">
        <f t="shared" si="19"/>
        <v>94.615337615204822</v>
      </c>
      <c r="H65" s="189">
        <f t="shared" si="19"/>
        <v>63.70094825007547</v>
      </c>
      <c r="I65" s="189">
        <f t="shared" si="19"/>
        <v>58.214778380931023</v>
      </c>
      <c r="J65" s="189">
        <f t="shared" si="18"/>
        <v>382.97101415637889</v>
      </c>
    </row>
    <row r="66" spans="1:10" ht="13.8" thickBot="1" x14ac:dyDescent="0.55000000000000004">
      <c r="D66" s="142" t="s">
        <v>155</v>
      </c>
      <c r="E66" s="178">
        <f>'[4]Total by category'!U32</f>
        <v>6.6498730874599916</v>
      </c>
      <c r="F66" s="178">
        <f>'[4]Total by category'!V32</f>
        <v>3.7524143663033378</v>
      </c>
      <c r="G66" s="178">
        <f>'[4]Total by category'!W32</f>
        <v>3.7978799723895018</v>
      </c>
      <c r="H66" s="178">
        <f>'[4]Total by category'!X32</f>
        <v>7.4779427748406562</v>
      </c>
      <c r="I66" s="178">
        <f>'[4]Total by category'!Y32</f>
        <v>3.693421968848392</v>
      </c>
      <c r="J66" s="178">
        <f t="shared" ref="J66" si="20">SUM(E66:I66)</f>
        <v>25.371532169841878</v>
      </c>
    </row>
    <row r="67" spans="1:10" ht="13.5" x14ac:dyDescent="0.5">
      <c r="D67" s="271"/>
      <c r="E67" s="194"/>
      <c r="F67" s="194"/>
      <c r="G67" s="194"/>
      <c r="H67" s="194"/>
      <c r="I67" s="194"/>
      <c r="J67" s="194"/>
    </row>
    <row r="68" spans="1:10" x14ac:dyDescent="0.5">
      <c r="A68" s="70">
        <f>IF(SUM(E68:I68)&lt;&gt;0,1,0)</f>
        <v>0</v>
      </c>
      <c r="D68" s="12" t="s">
        <v>816</v>
      </c>
      <c r="E68" s="70">
        <f>IF(ROUND('[4]Total by category'!U34-'[4]Total by category'!U32-E62,2)&lt;&gt;0,1,0)</f>
        <v>0</v>
      </c>
      <c r="F68" s="70">
        <f>IF(ROUND('[4]Total by category'!V34-'[4]Total by category'!V32-F62,2)&lt;&gt;0,1,0)</f>
        <v>0</v>
      </c>
      <c r="G68" s="70">
        <f>IF(ROUND('[4]Total by category'!W34-'[4]Total by category'!W32-G62,2)&lt;&gt;0,1,0)</f>
        <v>0</v>
      </c>
      <c r="H68" s="70">
        <f>IF(ROUND('[4]Total by category'!X34-'[4]Total by category'!X32-H62,2)&lt;&gt;0,1,0)</f>
        <v>0</v>
      </c>
      <c r="I68" s="70">
        <f>IF(ROUND('[4]Total by category'!Y34-'[4]Total by category'!Y32-I62,2)&lt;&gt;0,1,0)</f>
        <v>0</v>
      </c>
    </row>
    <row r="69" spans="1:10" x14ac:dyDescent="0.5">
      <c r="A69" s="70">
        <f>IF(SUM(E69:I69)&lt;&gt;0,1,0)</f>
        <v>0</v>
      </c>
      <c r="D69" s="12" t="s">
        <v>817</v>
      </c>
      <c r="E69" s="70">
        <f>IF(ROUND('[2]PTRM input'!G71-'[2]PTRM input'!G70-E62,2)&lt;&gt;0,1,0)</f>
        <v>0</v>
      </c>
      <c r="F69" s="70">
        <f>IF(ROUND('[2]PTRM input'!H71-'[2]PTRM input'!H70-F62,2)&lt;&gt;0,1,0)</f>
        <v>0</v>
      </c>
      <c r="G69" s="70">
        <f>IF(ROUND('[2]PTRM input'!I71-'[2]PTRM input'!I70-G62,2)&lt;&gt;0,1,0)</f>
        <v>0</v>
      </c>
      <c r="H69" s="70">
        <f>IF(ROUND('[2]PTRM input'!J71-'[2]PTRM input'!J70-H62,2)&lt;&gt;0,1,0)</f>
        <v>0</v>
      </c>
      <c r="I69" s="70">
        <f>IF(ROUND('[2]PTRM input'!K71-'[2]PTRM input'!K70-I62,2)&lt;&gt;0,1,0)</f>
        <v>0</v>
      </c>
    </row>
    <row r="70" spans="1:10" x14ac:dyDescent="0.5">
      <c r="E70" s="660"/>
      <c r="F70" s="660"/>
      <c r="G70" s="660"/>
      <c r="H70" s="660"/>
      <c r="I70" s="660"/>
    </row>
    <row r="71" spans="1:10" s="139" customFormat="1" x14ac:dyDescent="0.35">
      <c r="B71" s="139" t="s">
        <v>1363</v>
      </c>
    </row>
    <row r="94" spans="2:9" s="139" customFormat="1" x14ac:dyDescent="0.35">
      <c r="B94" s="139" t="s">
        <v>293</v>
      </c>
    </row>
    <row r="95" spans="2:9" ht="13.2" thickBot="1" x14ac:dyDescent="0.55000000000000004"/>
    <row r="96" spans="2:9" ht="13.2" thickBot="1" x14ac:dyDescent="0.55000000000000004">
      <c r="D96" s="146" t="s">
        <v>245</v>
      </c>
      <c r="E96" s="141" t="s">
        <v>236</v>
      </c>
      <c r="F96" s="141" t="s">
        <v>237</v>
      </c>
      <c r="G96" s="141" t="s">
        <v>238</v>
      </c>
      <c r="H96" s="141" t="s">
        <v>239</v>
      </c>
      <c r="I96" s="141" t="s">
        <v>240</v>
      </c>
    </row>
    <row r="97" spans="2:9" ht="13.8" thickBot="1" x14ac:dyDescent="0.55000000000000004">
      <c r="D97" s="142" t="s">
        <v>294</v>
      </c>
      <c r="E97" s="178">
        <f>E56</f>
        <v>34.922118004866356</v>
      </c>
      <c r="F97" s="178">
        <f>F56</f>
        <v>38.514520475254891</v>
      </c>
      <c r="G97" s="178">
        <f>G56</f>
        <v>33.444013978344806</v>
      </c>
      <c r="H97" s="178">
        <f>H56</f>
        <v>22.006857340073573</v>
      </c>
      <c r="I97" s="178">
        <f>I56</f>
        <v>19.710304596256083</v>
      </c>
    </row>
    <row r="99" spans="2:9" s="139" customFormat="1" x14ac:dyDescent="0.35">
      <c r="B99" s="139" t="s">
        <v>1364</v>
      </c>
    </row>
    <row r="122" spans="2:10" s="139" customFormat="1" x14ac:dyDescent="0.35">
      <c r="B122" s="139" t="s">
        <v>1312</v>
      </c>
    </row>
    <row r="123" spans="2:10" ht="13.2" thickBot="1" x14ac:dyDescent="0.55000000000000004"/>
    <row r="124" spans="2:10" ht="13.2" thickBot="1" x14ac:dyDescent="0.55000000000000004">
      <c r="D124" s="146" t="s">
        <v>245</v>
      </c>
      <c r="E124" s="493" t="s">
        <v>236</v>
      </c>
      <c r="F124" s="493" t="s">
        <v>237</v>
      </c>
      <c r="G124" s="493" t="s">
        <v>238</v>
      </c>
      <c r="H124" s="493" t="s">
        <v>239</v>
      </c>
      <c r="I124" s="493" t="s">
        <v>240</v>
      </c>
      <c r="J124" s="493" t="s">
        <v>112</v>
      </c>
    </row>
    <row r="125" spans="2:10" ht="13.8" thickBot="1" x14ac:dyDescent="0.55000000000000004">
      <c r="D125" s="142" t="s">
        <v>1313</v>
      </c>
      <c r="E125" s="191">
        <f>CAPEX_O!D272</f>
        <v>31.83854814298725</v>
      </c>
      <c r="F125" s="191">
        <f>CAPEX_O!E272</f>
        <v>36.111007391677376</v>
      </c>
      <c r="G125" s="191">
        <f>CAPEX_O!F272</f>
        <v>31.793848567362048</v>
      </c>
      <c r="H125" s="191">
        <f>CAPEX_O!G272</f>
        <v>21.195445166783653</v>
      </c>
      <c r="I125" s="191">
        <f>CAPEX_O!H272</f>
        <v>18.883992698946454</v>
      </c>
      <c r="J125" s="178">
        <f>SUM(E125:I125)</f>
        <v>139.82284196775677</v>
      </c>
    </row>
    <row r="126" spans="2:10" ht="13.8" thickBot="1" x14ac:dyDescent="0.55000000000000004">
      <c r="D126" s="142" t="s">
        <v>1314</v>
      </c>
      <c r="E126" s="191">
        <f>CAPEX_O!D273</f>
        <v>2.5527405534415295</v>
      </c>
      <c r="F126" s="191">
        <f>CAPEX_O!E273</f>
        <v>1.8695147241685663</v>
      </c>
      <c r="G126" s="191">
        <f>CAPEX_O!F273</f>
        <v>1.1123414873270119</v>
      </c>
      <c r="H126" s="191">
        <f>CAPEX_O!G273</f>
        <v>0.26941419816266721</v>
      </c>
      <c r="I126" s="191">
        <f>CAPEX_O!H273</f>
        <v>0.28075462147971919</v>
      </c>
      <c r="J126" s="178">
        <f t="shared" ref="J126:J127" si="21">SUM(E126:I126)</f>
        <v>6.0847655845794941</v>
      </c>
    </row>
    <row r="127" spans="2:10" ht="13.8" thickBot="1" x14ac:dyDescent="0.55000000000000004">
      <c r="D127" s="142" t="s">
        <v>1315</v>
      </c>
      <c r="E127" s="191">
        <f>CAPEX_O!D274</f>
        <v>0.53082930843757792</v>
      </c>
      <c r="F127" s="191">
        <f>CAPEX_O!E274</f>
        <v>0.53399835940895024</v>
      </c>
      <c r="G127" s="191">
        <f>CAPEX_O!F274</f>
        <v>0.53782392365575593</v>
      </c>
      <c r="H127" s="191">
        <f>CAPEX_O!G274</f>
        <v>0.54199797512724812</v>
      </c>
      <c r="I127" s="191">
        <f>CAPEX_O!H274</f>
        <v>0.54555727582990887</v>
      </c>
      <c r="J127" s="178">
        <f t="shared" si="21"/>
        <v>2.6902068424594408</v>
      </c>
    </row>
    <row r="128" spans="2:10" ht="13.2" thickBot="1" x14ac:dyDescent="0.55000000000000004">
      <c r="D128" s="151" t="s">
        <v>1316</v>
      </c>
      <c r="E128" s="189">
        <f t="shared" ref="E128:I128" si="22">SUM(E125:E127)</f>
        <v>34.922118004866356</v>
      </c>
      <c r="F128" s="189">
        <f t="shared" si="22"/>
        <v>38.514520475254891</v>
      </c>
      <c r="G128" s="189">
        <f t="shared" si="22"/>
        <v>33.44401397834482</v>
      </c>
      <c r="H128" s="189">
        <f t="shared" si="22"/>
        <v>22.006857340073569</v>
      </c>
      <c r="I128" s="189">
        <f t="shared" si="22"/>
        <v>19.710304596256083</v>
      </c>
      <c r="J128" s="189">
        <f>SUM(J125:J127)</f>
        <v>148.59781439479571</v>
      </c>
    </row>
    <row r="129" spans="1:9" ht="13.5" x14ac:dyDescent="0.5">
      <c r="D129" s="271"/>
      <c r="E129" s="194"/>
      <c r="F129" s="194"/>
      <c r="G129" s="194"/>
      <c r="H129" s="194"/>
      <c r="I129" s="194"/>
    </row>
    <row r="130" spans="1:9" x14ac:dyDescent="0.5">
      <c r="A130" s="70">
        <f>IF(SUM(E130:I130)&lt;&gt;0,1,0)</f>
        <v>0</v>
      </c>
      <c r="D130" s="12" t="s">
        <v>116</v>
      </c>
      <c r="E130" s="70">
        <f>IF(ROUND(E97-E128,3)&lt;&gt;0,1,0)</f>
        <v>0</v>
      </c>
      <c r="F130" s="70">
        <f t="shared" ref="F130:I130" si="23">IF(ROUND(F97-F128,3)&lt;&gt;0,1,0)</f>
        <v>0</v>
      </c>
      <c r="G130" s="70">
        <f t="shared" si="23"/>
        <v>0</v>
      </c>
      <c r="H130" s="70">
        <f t="shared" si="23"/>
        <v>0</v>
      </c>
      <c r="I130" s="70">
        <f t="shared" si="23"/>
        <v>0</v>
      </c>
    </row>
    <row r="132" spans="1:9" s="139" customFormat="1" x14ac:dyDescent="0.35">
      <c r="B132" s="139" t="s">
        <v>1317</v>
      </c>
    </row>
    <row r="133" spans="1:9" ht="13.2" thickBot="1" x14ac:dyDescent="0.55000000000000004"/>
    <row r="134" spans="1:9" ht="13.2" thickBot="1" x14ac:dyDescent="0.55000000000000004">
      <c r="D134" s="146" t="s">
        <v>245</v>
      </c>
      <c r="E134" s="141" t="s">
        <v>236</v>
      </c>
      <c r="F134" s="141" t="s">
        <v>237</v>
      </c>
      <c r="G134" s="141" t="s">
        <v>238</v>
      </c>
      <c r="H134" s="141" t="s">
        <v>239</v>
      </c>
      <c r="I134" s="141" t="s">
        <v>240</v>
      </c>
    </row>
    <row r="135" spans="1:9" ht="13.8" thickBot="1" x14ac:dyDescent="0.55000000000000004">
      <c r="D135" s="142" t="s">
        <v>295</v>
      </c>
      <c r="E135" s="178">
        <f>E57</f>
        <v>7.3949044268918529</v>
      </c>
      <c r="F135" s="178">
        <f>F57</f>
        <v>5.7559834187772951</v>
      </c>
      <c r="G135" s="178">
        <f>G57</f>
        <v>15.456394555574914</v>
      </c>
      <c r="H135" s="178">
        <f>H57</f>
        <v>17.585137907500812</v>
      </c>
      <c r="I135" s="178">
        <f>I57</f>
        <v>14.397970489733808</v>
      </c>
    </row>
    <row r="137" spans="1:9" s="139" customFormat="1" x14ac:dyDescent="0.35">
      <c r="B137" s="139" t="s">
        <v>1365</v>
      </c>
    </row>
    <row r="160" spans="2:2" s="139" customFormat="1" x14ac:dyDescent="0.35">
      <c r="B160" s="509" t="s">
        <v>1321</v>
      </c>
    </row>
    <row r="161" spans="1:11" ht="13.2" thickBot="1" x14ac:dyDescent="0.55000000000000004"/>
    <row r="162" spans="1:11" ht="13.2" thickBot="1" x14ac:dyDescent="0.55000000000000004">
      <c r="D162" s="146" t="s">
        <v>245</v>
      </c>
      <c r="E162" s="493" t="s">
        <v>236</v>
      </c>
      <c r="F162" s="493" t="s">
        <v>237</v>
      </c>
      <c r="G162" s="493" t="s">
        <v>238</v>
      </c>
      <c r="H162" s="493" t="s">
        <v>239</v>
      </c>
      <c r="I162" s="493" t="s">
        <v>240</v>
      </c>
      <c r="J162" s="493" t="s">
        <v>112</v>
      </c>
    </row>
    <row r="163" spans="1:11" ht="13.8" thickBot="1" x14ac:dyDescent="0.55000000000000004">
      <c r="D163" s="142" t="s">
        <v>1318</v>
      </c>
      <c r="E163" s="191">
        <f>CAPEX_O!D452</f>
        <v>2.8973139641817114</v>
      </c>
      <c r="F163" s="191">
        <f>CAPEX_O!E452</f>
        <v>1.2491189693776612</v>
      </c>
      <c r="G163" s="191">
        <f>CAPEX_O!F452</f>
        <v>10.693575090231406</v>
      </c>
      <c r="H163" s="191">
        <f>CAPEX_O!G452</f>
        <v>11.833094193811265</v>
      </c>
      <c r="I163" s="191">
        <f>CAPEX_O!H452</f>
        <v>10.608058141137116</v>
      </c>
      <c r="J163" s="508">
        <f>SUM(E163:I163)</f>
        <v>37.281160358739157</v>
      </c>
    </row>
    <row r="164" spans="1:11" ht="13.8" thickBot="1" x14ac:dyDescent="0.55000000000000004">
      <c r="D164" s="142" t="s">
        <v>1314</v>
      </c>
      <c r="E164" s="191">
        <f>CAPEX_O!D453</f>
        <v>3.0106475460925983</v>
      </c>
      <c r="F164" s="191">
        <f>CAPEX_O!E453</f>
        <v>3.0110444835698851</v>
      </c>
      <c r="G164" s="191">
        <f>CAPEX_O!F453</f>
        <v>2.312732702022843</v>
      </c>
      <c r="H164" s="191">
        <f>CAPEX_O!G453</f>
        <v>4.2338154675728701</v>
      </c>
      <c r="I164" s="191">
        <f>CAPEX_O!H453</f>
        <v>2.2617138975877653</v>
      </c>
      <c r="J164" s="508">
        <f t="shared" ref="J164:J165" si="24">SUM(E164:I164)</f>
        <v>14.829954096845963</v>
      </c>
    </row>
    <row r="165" spans="1:11" ht="13.8" thickBot="1" x14ac:dyDescent="0.55000000000000004">
      <c r="D165" s="142" t="s">
        <v>1315</v>
      </c>
      <c r="E165" s="191">
        <f>CAPEX_O!D454</f>
        <v>1.4869429166175425</v>
      </c>
      <c r="F165" s="191">
        <f>CAPEX_O!E454</f>
        <v>1.4958199658297495</v>
      </c>
      <c r="G165" s="191">
        <f>CAPEX_O!F454</f>
        <v>2.450086763320666</v>
      </c>
      <c r="H165" s="191">
        <f>CAPEX_O!G454</f>
        <v>1.5182282461166774</v>
      </c>
      <c r="I165" s="191">
        <f>CAPEX_O!H454</f>
        <v>1.5281984510089259</v>
      </c>
      <c r="J165" s="508">
        <f t="shared" si="24"/>
        <v>8.4792763428935611</v>
      </c>
    </row>
    <row r="166" spans="1:11" ht="13.2" thickBot="1" x14ac:dyDescent="0.55000000000000004">
      <c r="D166" s="151" t="s">
        <v>112</v>
      </c>
      <c r="E166" s="189">
        <f>SUM(E163:E165)</f>
        <v>7.3949044268918529</v>
      </c>
      <c r="F166" s="189">
        <f t="shared" ref="F166:J166" si="25">SUM(F163:F165)</f>
        <v>5.755983418777296</v>
      </c>
      <c r="G166" s="189">
        <f t="shared" si="25"/>
        <v>15.456394555574914</v>
      </c>
      <c r="H166" s="189">
        <f t="shared" si="25"/>
        <v>17.585137907500812</v>
      </c>
      <c r="I166" s="189">
        <f t="shared" si="25"/>
        <v>14.397970489733808</v>
      </c>
      <c r="J166" s="189">
        <f t="shared" si="25"/>
        <v>60.590390798478687</v>
      </c>
    </row>
    <row r="167" spans="1:11" ht="13.5" x14ac:dyDescent="0.5">
      <c r="D167" s="271"/>
      <c r="E167" s="194"/>
      <c r="F167" s="194"/>
      <c r="G167" s="194"/>
      <c r="H167" s="194"/>
      <c r="I167" s="194"/>
    </row>
    <row r="168" spans="1:11" x14ac:dyDescent="0.5">
      <c r="A168" s="70">
        <f>IF(SUM(E168:I168)&lt;&gt;0,1,0)</f>
        <v>0</v>
      </c>
      <c r="D168" s="12" t="s">
        <v>116</v>
      </c>
      <c r="E168" s="70">
        <f>IF(ROUND(E135-E166,3)&lt;&gt;0,1,0)</f>
        <v>0</v>
      </c>
      <c r="F168" s="70">
        <f t="shared" ref="F168:I168" si="26">IF(ROUND(F135-F166,3)&lt;&gt;0,1,0)</f>
        <v>0</v>
      </c>
      <c r="G168" s="70">
        <f t="shared" si="26"/>
        <v>0</v>
      </c>
      <c r="H168" s="70">
        <f t="shared" si="26"/>
        <v>0</v>
      </c>
      <c r="I168" s="70">
        <f t="shared" si="26"/>
        <v>0</v>
      </c>
    </row>
    <row r="170" spans="1:11" s="139" customFormat="1" x14ac:dyDescent="0.35">
      <c r="B170" s="139" t="s">
        <v>1319</v>
      </c>
    </row>
    <row r="171" spans="1:11" ht="13.2" thickBot="1" x14ac:dyDescent="0.55000000000000004"/>
    <row r="172" spans="1:11" ht="13.2" thickBot="1" x14ac:dyDescent="0.55000000000000004">
      <c r="D172" s="146" t="s">
        <v>245</v>
      </c>
      <c r="E172" s="141" t="s">
        <v>236</v>
      </c>
      <c r="F172" s="141" t="s">
        <v>237</v>
      </c>
      <c r="G172" s="141" t="s">
        <v>238</v>
      </c>
      <c r="H172" s="141" t="s">
        <v>239</v>
      </c>
      <c r="I172" s="141" t="s">
        <v>240</v>
      </c>
    </row>
    <row r="173" spans="1:11" ht="27.3" thickBot="1" x14ac:dyDescent="0.55000000000000004">
      <c r="D173" s="142" t="s">
        <v>955</v>
      </c>
      <c r="E173" s="177">
        <f>E58</f>
        <v>12.647893670135225</v>
      </c>
      <c r="F173" s="177">
        <f>F58</f>
        <v>13.378655156962429</v>
      </c>
      <c r="G173" s="177">
        <f>G58</f>
        <v>13.564976556766927</v>
      </c>
      <c r="H173" s="177">
        <f>H58</f>
        <v>11.49268757276556</v>
      </c>
      <c r="I173" s="177">
        <f>I58</f>
        <v>11.589754799327023</v>
      </c>
      <c r="K173" s="398"/>
    </row>
    <row r="175" spans="1:11" x14ac:dyDescent="0.5">
      <c r="A175" s="70">
        <f>IF(SUM(E175:I175)&lt;&gt;0,1,0)</f>
        <v>0</v>
      </c>
      <c r="D175" s="12" t="s">
        <v>116</v>
      </c>
      <c r="E175" s="70">
        <f>IF(ROUND(E58-E173,2)&lt;&gt;0,1,0)</f>
        <v>0</v>
      </c>
      <c r="F175" s="70">
        <f t="shared" ref="F175:I175" si="27">IF(ROUND(F58-F173,2)&lt;&gt;0,1,0)</f>
        <v>0</v>
      </c>
      <c r="G175" s="70">
        <f t="shared" si="27"/>
        <v>0</v>
      </c>
      <c r="H175" s="70">
        <f t="shared" si="27"/>
        <v>0</v>
      </c>
      <c r="I175" s="70">
        <f t="shared" si="27"/>
        <v>0</v>
      </c>
    </row>
    <row r="177" spans="2:2" s="139" customFormat="1" x14ac:dyDescent="0.35">
      <c r="B177" s="139" t="s">
        <v>1366</v>
      </c>
    </row>
    <row r="199" spans="2:9" s="139" customFormat="1" x14ac:dyDescent="0.35">
      <c r="B199" s="139" t="s">
        <v>1320</v>
      </c>
    </row>
    <row r="200" spans="2:9" ht="13.2" thickBot="1" x14ac:dyDescent="0.55000000000000004"/>
    <row r="201" spans="2:9" ht="13.2" thickBot="1" x14ac:dyDescent="0.55000000000000004">
      <c r="D201" s="146" t="s">
        <v>245</v>
      </c>
      <c r="E201" s="141" t="s">
        <v>236</v>
      </c>
      <c r="F201" s="141" t="s">
        <v>237</v>
      </c>
      <c r="G201" s="141" t="s">
        <v>238</v>
      </c>
      <c r="H201" s="141" t="s">
        <v>239</v>
      </c>
      <c r="I201" s="141" t="s">
        <v>240</v>
      </c>
    </row>
    <row r="202" spans="2:9" ht="13.8" thickBot="1" x14ac:dyDescent="0.55000000000000004">
      <c r="D202" s="142" t="s">
        <v>233</v>
      </c>
      <c r="E202" s="178">
        <f>E59</f>
        <v>10.761451866960643</v>
      </c>
      <c r="F202" s="178">
        <f>F59</f>
        <v>9.4308482188013425</v>
      </c>
      <c r="G202" s="178">
        <f>G59</f>
        <v>7.3596957973945534</v>
      </c>
      <c r="H202" s="178">
        <f>H59</f>
        <v>4.8917166176201921</v>
      </c>
      <c r="I202" s="178">
        <f>I59</f>
        <v>5.0514562576843405</v>
      </c>
    </row>
    <row r="204" spans="2:9" s="139" customFormat="1" x14ac:dyDescent="0.35">
      <c r="B204" s="139" t="s">
        <v>1367</v>
      </c>
    </row>
    <row r="227" spans="1:12" s="139" customFormat="1" x14ac:dyDescent="0.35">
      <c r="B227" s="509" t="s">
        <v>1322</v>
      </c>
    </row>
    <row r="228" spans="1:12" ht="13.2" thickBot="1" x14ac:dyDescent="0.55000000000000004"/>
    <row r="229" spans="1:12" ht="13.2" thickBot="1" x14ac:dyDescent="0.55000000000000004">
      <c r="D229" s="146" t="s">
        <v>245</v>
      </c>
      <c r="E229" s="493" t="s">
        <v>236</v>
      </c>
      <c r="F229" s="493" t="s">
        <v>237</v>
      </c>
      <c r="G229" s="493" t="s">
        <v>238</v>
      </c>
      <c r="H229" s="493" t="s">
        <v>239</v>
      </c>
      <c r="I229" s="493" t="s">
        <v>240</v>
      </c>
      <c r="J229" s="493" t="s">
        <v>112</v>
      </c>
    </row>
    <row r="230" spans="1:12" ht="13.8" thickBot="1" x14ac:dyDescent="0.55000000000000004">
      <c r="D230" s="142" t="s">
        <v>491</v>
      </c>
      <c r="E230" s="191">
        <f>CAPEX_O!D542</f>
        <v>1.5920740233178503</v>
      </c>
      <c r="F230" s="191">
        <f>CAPEX_O!E542</f>
        <v>0.9884694777675227</v>
      </c>
      <c r="G230" s="191">
        <f>CAPEX_O!F542</f>
        <v>0.23567800787098231</v>
      </c>
      <c r="H230" s="191">
        <f>CAPEX_O!G542</f>
        <v>0</v>
      </c>
      <c r="I230" s="191">
        <f>CAPEX_O!H542</f>
        <v>0</v>
      </c>
      <c r="J230" s="508">
        <f>SUM(E230:I230)</f>
        <v>2.8162215089563549</v>
      </c>
      <c r="L230" s="204" t="s">
        <v>935</v>
      </c>
    </row>
    <row r="231" spans="1:12" ht="13.8" thickBot="1" x14ac:dyDescent="0.55000000000000004">
      <c r="D231" s="142" t="s">
        <v>493</v>
      </c>
      <c r="E231" s="191">
        <f>CAPEX_O!D543</f>
        <v>5.3849891240276175</v>
      </c>
      <c r="F231" s="191">
        <f>CAPEX_O!E543</f>
        <v>7.0697739522084335</v>
      </c>
      <c r="G231" s="191">
        <f>CAPEX_O!F543</f>
        <v>4.1202407726044488</v>
      </c>
      <c r="H231" s="191">
        <f>CAPEX_O!G543</f>
        <v>1.6423616303148272</v>
      </c>
      <c r="I231" s="191">
        <f>CAPEX_O!H543</f>
        <v>2.1360619835178261</v>
      </c>
      <c r="J231" s="508">
        <f t="shared" ref="J231:J232" si="28">SUM(E231:I231)</f>
        <v>20.353427462673157</v>
      </c>
      <c r="L231" s="204" t="s">
        <v>1621</v>
      </c>
    </row>
    <row r="232" spans="1:12" ht="13.8" thickBot="1" x14ac:dyDescent="0.55000000000000004">
      <c r="D232" s="142" t="s">
        <v>495</v>
      </c>
      <c r="E232" s="191">
        <f>CAPEX_O!D544</f>
        <v>3.7388801952777779</v>
      </c>
      <c r="F232" s="191">
        <f>CAPEX_O!E544</f>
        <v>1.3747595190475645</v>
      </c>
      <c r="G232" s="191">
        <f>CAPEX_O!F544</f>
        <v>3.0006800737018162</v>
      </c>
      <c r="H232" s="191">
        <f>CAPEX_O!G544</f>
        <v>3.2473391351873491</v>
      </c>
      <c r="I232" s="191">
        <f>CAPEX_O!H544</f>
        <v>2.9100641902163011</v>
      </c>
      <c r="J232" s="508">
        <f t="shared" si="28"/>
        <v>14.271723113430811</v>
      </c>
      <c r="L232" s="204"/>
    </row>
    <row r="233" spans="1:12" ht="13.2" thickBot="1" x14ac:dyDescent="0.55000000000000004">
      <c r="D233" s="151" t="s">
        <v>112</v>
      </c>
      <c r="E233" s="189">
        <f t="shared" ref="E233:J233" si="29">SUM(E230:E232)</f>
        <v>10.715943342623245</v>
      </c>
      <c r="F233" s="189">
        <f t="shared" si="29"/>
        <v>9.4330029490235212</v>
      </c>
      <c r="G233" s="189">
        <f t="shared" si="29"/>
        <v>7.3565988541772471</v>
      </c>
      <c r="H233" s="189">
        <f t="shared" si="29"/>
        <v>4.8897007655021767</v>
      </c>
      <c r="I233" s="189">
        <f t="shared" si="29"/>
        <v>5.0461261737341268</v>
      </c>
      <c r="J233" s="189">
        <f t="shared" si="29"/>
        <v>37.441372085060323</v>
      </c>
    </row>
    <row r="234" spans="1:12" ht="13.5" x14ac:dyDescent="0.5">
      <c r="D234" s="271"/>
      <c r="E234" s="194"/>
      <c r="F234" s="194"/>
      <c r="G234" s="194"/>
      <c r="H234" s="194"/>
      <c r="I234" s="194"/>
    </row>
    <row r="235" spans="1:12" x14ac:dyDescent="0.5">
      <c r="A235" s="70">
        <f>IF(SUM(E235:I235)&lt;&gt;0,1,0)</f>
        <v>0</v>
      </c>
      <c r="D235" s="12" t="s">
        <v>116</v>
      </c>
      <c r="E235" s="70">
        <f>IF(ROUND(E202-E233,1)&lt;&gt;0,1,0)</f>
        <v>0</v>
      </c>
      <c r="F235" s="70">
        <f>IF(ROUND(F202-F233,1)&lt;&gt;0,1,0)</f>
        <v>0</v>
      </c>
      <c r="G235" s="70">
        <f>IF(ROUND(G202-G233,1)&lt;&gt;0,1,0)</f>
        <v>0</v>
      </c>
      <c r="H235" s="70">
        <f>IF(ROUND(H202-H233,1)&lt;&gt;0,1,0)</f>
        <v>0</v>
      </c>
      <c r="I235" s="70">
        <f>IF(ROUND(I202-I233,1)&lt;&gt;0,1,0)</f>
        <v>0</v>
      </c>
    </row>
    <row r="237" spans="1:12" s="139" customFormat="1" x14ac:dyDescent="0.35">
      <c r="B237" s="139" t="s">
        <v>1323</v>
      </c>
    </row>
    <row r="238" spans="1:12" ht="13.2" thickBot="1" x14ac:dyDescent="0.55000000000000004"/>
    <row r="239" spans="1:12" ht="13.2" thickBot="1" x14ac:dyDescent="0.55000000000000004">
      <c r="D239" s="146" t="s">
        <v>245</v>
      </c>
      <c r="E239" s="141" t="s">
        <v>236</v>
      </c>
      <c r="F239" s="141" t="s">
        <v>237</v>
      </c>
      <c r="G239" s="141" t="s">
        <v>238</v>
      </c>
      <c r="H239" s="141" t="s">
        <v>239</v>
      </c>
      <c r="I239" s="141" t="s">
        <v>240</v>
      </c>
    </row>
    <row r="240" spans="1:12" ht="13.8" thickBot="1" x14ac:dyDescent="0.55000000000000004">
      <c r="D240" s="142" t="str">
        <f t="shared" ref="D240:I240" si="30">D60</f>
        <v xml:space="preserve">Non-Network Other </v>
      </c>
      <c r="E240" s="178">
        <f t="shared" si="30"/>
        <v>27.889236896981956</v>
      </c>
      <c r="F240" s="178">
        <f t="shared" si="30"/>
        <v>5.5668725227547871</v>
      </c>
      <c r="G240" s="178">
        <f t="shared" si="30"/>
        <v>24.961776445441352</v>
      </c>
      <c r="H240" s="178">
        <f t="shared" si="30"/>
        <v>5.6597478223745821</v>
      </c>
      <c r="I240" s="178">
        <f t="shared" si="30"/>
        <v>5.3490955046384308</v>
      </c>
    </row>
    <row r="242" spans="2:9" s="139" customFormat="1" x14ac:dyDescent="0.35">
      <c r="B242" s="139" t="s">
        <v>1324</v>
      </c>
    </row>
    <row r="243" spans="2:9" ht="13.2" thickBot="1" x14ac:dyDescent="0.55000000000000004"/>
    <row r="244" spans="2:9" ht="13.2" thickBot="1" x14ac:dyDescent="0.55000000000000004">
      <c r="D244" s="146" t="s">
        <v>245</v>
      </c>
      <c r="E244" s="141" t="s">
        <v>236</v>
      </c>
      <c r="F244" s="141" t="s">
        <v>237</v>
      </c>
      <c r="G244" s="141" t="s">
        <v>238</v>
      </c>
      <c r="H244" s="141" t="s">
        <v>239</v>
      </c>
      <c r="I244" s="141" t="s">
        <v>240</v>
      </c>
    </row>
    <row r="245" spans="2:9" ht="13.8" thickBot="1" x14ac:dyDescent="0.55000000000000004">
      <c r="D245" s="142" t="str">
        <f t="shared" ref="D245:I245" si="31">D61</f>
        <v>Capitalised overheads</v>
      </c>
      <c r="E245" s="178">
        <f t="shared" si="31"/>
        <v>13.012869520178295</v>
      </c>
      <c r="F245" s="178">
        <f t="shared" si="31"/>
        <v>13.19114455870012</v>
      </c>
      <c r="G245" s="178">
        <f t="shared" si="31"/>
        <v>13.393456838449179</v>
      </c>
      <c r="H245" s="178">
        <f t="shared" si="31"/>
        <v>13.557488562506313</v>
      </c>
      <c r="I245" s="178">
        <f t="shared" si="31"/>
        <v>13.705951532618363</v>
      </c>
    </row>
    <row r="247" spans="2:9" s="139" customFormat="1" x14ac:dyDescent="0.35">
      <c r="B247" s="139" t="s">
        <v>32</v>
      </c>
    </row>
  </sheetData>
  <mergeCells count="4">
    <mergeCell ref="D8:D9"/>
    <mergeCell ref="D10:J10"/>
    <mergeCell ref="D16:J16"/>
    <mergeCell ref="M8:M9"/>
  </mergeCells>
  <conditionalFormatting sqref="B2">
    <cfRule type="cellIs" dxfId="33" priority="1" operator="notEqual">
      <formula>"No Errors Found"</formula>
    </cfRule>
  </conditionalFormatting>
  <hyperlinks>
    <hyperlink ref="B3:D3" location="Cover!A1" display="Go to Cover Sheet" xr:uid="{00000000-0004-0000-1200-000000000000}"/>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O61"/>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0" defaultRowHeight="10.199999999999999" x14ac:dyDescent="0.35"/>
  <cols>
    <col min="1" max="3" width="2.796875" style="7" customWidth="1"/>
    <col min="4" max="4" width="43.796875" style="7" customWidth="1"/>
    <col min="5" max="9" width="10.796875" style="7" customWidth="1"/>
    <col min="10" max="15" width="10.796875" style="7" hidden="1" customWidth="1"/>
    <col min="16" max="16384" width="9.1328125" style="7" hidden="1"/>
  </cols>
  <sheetData>
    <row r="1" spans="2:6" ht="18.899999999999999" x14ac:dyDescent="0.35">
      <c r="B1" s="5" t="s">
        <v>49</v>
      </c>
    </row>
    <row r="2" spans="2:6" x14ac:dyDescent="0.35">
      <c r="B2" s="18" t="str">
        <f>Title_Msg</f>
        <v>No Errors Found</v>
      </c>
    </row>
    <row r="3" spans="2:6" ht="12.3" x14ac:dyDescent="0.35">
      <c r="B3" s="55" t="s">
        <v>51</v>
      </c>
      <c r="C3" s="55"/>
      <c r="D3" s="55"/>
      <c r="E3" s="16"/>
    </row>
    <row r="4" spans="2:6" ht="12.3" x14ac:dyDescent="0.35">
      <c r="B4" s="46" t="str">
        <f>Model_Name</f>
        <v>Power and Water Corporation (PWC) - Regulatory Proposal Tables and Charts</v>
      </c>
      <c r="F4" s="49"/>
    </row>
    <row r="6" spans="2:6" s="139" customFormat="1" ht="12.9" x14ac:dyDescent="0.35">
      <c r="B6" s="139" t="str">
        <f>B1</f>
        <v>Table of Contents</v>
      </c>
    </row>
    <row r="7" spans="2:6" s="6" customFormat="1" ht="4.5" customHeight="1" x14ac:dyDescent="0.35"/>
    <row r="8" spans="2:6" s="162" customFormat="1" ht="14.4" x14ac:dyDescent="0.35">
      <c r="C8" s="162" t="s">
        <v>153</v>
      </c>
    </row>
    <row r="9" spans="2:6" s="6" customFormat="1" ht="4.5" customHeight="1" x14ac:dyDescent="0.35"/>
    <row r="10" spans="2:6" s="6" customFormat="1" ht="11.25" customHeight="1" x14ac:dyDescent="0.35">
      <c r="D10" s="49" t="s">
        <v>378</v>
      </c>
    </row>
    <row r="11" spans="2:6" s="6" customFormat="1" ht="11.25" customHeight="1" x14ac:dyDescent="0.35">
      <c r="D11" s="49" t="str">
        <f>TOC!B1</f>
        <v>Table of Contents</v>
      </c>
    </row>
    <row r="12" spans="2:6" s="6" customFormat="1" ht="11.25" customHeight="1" x14ac:dyDescent="0.35">
      <c r="D12" s="49" t="str">
        <f>Format!B1</f>
        <v>Corporate Chart Formats</v>
      </c>
    </row>
    <row r="13" spans="2:6" s="6" customFormat="1" ht="11.25" customHeight="1" x14ac:dyDescent="0.35">
      <c r="D13" s="49" t="str">
        <f>Input_Inflation!B1</f>
        <v>CPI Assumptions and Associated Indexes</v>
      </c>
    </row>
    <row r="14" spans="2:6" s="6" customFormat="1" ht="11.25" customHeight="1" x14ac:dyDescent="0.35">
      <c r="D14" s="49" t="str">
        <f>Charts_Revenue!B1</f>
        <v>Proposal Outputs - Revenue</v>
      </c>
    </row>
    <row r="15" spans="2:6" s="6" customFormat="1" ht="11.25" customHeight="1" x14ac:dyDescent="0.35">
      <c r="D15" s="49" t="str">
        <f>Charts_Capex!B1</f>
        <v>Proposal Outputs - Capex</v>
      </c>
    </row>
    <row r="16" spans="2:6" s="6" customFormat="1" ht="11.25" customHeight="1" x14ac:dyDescent="0.35">
      <c r="D16" s="49" t="str">
        <f>Charts_Opex!B1</f>
        <v>Proposal Outputs - Opex</v>
      </c>
    </row>
    <row r="17" spans="3:4" s="6" customFormat="1" ht="11.25" customHeight="1" x14ac:dyDescent="0.35">
      <c r="D17" s="49"/>
    </row>
    <row r="18" spans="3:4" s="162" customFormat="1" ht="14.4" x14ac:dyDescent="0.35">
      <c r="C18" s="162" t="str">
        <f>'Charts &amp; Tables-&gt;'!B1</f>
        <v>Charts &amp; Tables-&gt;</v>
      </c>
    </row>
    <row r="19" spans="3:4" s="6" customFormat="1" ht="11.25" customHeight="1" x14ac:dyDescent="0.35"/>
    <row r="20" spans="3:4" s="6" customFormat="1" ht="11.25" customHeight="1" x14ac:dyDescent="0.35">
      <c r="D20" s="49" t="str">
        <f>'0'!B1</f>
        <v>0. Overview</v>
      </c>
    </row>
    <row r="21" spans="3:4" s="6" customFormat="1" ht="11.25" customHeight="1" x14ac:dyDescent="0.35">
      <c r="D21" s="49" t="str">
        <f>'1'!B1</f>
        <v xml:space="preserve">1. About this regulatory proposal </v>
      </c>
    </row>
    <row r="22" spans="3:4" s="6" customFormat="1" ht="11.25" customHeight="1" x14ac:dyDescent="0.35">
      <c r="D22" s="49" t="str">
        <f>'2'!B1</f>
        <v xml:space="preserve">2. Next steps and stakeholders’ feedback </v>
      </c>
    </row>
    <row r="23" spans="3:4" s="6" customFormat="1" ht="11.25" customHeight="1" x14ac:dyDescent="0.35">
      <c r="D23" s="49" t="str">
        <f>'3'!B1</f>
        <v>3. About PWC</v>
      </c>
    </row>
    <row r="24" spans="3:4" s="6" customFormat="1" ht="11.25" customHeight="1" x14ac:dyDescent="0.35">
      <c r="D24" s="49" t="str">
        <f>'4'!B1</f>
        <v>4. Regulatory base line</v>
      </c>
    </row>
    <row r="25" spans="3:4" s="6" customFormat="1" ht="11.25" customHeight="1" x14ac:dyDescent="0.35">
      <c r="D25" s="49" t="str">
        <f>'5'!B1</f>
        <v>5. What PWC has delivered</v>
      </c>
    </row>
    <row r="26" spans="3:4" s="6" customFormat="1" ht="11.25" customHeight="1" x14ac:dyDescent="0.35">
      <c r="D26" s="49" t="str">
        <f>'6'!B1</f>
        <v>6. What stakeholders are saying</v>
      </c>
    </row>
    <row r="27" spans="3:4" s="6" customFormat="1" ht="11.25" customHeight="1" x14ac:dyDescent="0.35">
      <c r="D27" s="49" t="str">
        <f>'7'!B1</f>
        <v>7. What PWC will deliver</v>
      </c>
    </row>
    <row r="28" spans="3:4" s="6" customFormat="1" ht="11.25" customHeight="1" x14ac:dyDescent="0.35">
      <c r="D28" s="49" t="str">
        <f>'8'!B1</f>
        <v>8. Response to F&amp;A paper</v>
      </c>
    </row>
    <row r="29" spans="3:4" s="6" customFormat="1" ht="11.25" customHeight="1" x14ac:dyDescent="0.35">
      <c r="D29" s="49" t="str">
        <f>'9'!B1</f>
        <v>9. Demand forecasts</v>
      </c>
    </row>
    <row r="30" spans="3:4" s="6" customFormat="1" ht="11.25" customHeight="1" x14ac:dyDescent="0.35">
      <c r="D30" s="49" t="str">
        <f>'10'!B1</f>
        <v>10. Capex forecasts</v>
      </c>
    </row>
    <row r="31" spans="3:4" s="6" customFormat="1" ht="11.25" customHeight="1" x14ac:dyDescent="0.35">
      <c r="D31" s="49" t="str">
        <f>'11'!B1</f>
        <v>11. Opex forecasts</v>
      </c>
    </row>
    <row r="32" spans="3:4" s="6" customFormat="1" ht="11.25" customHeight="1" x14ac:dyDescent="0.35">
      <c r="D32" s="49" t="str">
        <f>'12'!B1</f>
        <v xml:space="preserve">12. Regulatory Asset Base and Depreciation </v>
      </c>
    </row>
    <row r="33" spans="4:4" s="6" customFormat="1" ht="11.25" customHeight="1" x14ac:dyDescent="0.35">
      <c r="D33" s="49" t="str">
        <f>'13'!B1</f>
        <v xml:space="preserve">13. Rate of return, inflation and debt and equity raising costs </v>
      </c>
    </row>
    <row r="34" spans="4:4" s="6" customFormat="1" ht="11.25" customHeight="1" x14ac:dyDescent="0.35">
      <c r="D34" s="49" t="str">
        <f>'14'!B1</f>
        <v xml:space="preserve">14. Estimated cost of corporate income tax </v>
      </c>
    </row>
    <row r="35" spans="4:4" s="6" customFormat="1" ht="11.25" customHeight="1" x14ac:dyDescent="0.35">
      <c r="D35" s="49" t="str">
        <f>'15'!B1</f>
        <v xml:space="preserve">15. Incentive schemes </v>
      </c>
    </row>
    <row r="36" spans="4:4" s="6" customFormat="1" ht="11.25" customHeight="1" x14ac:dyDescent="0.35">
      <c r="D36" s="49" t="str">
        <f>'16'!B1</f>
        <v xml:space="preserve">16. Pass through events </v>
      </c>
    </row>
    <row r="37" spans="4:4" s="6" customFormat="1" ht="11.25" customHeight="1" x14ac:dyDescent="0.35">
      <c r="D37" s="49" t="str">
        <f>'17'!B1</f>
        <v xml:space="preserve">17. Annual revenue requirements, X-factors </v>
      </c>
    </row>
    <row r="38" spans="4:4" s="6" customFormat="1" ht="11.25" customHeight="1" x14ac:dyDescent="0.35">
      <c r="D38" s="49" t="str">
        <f>'18'!B1</f>
        <v>18. Metering services</v>
      </c>
    </row>
    <row r="39" spans="4:4" s="6" customFormat="1" ht="11.25" customHeight="1" x14ac:dyDescent="0.35">
      <c r="D39" s="49" t="str">
        <f>'19'!B1</f>
        <v>19. Fee-based and Quoted ACS</v>
      </c>
    </row>
    <row r="40" spans="4:4" s="6" customFormat="1" ht="11.25" customHeight="1" x14ac:dyDescent="0.35">
      <c r="D40" s="49" t="str">
        <f>'20'!B1</f>
        <v>20. Public lighting</v>
      </c>
    </row>
    <row r="41" spans="4:4" s="6" customFormat="1" ht="11.25" customHeight="1" x14ac:dyDescent="0.35">
      <c r="D41" s="49" t="str">
        <f>'21'!B1</f>
        <v xml:space="preserve">21. Indicative prices and bill impacts </v>
      </c>
    </row>
    <row r="42" spans="4:4" s="6" customFormat="1" ht="11.25" customHeight="1" x14ac:dyDescent="0.35">
      <c r="D42" s="49" t="str">
        <f>'22'!B1</f>
        <v xml:space="preserve">22. Negotiating Framework </v>
      </c>
    </row>
    <row r="43" spans="4:4" s="6" customFormat="1" ht="11.25" customHeight="1" x14ac:dyDescent="0.35">
      <c r="D43" s="49" t="str">
        <f>'23'!B1</f>
        <v xml:space="preserve">23. Confidentiality </v>
      </c>
    </row>
    <row r="44" spans="4:4" s="6" customFormat="1" ht="11.25" customHeight="1" x14ac:dyDescent="0.35">
      <c r="D44" s="49" t="str">
        <f>'24'!B1</f>
        <v xml:space="preserve">24. Certifications </v>
      </c>
    </row>
    <row r="45" spans="4:4" s="6" customFormat="1" ht="11.25" customHeight="1" x14ac:dyDescent="0.35">
      <c r="D45" s="49" t="str">
        <f>'25'!B1</f>
        <v>25. Abbreviations</v>
      </c>
    </row>
    <row r="46" spans="4:4" s="6" customFormat="1" ht="11.25" customHeight="1" x14ac:dyDescent="0.35">
      <c r="D46" s="49" t="str">
        <f>ROD_A!B1</f>
        <v>Return on Debt Transition Attachment</v>
      </c>
    </row>
    <row r="47" spans="4:4" s="6" customFormat="1" ht="11.25" customHeight="1" x14ac:dyDescent="0.35">
      <c r="D47" s="49" t="str">
        <f>RAB_A!B1</f>
        <v>Establishing the Opening RAB Attachment</v>
      </c>
    </row>
    <row r="48" spans="4:4" s="6" customFormat="1" ht="11.25" customHeight="1" x14ac:dyDescent="0.35">
      <c r="D48" s="49" t="str">
        <f>TAB_A!B1</f>
        <v>Establishing the Opening TAB Attachment</v>
      </c>
    </row>
    <row r="49" spans="2:5" s="6" customFormat="1" ht="11.25" customHeight="1" x14ac:dyDescent="0.4">
      <c r="D49" s="643" t="str">
        <f>CAPEX_O!B1</f>
        <v>Capex overview</v>
      </c>
      <c r="E49" s="642" t="s">
        <v>1736</v>
      </c>
    </row>
    <row r="50" spans="2:5" s="6" customFormat="1" ht="11.25" customHeight="1" x14ac:dyDescent="0.35">
      <c r="D50" s="49" t="str">
        <f>CONNECT_O!B1</f>
        <v>Connection justification document</v>
      </c>
    </row>
    <row r="51" spans="2:5" s="6" customFormat="1" ht="11.25" customHeight="1" x14ac:dyDescent="0.35">
      <c r="D51" s="49" t="str">
        <f>CUSTOMER_O!B1</f>
        <v>Customer Overview</v>
      </c>
    </row>
    <row r="52" spans="2:5" s="6" customFormat="1" ht="11.25" customHeight="1" x14ac:dyDescent="0.4">
      <c r="D52" s="643" t="str">
        <f>ACS_O!B1</f>
        <v>Alternative Control Services Metering Overview</v>
      </c>
      <c r="E52" s="642" t="s">
        <v>1736</v>
      </c>
    </row>
    <row r="53" spans="2:5" s="6" customFormat="1" ht="11.25" customHeight="1" x14ac:dyDescent="0.35">
      <c r="D53" s="49" t="str">
        <f>TSS!B1</f>
        <v>Tariff Structure Statement</v>
      </c>
    </row>
    <row r="54" spans="2:5" s="6" customFormat="1" ht="11.25" customHeight="1" x14ac:dyDescent="0.35">
      <c r="D54" s="49" t="str">
        <f>TSS_O!B1</f>
        <v>Tariff Structure Statement Overview</v>
      </c>
    </row>
    <row r="55" spans="2:5" s="6" customFormat="1" ht="11.25" customHeight="1" x14ac:dyDescent="0.35"/>
    <row r="56" spans="2:5" s="162" customFormat="1" ht="14.4" x14ac:dyDescent="0.35">
      <c r="C56" s="162" t="s">
        <v>50</v>
      </c>
    </row>
    <row r="57" spans="2:5" s="6" customFormat="1" ht="4.5" customHeight="1" x14ac:dyDescent="0.35"/>
    <row r="58" spans="2:5" x14ac:dyDescent="0.35">
      <c r="D58" s="49" t="str">
        <f>Lookup!B1</f>
        <v>Model Lookups</v>
      </c>
    </row>
    <row r="59" spans="2:5" x14ac:dyDescent="0.35">
      <c r="D59" s="49" t="str">
        <f>Checks!B1</f>
        <v>Checks</v>
      </c>
    </row>
    <row r="60" spans="2:5" s="6" customFormat="1" ht="4.5" customHeight="1" x14ac:dyDescent="0.35"/>
    <row r="61" spans="2:5" s="139" customFormat="1" ht="12.9" x14ac:dyDescent="0.35">
      <c r="B61" s="139" t="s">
        <v>32</v>
      </c>
    </row>
  </sheetData>
  <conditionalFormatting sqref="B2">
    <cfRule type="cellIs" dxfId="49" priority="1" operator="notEqual">
      <formula>"No Errors Found"</formula>
    </cfRule>
  </conditionalFormatting>
  <hyperlinks>
    <hyperlink ref="B3:D3" location="Cover!A1" display="Go to Cover Sheet" xr:uid="{00000000-0004-0000-0100-000000000000}"/>
    <hyperlink ref="C8" location="SC_General!A1" display="SC_General!A1" xr:uid="{00000000-0004-0000-0100-000001000000}"/>
    <hyperlink ref="D10" location="'Cover'!$A$1" tooltip="Go To Cover" display="Cover" xr:uid="{00000000-0004-0000-0100-000002000000}"/>
    <hyperlink ref="D11" location="'TOC'!$A$1" tooltip="Go To Table of Contents" display="='TOC'!B1" xr:uid="{00000000-0004-0000-0100-000003000000}"/>
    <hyperlink ref="D12" location="'Format'!$A$1" tooltip="Go To Corporate Chart Formats" display="='Format'!B1" xr:uid="{00000000-0004-0000-0100-000004000000}"/>
    <hyperlink ref="D13" location="'Input_Inflation'!$A$1" tooltip="Go To CPI Assumptions and Associated Indexes" display="='Input_Inflation'!B1" xr:uid="{00000000-0004-0000-0100-000005000000}"/>
    <hyperlink ref="D14" location="'Charts_Revenue'!$A$1" tooltip="Go To Proposal Outputs - Capex" display="='Charts_Revenue'!B1" xr:uid="{00000000-0004-0000-0100-000006000000}"/>
    <hyperlink ref="D15" location="'Charts_Capex'!$A$1" tooltip="Go To Proposal Outputs - Capex" display="='Charts_Capex'!B1" xr:uid="{00000000-0004-0000-0100-000007000000}"/>
    <hyperlink ref="D16" location="'Charts_Opex'!$A$1" tooltip="Go To Proposal Outputs - Capex" display="='Charts_Opex'!B1" xr:uid="{00000000-0004-0000-0100-000008000000}"/>
    <hyperlink ref="C18" location="'Charts &amp; Tables-&gt;'!$A$1" tooltip="Go To Charts &amp; Tables-&gt;" display="='Charts &amp; Tables-&gt;'!B1" xr:uid="{00000000-0004-0000-0100-000009000000}"/>
    <hyperlink ref="D20" location="'0'!$A$1" tooltip="Go To 0. Overview" display="='0'!B1" xr:uid="{00000000-0004-0000-0100-00000A000000}"/>
    <hyperlink ref="D25" location="'5'!$A$1" tooltip="Go To 5. What PWC has delivered" display="='5'!B1" xr:uid="{00000000-0004-0000-0100-00000B000000}"/>
    <hyperlink ref="D29" location="'9'!$A$1" tooltip="Go To 9. Demand forecasts" display="='9'!B1" xr:uid="{00000000-0004-0000-0100-00000C000000}"/>
    <hyperlink ref="D30" location="'10'!$A$1" tooltip="Go To 10. Capex forecasts" display="='10'!B1" xr:uid="{00000000-0004-0000-0100-00000D000000}"/>
    <hyperlink ref="D31" location="'11'!$A$1" tooltip="Go To 11. Opex forecasts" display="='11'!B1" xr:uid="{00000000-0004-0000-0100-00000E000000}"/>
    <hyperlink ref="D32" location="'12'!$A$1" tooltip="Go To 12. Regulatory Asset Base and Depreciation " display="='12'!B1" xr:uid="{00000000-0004-0000-0100-00000F000000}"/>
    <hyperlink ref="D33" location="'13'!$A$1" tooltip="Go To 13. Rate of return, inflation and debt and equity raising costs " display="='13'!B1" xr:uid="{00000000-0004-0000-0100-000010000000}"/>
    <hyperlink ref="D34" location="'14'!$A$1" tooltip="Go To 14. Estimated cost of corporate income tax " display="='14'!B1" xr:uid="{00000000-0004-0000-0100-000011000000}"/>
    <hyperlink ref="D37" location="'17'!$A$1" tooltip="Go To 17. Annual revenue requirements, X-factors " display="='17'!B1" xr:uid="{00000000-0004-0000-0100-000012000000}"/>
    <hyperlink ref="D38" location="'18'!$A$1" tooltip="Go To 18. Metering services" display="='18'!B1" xr:uid="{00000000-0004-0000-0100-000013000000}"/>
    <hyperlink ref="D58" location="'Lookup'!$A$1" tooltip="Go To Model Lookups" display="='Lookup'!B1" xr:uid="{00000000-0004-0000-0100-000014000000}"/>
    <hyperlink ref="D59" location="'Checks'!$A$1" tooltip="Go To Checks" display="='Checks'!B1" xr:uid="{00000000-0004-0000-0100-000015000000}"/>
    <hyperlink ref="D21" location="'1'!A1" display="'1'!A1" xr:uid="{00000000-0004-0000-0100-000016000000}"/>
    <hyperlink ref="F4" location="'1'!A1" display="'1'!A1" xr:uid="{00000000-0004-0000-0100-000017000000}"/>
    <hyperlink ref="D22" location="'2'!A1" display="'2'!A1" xr:uid="{00000000-0004-0000-0100-000018000000}"/>
    <hyperlink ref="D23" location="'3'!A1" display="'3'!A1" xr:uid="{00000000-0004-0000-0100-000019000000}"/>
    <hyperlink ref="D24" location="'4'!A1" display="'4'!A1" xr:uid="{00000000-0004-0000-0100-00001A000000}"/>
    <hyperlink ref="D26" location="'6'!A1" display="'6'!A1" xr:uid="{00000000-0004-0000-0100-00001B000000}"/>
    <hyperlink ref="D27" location="'7'!A1" display="'7'!A1" xr:uid="{00000000-0004-0000-0100-00001C000000}"/>
    <hyperlink ref="D28" location="'8'!A1" display="'8'!A1" xr:uid="{00000000-0004-0000-0100-00001D000000}"/>
    <hyperlink ref="D35" location="'15'!A1" display="'15'!A1" xr:uid="{00000000-0004-0000-0100-00001E000000}"/>
    <hyperlink ref="D36" location="'16'!A1" display="'16'!A1" xr:uid="{00000000-0004-0000-0100-00001F000000}"/>
    <hyperlink ref="D40" location="'20'!A1" display="'20'!A1" xr:uid="{00000000-0004-0000-0100-000020000000}"/>
    <hyperlink ref="D42" location="'22'!A1" display="'22'!A1" xr:uid="{00000000-0004-0000-0100-000021000000}"/>
    <hyperlink ref="D43" location="'23'!A1" display="'23'!A1" xr:uid="{00000000-0004-0000-0100-000022000000}"/>
    <hyperlink ref="D44" location="'24'!A1" display="'24'!A1" xr:uid="{00000000-0004-0000-0100-000023000000}"/>
    <hyperlink ref="D45" location="'25'!A1" display="'25'!A1" xr:uid="{00000000-0004-0000-0100-000024000000}"/>
    <hyperlink ref="D46" location="ROD_A!A1" display="ROD_A!A1" xr:uid="{00000000-0004-0000-0100-000025000000}"/>
    <hyperlink ref="D47" location="RAB_A!A1" display="RAB_A!A1" xr:uid="{00000000-0004-0000-0100-000026000000}"/>
    <hyperlink ref="D48" location="TAB_A!A1" display="TAB_A!A1" xr:uid="{00000000-0004-0000-0100-000027000000}"/>
    <hyperlink ref="D49" location="CAPEX_O!A1" display="CAPEX_O!A1" xr:uid="{00000000-0004-0000-0100-000028000000}"/>
    <hyperlink ref="D51" location="CUSTOMER_O!A1" display="CUSTOMER_O!A1" xr:uid="{00000000-0004-0000-0100-000029000000}"/>
    <hyperlink ref="D52" location="ACS_O!A1" display="ACS_O!A1" xr:uid="{00000000-0004-0000-0100-00002A000000}"/>
    <hyperlink ref="D53" location="TSS!A1" display="TSS!A1" xr:uid="{00000000-0004-0000-0100-00002B000000}"/>
    <hyperlink ref="D54" location="TSS_O!A1" display="TSS_O!A1" xr:uid="{00000000-0004-0000-0100-00002C000000}"/>
    <hyperlink ref="D50" location="CONNECT_O!A1" display="CONNECT_O!A1" xr:uid="{00000000-0004-0000-0100-00002D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M160"/>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9" ht="20.399999999999999" x14ac:dyDescent="0.5">
      <c r="A1" s="65">
        <f>IF(SUM($A6:$A160)&gt;0,1,0)</f>
        <v>0</v>
      </c>
      <c r="B1" s="136" t="s">
        <v>296</v>
      </c>
    </row>
    <row r="2" spans="1:9" s="104" customFormat="1" ht="10.199999999999999" x14ac:dyDescent="0.35">
      <c r="B2" s="105" t="str">
        <f>Title_Msg</f>
        <v>No Errors Found</v>
      </c>
    </row>
    <row r="3" spans="1:9" s="104" customFormat="1" ht="12.3" x14ac:dyDescent="0.35">
      <c r="B3" s="106" t="s">
        <v>51</v>
      </c>
      <c r="C3" s="106"/>
      <c r="D3" s="106"/>
      <c r="E3" s="107"/>
    </row>
    <row r="4" spans="1:9" s="104" customFormat="1" ht="12.3" x14ac:dyDescent="0.35">
      <c r="B4" s="108" t="str">
        <f>Model_Name</f>
        <v>Power and Water Corporation (PWC) - Regulatory Proposal Tables and Charts</v>
      </c>
    </row>
    <row r="6" spans="1:9" s="139" customFormat="1" x14ac:dyDescent="0.35">
      <c r="B6" s="139" t="s">
        <v>297</v>
      </c>
    </row>
    <row r="7" spans="1:9" ht="13.2" thickBot="1" x14ac:dyDescent="0.55000000000000004"/>
    <row r="8" spans="1:9" ht="13.2" thickBot="1" x14ac:dyDescent="0.55000000000000004">
      <c r="D8" s="146" t="s">
        <v>245</v>
      </c>
      <c r="E8" s="141" t="s">
        <v>236</v>
      </c>
      <c r="F8" s="141" t="s">
        <v>237</v>
      </c>
      <c r="G8" s="141" t="s">
        <v>238</v>
      </c>
      <c r="H8" s="141" t="s">
        <v>239</v>
      </c>
      <c r="I8" s="141" t="s">
        <v>240</v>
      </c>
    </row>
    <row r="9" spans="1:9" ht="13.8" thickBot="1" x14ac:dyDescent="0.55000000000000004">
      <c r="D9" s="151" t="s">
        <v>1370</v>
      </c>
      <c r="E9" s="178">
        <f>'[2]PTRM input'!G187</f>
        <v>66.045886352030877</v>
      </c>
      <c r="F9" s="178">
        <f>'[2]PTRM input'!H187</f>
        <v>66.948958828524951</v>
      </c>
      <c r="G9" s="178">
        <f>'[2]PTRM input'!I187</f>
        <v>67.954893904293939</v>
      </c>
      <c r="H9" s="178">
        <f>'[2]PTRM input'!J187</f>
        <v>68.783794117626343</v>
      </c>
      <c r="I9" s="178">
        <f>'[2]PTRM input'!K187</f>
        <v>69.517568954487444</v>
      </c>
    </row>
    <row r="11" spans="1:9" x14ac:dyDescent="0.5">
      <c r="A11" s="70">
        <f>IF(SUM(E11:I11)&lt;&gt;0,1,0)</f>
        <v>0</v>
      </c>
      <c r="D11" s="12" t="s">
        <v>116</v>
      </c>
      <c r="E11" s="268">
        <f>IF(ROUND(E9-E145,2)&lt;&gt;0,1,0)</f>
        <v>0</v>
      </c>
      <c r="F11" s="268">
        <f>IF(ROUND(F9-F145,2)&lt;&gt;0,1,0)</f>
        <v>0</v>
      </c>
      <c r="G11" s="268">
        <f>IF(ROUND(G9-G145,2)&lt;&gt;0,1,0)</f>
        <v>0</v>
      </c>
      <c r="H11" s="268">
        <f>IF(ROUND(H9-H145,2)&lt;&gt;0,1,0)</f>
        <v>0</v>
      </c>
      <c r="I11" s="268">
        <f>IF(ROUND(I9-I145,2)&lt;&gt;0,1,0)</f>
        <v>0</v>
      </c>
    </row>
    <row r="13" spans="1:9" s="139" customFormat="1" x14ac:dyDescent="0.35">
      <c r="B13" s="139" t="s">
        <v>1368</v>
      </c>
    </row>
    <row r="37" spans="1:13" s="139" customFormat="1" x14ac:dyDescent="0.35">
      <c r="B37" s="139" t="s">
        <v>299</v>
      </c>
    </row>
    <row r="38" spans="1:13" ht="13.2" thickBot="1" x14ac:dyDescent="0.55000000000000004"/>
    <row r="39" spans="1:13" ht="13.2" thickBot="1" x14ac:dyDescent="0.55000000000000004">
      <c r="D39" s="146" t="s">
        <v>245</v>
      </c>
      <c r="E39" s="152" t="s">
        <v>246</v>
      </c>
      <c r="F39" s="153" t="s">
        <v>247</v>
      </c>
      <c r="G39" s="153" t="s">
        <v>248</v>
      </c>
      <c r="H39" s="153" t="s">
        <v>249</v>
      </c>
      <c r="I39" s="153" t="s">
        <v>250</v>
      </c>
      <c r="J39" s="141" t="s">
        <v>112</v>
      </c>
      <c r="L39" s="529" t="s">
        <v>325</v>
      </c>
    </row>
    <row r="40" spans="1:13" ht="27.3" thickBot="1" x14ac:dyDescent="0.55000000000000004">
      <c r="D40" s="149" t="s">
        <v>1296</v>
      </c>
      <c r="E40" s="191">
        <v>106.36816295172999</v>
      </c>
      <c r="F40" s="191">
        <v>99.633688112682904</v>
      </c>
      <c r="G40" s="191">
        <v>95.774150830581888</v>
      </c>
      <c r="H40" s="191">
        <v>88.039711681541064</v>
      </c>
      <c r="I40" s="191">
        <v>80.221571664257937</v>
      </c>
      <c r="J40" s="178">
        <f>SUM(E40:I40)</f>
        <v>470.03728524079384</v>
      </c>
      <c r="L40" s="535">
        <f>'5'!R9</f>
        <v>0.03</v>
      </c>
      <c r="M40" s="536" t="s">
        <v>1011</v>
      </c>
    </row>
    <row r="41" spans="1:13" ht="13.8" thickBot="1" x14ac:dyDescent="0.55000000000000004">
      <c r="D41" s="149" t="s">
        <v>283</v>
      </c>
      <c r="E41" s="191">
        <f>-E40*$L$40</f>
        <v>-3.1910448885518994</v>
      </c>
      <c r="F41" s="191">
        <f>-F40*$L$40</f>
        <v>-2.9890106433804871</v>
      </c>
      <c r="G41" s="191">
        <f>-G40*$L$40</f>
        <v>-2.8732245249174566</v>
      </c>
      <c r="H41" s="191">
        <f>-H40*$L$40</f>
        <v>-2.6411913504462317</v>
      </c>
      <c r="I41" s="191">
        <f>-I40*$L$40</f>
        <v>-2.4066471499277382</v>
      </c>
      <c r="J41" s="178">
        <f>SUM(E41:I41)</f>
        <v>-14.101118557223813</v>
      </c>
    </row>
    <row r="42" spans="1:13" ht="27.3" thickBot="1" x14ac:dyDescent="0.55000000000000004">
      <c r="D42" s="149" t="s">
        <v>1297</v>
      </c>
      <c r="E42" s="178">
        <f>SUM(E40:E41)</f>
        <v>103.17711806317809</v>
      </c>
      <c r="F42" s="178">
        <f t="shared" ref="F42:I42" si="0">SUM(F40:F41)</f>
        <v>96.644677469302422</v>
      </c>
      <c r="G42" s="178">
        <f t="shared" si="0"/>
        <v>92.900926305664427</v>
      </c>
      <c r="H42" s="178">
        <f t="shared" si="0"/>
        <v>85.398520331094829</v>
      </c>
      <c r="I42" s="178">
        <f t="shared" si="0"/>
        <v>77.814924514330201</v>
      </c>
      <c r="J42" s="178">
        <f>SUM(E42:I42)</f>
        <v>455.93616668356992</v>
      </c>
    </row>
    <row r="43" spans="1:13" ht="27.3" thickBot="1" x14ac:dyDescent="0.55000000000000004">
      <c r="D43" s="149" t="s">
        <v>1298</v>
      </c>
      <c r="E43" s="191">
        <f>Charts_Opex!V39</f>
        <v>80.833403341474423</v>
      </c>
      <c r="F43" s="191">
        <f>Charts_Opex!W39</f>
        <v>85.9020533380328</v>
      </c>
      <c r="G43" s="191">
        <f>Charts_Opex!X39</f>
        <v>70.912937930713994</v>
      </c>
      <c r="H43" s="191">
        <f>Charts_Opex!Y39</f>
        <v>75.793555074662947</v>
      </c>
      <c r="I43" s="191">
        <f>Charts_Opex!Z39</f>
        <v>75.793555074662947</v>
      </c>
      <c r="J43" s="178">
        <f>SUM(E43:I43)</f>
        <v>389.2355047595471</v>
      </c>
    </row>
    <row r="44" spans="1:13" ht="13.8" thickBot="1" x14ac:dyDescent="0.55000000000000004">
      <c r="D44" s="149" t="s">
        <v>285</v>
      </c>
      <c r="E44" s="178">
        <f>E43-E42</f>
        <v>-22.343714721703662</v>
      </c>
      <c r="F44" s="178">
        <f>F43-F42</f>
        <v>-10.742624131269622</v>
      </c>
      <c r="G44" s="178">
        <f>G43-G42</f>
        <v>-21.987988374950433</v>
      </c>
      <c r="H44" s="178">
        <f>H43-H42</f>
        <v>-9.6049652564318819</v>
      </c>
      <c r="I44" s="178">
        <f>I43-I42</f>
        <v>-2.0213694396672537</v>
      </c>
      <c r="J44" s="178">
        <f>SUM(E44:I44)</f>
        <v>-66.700661924022853</v>
      </c>
    </row>
    <row r="46" spans="1:13" x14ac:dyDescent="0.5">
      <c r="A46" s="70">
        <f>IF(SUM(E46:I46)&lt;&gt;0,1,0)</f>
        <v>0</v>
      </c>
      <c r="D46" s="12" t="s">
        <v>956</v>
      </c>
      <c r="E46" s="268">
        <f>IF(ROUND(Charts_Opex!V36-SUM(E40:E41),2)&lt;&gt;0,1,0)</f>
        <v>0</v>
      </c>
      <c r="F46" s="268">
        <f>IF(ROUND(Charts_Opex!W36-SUM(F40:F41),2)&lt;&gt;0,1,0)</f>
        <v>0</v>
      </c>
      <c r="G46" s="268">
        <f>IF(ROUND(Charts_Opex!X36-SUM(G40:G41),2)&lt;&gt;0,1,0)</f>
        <v>0</v>
      </c>
      <c r="H46" s="268">
        <f>IF(ROUND(Charts_Opex!Y36-SUM(H40:H41),2)&lt;&gt;0,1,0)</f>
        <v>0</v>
      </c>
      <c r="I46" s="268">
        <f>IF(ROUND(Charts_Opex!Z36-SUM(I40:I41),2)&lt;&gt;0,1,0)</f>
        <v>0</v>
      </c>
    </row>
    <row r="47" spans="1:13" x14ac:dyDescent="0.5">
      <c r="A47" s="70">
        <f>IF(SUM(E47:I47)&lt;&gt;0,1,0)</f>
        <v>0</v>
      </c>
      <c r="D47" s="12" t="s">
        <v>957</v>
      </c>
      <c r="E47" s="268">
        <f>IF(ROUND(Charts_Opex!V39-E43,2)&lt;&gt;0,1,0)</f>
        <v>0</v>
      </c>
      <c r="F47" s="268">
        <f>IF(ROUND(Charts_Opex!W39-F43,2)&lt;&gt;0,1,0)</f>
        <v>0</v>
      </c>
      <c r="G47" s="268">
        <f>IF(ROUND(Charts_Opex!X39-G43,2)&lt;&gt;0,1,0)</f>
        <v>0</v>
      </c>
      <c r="H47" s="268">
        <f>IF(ROUND(Charts_Opex!Y39-H43,2)&lt;&gt;0,1,0)</f>
        <v>0</v>
      </c>
      <c r="I47" s="268">
        <f>IF(ROUND(Charts_Opex!Z39-I43,2)&lt;&gt;0,1,0)</f>
        <v>0</v>
      </c>
    </row>
    <row r="49" spans="2:5" s="139" customFormat="1" x14ac:dyDescent="0.35">
      <c r="B49" s="139" t="s">
        <v>616</v>
      </c>
    </row>
    <row r="50" spans="2:5" ht="13.2" thickBot="1" x14ac:dyDescent="0.55000000000000004"/>
    <row r="51" spans="2:5" ht="26.1" thickBot="1" x14ac:dyDescent="0.55000000000000004">
      <c r="D51" s="209" t="s">
        <v>392</v>
      </c>
      <c r="E51" s="206" t="s">
        <v>393</v>
      </c>
    </row>
    <row r="52" spans="2:5" ht="27.3" thickBot="1" x14ac:dyDescent="0.55000000000000004">
      <c r="D52" s="203" t="s">
        <v>404</v>
      </c>
      <c r="E52" s="216" t="s">
        <v>617</v>
      </c>
    </row>
    <row r="53" spans="2:5" ht="27.3" thickBot="1" x14ac:dyDescent="0.55000000000000004">
      <c r="D53" s="203" t="s">
        <v>405</v>
      </c>
      <c r="E53" s="216" t="s">
        <v>618</v>
      </c>
    </row>
    <row r="54" spans="2:5" ht="13.8" thickBot="1" x14ac:dyDescent="0.55000000000000004">
      <c r="D54" s="203" t="s">
        <v>625</v>
      </c>
      <c r="E54" s="216" t="s">
        <v>1325</v>
      </c>
    </row>
    <row r="55" spans="2:5" ht="13.8" thickBot="1" x14ac:dyDescent="0.55000000000000004">
      <c r="D55" s="203" t="s">
        <v>407</v>
      </c>
      <c r="E55" s="216" t="s">
        <v>619</v>
      </c>
    </row>
    <row r="56" spans="2:5" ht="27.3" thickBot="1" x14ac:dyDescent="0.55000000000000004">
      <c r="D56" s="203" t="s">
        <v>408</v>
      </c>
      <c r="E56" s="216" t="s">
        <v>620</v>
      </c>
    </row>
    <row r="57" spans="2:5" ht="27.3" thickBot="1" x14ac:dyDescent="0.55000000000000004">
      <c r="D57" s="203" t="s">
        <v>626</v>
      </c>
      <c r="E57" s="216" t="s">
        <v>621</v>
      </c>
    </row>
    <row r="58" spans="2:5" ht="13.8" thickBot="1" x14ac:dyDescent="0.55000000000000004">
      <c r="D58" s="203" t="s">
        <v>627</v>
      </c>
      <c r="E58" s="216" t="s">
        <v>622</v>
      </c>
    </row>
    <row r="59" spans="2:5" ht="13.8" thickBot="1" x14ac:dyDescent="0.55000000000000004">
      <c r="D59" s="203" t="s">
        <v>628</v>
      </c>
      <c r="E59" s="216" t="s">
        <v>623</v>
      </c>
    </row>
    <row r="60" spans="2:5" ht="13.8" thickBot="1" x14ac:dyDescent="0.55000000000000004">
      <c r="D60" s="203" t="s">
        <v>629</v>
      </c>
      <c r="E60" s="216" t="s">
        <v>624</v>
      </c>
    </row>
    <row r="62" spans="2:5" s="139" customFormat="1" x14ac:dyDescent="0.35">
      <c r="B62" s="139" t="s">
        <v>1369</v>
      </c>
    </row>
    <row r="86" spans="1:10" s="139" customFormat="1" x14ac:dyDescent="0.35">
      <c r="B86" s="139" t="s">
        <v>1771</v>
      </c>
    </row>
    <row r="87" spans="1:10" ht="13.2" thickBot="1" x14ac:dyDescent="0.55000000000000004"/>
    <row r="88" spans="1:10" ht="13.8" thickBot="1" x14ac:dyDescent="0.55000000000000004">
      <c r="D88" s="146" t="s">
        <v>245</v>
      </c>
      <c r="E88" s="155" t="s">
        <v>236</v>
      </c>
      <c r="F88" s="155" t="s">
        <v>237</v>
      </c>
      <c r="G88" s="155" t="s">
        <v>238</v>
      </c>
      <c r="H88" s="155" t="s">
        <v>239</v>
      </c>
      <c r="I88" s="155" t="s">
        <v>240</v>
      </c>
      <c r="J88" s="155" t="s">
        <v>112</v>
      </c>
    </row>
    <row r="89" spans="1:10" ht="13.8" thickBot="1" x14ac:dyDescent="0.55000000000000004">
      <c r="D89" s="149" t="s">
        <v>307</v>
      </c>
      <c r="E89" s="179">
        <f>E138</f>
        <v>75.793555074662947</v>
      </c>
      <c r="F89" s="179">
        <f>F138</f>
        <v>75.793555074662947</v>
      </c>
      <c r="G89" s="179">
        <f>G138</f>
        <v>75.793555074662947</v>
      </c>
      <c r="H89" s="179">
        <f>H138</f>
        <v>75.793555074662947</v>
      </c>
      <c r="I89" s="179">
        <f>I138</f>
        <v>75.793555074662947</v>
      </c>
      <c r="J89" s="179">
        <f>J138</f>
        <v>378.96777537331474</v>
      </c>
    </row>
    <row r="90" spans="1:10" ht="13.8" thickBot="1" x14ac:dyDescent="0.55000000000000004">
      <c r="D90" s="149" t="s">
        <v>630</v>
      </c>
      <c r="E90" s="179">
        <f>'[5]Calc|Opex forecast'!$N$32</f>
        <v>-7.0325134530549862</v>
      </c>
      <c r="F90" s="179">
        <f>'[5]Calc|Opex forecast'!$N$32</f>
        <v>-7.0325134530549862</v>
      </c>
      <c r="G90" s="179">
        <f>'[5]Calc|Opex forecast'!$N$32</f>
        <v>-7.0325134530549862</v>
      </c>
      <c r="H90" s="179">
        <f>'[5]Calc|Opex forecast'!$N$32</f>
        <v>-7.0325134530549862</v>
      </c>
      <c r="I90" s="179">
        <f>'[5]Calc|Opex forecast'!$N$32</f>
        <v>-7.0325134530549862</v>
      </c>
      <c r="J90" s="179">
        <f>SUM(E90:I90)</f>
        <v>-35.16256726527493</v>
      </c>
    </row>
    <row r="91" spans="1:10" ht="13.8" thickBot="1" x14ac:dyDescent="0.55000000000000004">
      <c r="D91" s="149" t="s">
        <v>1783</v>
      </c>
      <c r="E91" s="179">
        <f>+'[5]Calc|Opex forecast'!$N$21</f>
        <v>-5.4684205441130862</v>
      </c>
      <c r="F91" s="179">
        <f>+'[5]Calc|Opex forecast'!$N$21</f>
        <v>-5.4684205441130862</v>
      </c>
      <c r="G91" s="179">
        <f>+'[5]Calc|Opex forecast'!$N$21</f>
        <v>-5.4684205441130862</v>
      </c>
      <c r="H91" s="179">
        <f>+'[5]Calc|Opex forecast'!$N$21</f>
        <v>-5.4684205441130862</v>
      </c>
      <c r="I91" s="179">
        <f>+'[5]Calc|Opex forecast'!$N$21</f>
        <v>-5.4684205441130862</v>
      </c>
      <c r="J91" s="179">
        <f t="shared" ref="J91" si="1">SUM(E91:I91)</f>
        <v>-27.342102720565432</v>
      </c>
    </row>
    <row r="92" spans="1:10" ht="13.8" thickBot="1" x14ac:dyDescent="0.55000000000000004">
      <c r="D92" s="149" t="s">
        <v>308</v>
      </c>
      <c r="E92" s="179">
        <f t="shared" ref="E92:J92" si="2">SUM(E89:E91)</f>
        <v>63.292621077494871</v>
      </c>
      <c r="F92" s="179">
        <f t="shared" si="2"/>
        <v>63.292621077494871</v>
      </c>
      <c r="G92" s="179">
        <f t="shared" si="2"/>
        <v>63.292621077494871</v>
      </c>
      <c r="H92" s="179">
        <f t="shared" si="2"/>
        <v>63.292621077494871</v>
      </c>
      <c r="I92" s="179">
        <f t="shared" si="2"/>
        <v>63.292621077494871</v>
      </c>
      <c r="J92" s="179">
        <f t="shared" si="2"/>
        <v>316.46310538747434</v>
      </c>
    </row>
    <row r="94" spans="1:10" x14ac:dyDescent="0.5">
      <c r="A94" s="70">
        <f>IF(SUM(E94:I94)&lt;&gt;0,1,0)</f>
        <v>0</v>
      </c>
      <c r="D94" s="12" t="s">
        <v>116</v>
      </c>
      <c r="E94" s="268">
        <f>IF(ROUND(E92-SUM(E138:E139),2)&lt;&gt;0,1,0)</f>
        <v>0</v>
      </c>
      <c r="F94" s="268">
        <f>IF(ROUND(F92-SUM(F138:F139),2)&lt;&gt;0,1,0)</f>
        <v>0</v>
      </c>
      <c r="G94" s="268">
        <f>IF(ROUND(G92-SUM(G138:G139),2)&lt;&gt;0,1,0)</f>
        <v>0</v>
      </c>
      <c r="H94" s="268">
        <f>IF(ROUND(H92-SUM(H138:H139),2)&lt;&gt;0,1,0)</f>
        <v>0</v>
      </c>
      <c r="I94" s="268">
        <f>IF(ROUND(I92-SUM(I138:I139),2)&lt;&gt;0,1,0)</f>
        <v>0</v>
      </c>
    </row>
    <row r="95" spans="1:10" x14ac:dyDescent="0.5">
      <c r="E95" s="273"/>
    </row>
    <row r="96" spans="1:10" s="139" customFormat="1" x14ac:dyDescent="0.35">
      <c r="B96" s="139" t="s">
        <v>1326</v>
      </c>
    </row>
    <row r="97" spans="2:10" ht="13.2" thickBot="1" x14ac:dyDescent="0.55000000000000004"/>
    <row r="98" spans="2:10" ht="13.2" thickBot="1" x14ac:dyDescent="0.55000000000000004">
      <c r="D98" s="146" t="s">
        <v>245</v>
      </c>
      <c r="E98" s="141" t="s">
        <v>236</v>
      </c>
      <c r="F98" s="141" t="s">
        <v>237</v>
      </c>
      <c r="G98" s="141" t="s">
        <v>238</v>
      </c>
      <c r="H98" s="141" t="s">
        <v>239</v>
      </c>
      <c r="I98" s="141" t="s">
        <v>240</v>
      </c>
      <c r="J98" s="141" t="s">
        <v>112</v>
      </c>
    </row>
    <row r="99" spans="2:10" ht="13.8" thickBot="1" x14ac:dyDescent="0.55000000000000004">
      <c r="D99" s="149" t="str">
        <f>'[5]Calc|Opex forecast'!C53</f>
        <v>National connections process</v>
      </c>
      <c r="E99" s="191">
        <f>'[5]Calc|Opex forecast'!O53</f>
        <v>0.48506273204999995</v>
      </c>
      <c r="F99" s="191">
        <f>'[5]Calc|Opex forecast'!P53</f>
        <v>0.48506273204999995</v>
      </c>
      <c r="G99" s="191">
        <f>'[5]Calc|Opex forecast'!Q53</f>
        <v>0.48506273204999995</v>
      </c>
      <c r="H99" s="191">
        <f>'[5]Calc|Opex forecast'!R53</f>
        <v>0.48506273204999995</v>
      </c>
      <c r="I99" s="191">
        <f>'[5]Calc|Opex forecast'!S53</f>
        <v>0.48506273204999995</v>
      </c>
      <c r="J99" s="191">
        <f>SUM(E99:I99)</f>
        <v>2.4253136602499996</v>
      </c>
    </row>
    <row r="100" spans="2:10" ht="13.8" thickBot="1" x14ac:dyDescent="0.55000000000000004">
      <c r="D100" s="149" t="str">
        <f>'[5]Calc|Opex forecast'!C54</f>
        <v>Metering Compliance Type 7</v>
      </c>
      <c r="E100" s="191">
        <f>'[5]Calc|Opex forecast'!O54</f>
        <v>2.4630153824999997E-2</v>
      </c>
      <c r="F100" s="191">
        <f>'[5]Calc|Opex forecast'!P54</f>
        <v>2.4630153824999997E-2</v>
      </c>
      <c r="G100" s="191">
        <f>'[5]Calc|Opex forecast'!Q54</f>
        <v>2.4630153824999997E-2</v>
      </c>
      <c r="H100" s="191">
        <f>'[5]Calc|Opex forecast'!R54</f>
        <v>2.4630153824999997E-2</v>
      </c>
      <c r="I100" s="191">
        <f>'[5]Calc|Opex forecast'!S54</f>
        <v>2.4630153824999997E-2</v>
      </c>
      <c r="J100" s="191">
        <f t="shared" ref="J100:J103" si="3">SUM(E100:I100)</f>
        <v>0.12315076912499999</v>
      </c>
    </row>
    <row r="101" spans="2:10" ht="27.3" thickBot="1" x14ac:dyDescent="0.55000000000000004">
      <c r="D101" s="149" t="str">
        <f>'[5]Calc|Opex forecast'!C55</f>
        <v>MDMS commissioning and early processing</v>
      </c>
      <c r="E101" s="191">
        <f>'[5]Calc|Opex forecast'!O55</f>
        <v>0.15620949269999998</v>
      </c>
      <c r="F101" s="191">
        <f>'[5]Calc|Opex forecast'!P55</f>
        <v>0.15620949269999998</v>
      </c>
      <c r="G101" s="191">
        <f>'[5]Calc|Opex forecast'!Q55</f>
        <v>0.15620949269999998</v>
      </c>
      <c r="H101" s="191">
        <f>'[5]Calc|Opex forecast'!R55</f>
        <v>0.15620949269999998</v>
      </c>
      <c r="I101" s="191">
        <f>'[5]Calc|Opex forecast'!S55</f>
        <v>0.15620949269999998</v>
      </c>
      <c r="J101" s="191">
        <f t="shared" si="3"/>
        <v>0.78104746349999987</v>
      </c>
    </row>
    <row r="102" spans="2:10" ht="13.8" thickBot="1" x14ac:dyDescent="0.55000000000000004">
      <c r="D102" s="149" t="str">
        <f>'[5]Calc|Opex forecast'!C56</f>
        <v>Planning resources</v>
      </c>
      <c r="E102" s="191">
        <f>'[5]Calc|Opex forecast'!O56</f>
        <v>0.54820396800000004</v>
      </c>
      <c r="F102" s="191">
        <f>'[5]Calc|Opex forecast'!P56</f>
        <v>0.54820396800000004</v>
      </c>
      <c r="G102" s="191">
        <f>'[5]Calc|Opex forecast'!Q56</f>
        <v>0.54820396800000004</v>
      </c>
      <c r="H102" s="191">
        <f>'[5]Calc|Opex forecast'!R56</f>
        <v>0.54820396800000004</v>
      </c>
      <c r="I102" s="191">
        <f>'[5]Calc|Opex forecast'!S56</f>
        <v>0.54820396800000004</v>
      </c>
      <c r="J102" s="191">
        <f t="shared" si="3"/>
        <v>2.7410198400000003</v>
      </c>
    </row>
    <row r="103" spans="2:10" ht="13.8" thickBot="1" x14ac:dyDescent="0.55000000000000004">
      <c r="D103" s="149" t="str">
        <f>'[5]Calc|Opex forecast'!C57</f>
        <v>GSLs</v>
      </c>
      <c r="E103" s="191">
        <f>'[5]Calc|Opex forecast'!O57</f>
        <v>0.26784598848717084</v>
      </c>
      <c r="F103" s="191">
        <f>'[5]Calc|Opex forecast'!P57</f>
        <v>0.26725244915754159</v>
      </c>
      <c r="G103" s="191">
        <f>'[5]Calc|Opex forecast'!Q57</f>
        <v>0.26604131817860494</v>
      </c>
      <c r="H103" s="191">
        <f>'[5]Calc|Opex forecast'!R57</f>
        <v>0.26535902625127017</v>
      </c>
      <c r="I103" s="191">
        <f>'[5]Calc|Opex forecast'!S57</f>
        <v>0.26485245919086109</v>
      </c>
      <c r="J103" s="191">
        <f t="shared" si="3"/>
        <v>1.3313512412654487</v>
      </c>
    </row>
    <row r="104" spans="2:10" ht="13.8" thickBot="1" x14ac:dyDescent="0.55000000000000004">
      <c r="D104" s="149" t="s">
        <v>112</v>
      </c>
      <c r="E104" s="178">
        <f>SUM(E99:E103)</f>
        <v>1.4819523350621708</v>
      </c>
      <c r="F104" s="178">
        <f t="shared" ref="F104:J104" si="4">SUM(F99:F103)</f>
        <v>1.4813587957325416</v>
      </c>
      <c r="G104" s="178">
        <f t="shared" si="4"/>
        <v>1.4801476647536049</v>
      </c>
      <c r="H104" s="178">
        <f t="shared" si="4"/>
        <v>1.4794653728262701</v>
      </c>
      <c r="I104" s="178">
        <f t="shared" si="4"/>
        <v>1.4789588057658611</v>
      </c>
      <c r="J104" s="178">
        <f t="shared" si="4"/>
        <v>7.4018829741404488</v>
      </c>
    </row>
    <row r="106" spans="2:10" ht="13.5" x14ac:dyDescent="0.5">
      <c r="D106" s="183" t="s">
        <v>116</v>
      </c>
      <c r="E106" s="268">
        <f>IF(ROUND(E104-E140,2)&lt;&gt;0,1,0)</f>
        <v>0</v>
      </c>
      <c r="F106" s="268">
        <f t="shared" ref="F106:I106" si="5">IF(ROUND(F104-F140,2)&lt;&gt;0,1,0)</f>
        <v>0</v>
      </c>
      <c r="G106" s="268">
        <f t="shared" si="5"/>
        <v>0</v>
      </c>
      <c r="H106" s="268">
        <f t="shared" si="5"/>
        <v>0</v>
      </c>
      <c r="I106" s="268">
        <f t="shared" si="5"/>
        <v>0</v>
      </c>
    </row>
    <row r="108" spans="2:10" s="139" customFormat="1" x14ac:dyDescent="0.35">
      <c r="B108" s="139" t="s">
        <v>1328</v>
      </c>
    </row>
    <row r="109" spans="2:10" ht="13.2" thickBot="1" x14ac:dyDescent="0.55000000000000004"/>
    <row r="110" spans="2:10" ht="13.2" thickBot="1" x14ac:dyDescent="0.55000000000000004">
      <c r="D110" s="146" t="s">
        <v>1327</v>
      </c>
      <c r="E110" s="141" t="s">
        <v>236</v>
      </c>
      <c r="F110" s="141" t="s">
        <v>237</v>
      </c>
      <c r="G110" s="141" t="s">
        <v>238</v>
      </c>
      <c r="H110" s="141" t="s">
        <v>239</v>
      </c>
      <c r="I110" s="141" t="s">
        <v>240</v>
      </c>
      <c r="J110" s="141" t="s">
        <v>112</v>
      </c>
    </row>
    <row r="111" spans="2:10" ht="13.8" thickBot="1" x14ac:dyDescent="0.55000000000000004">
      <c r="D111" s="149" t="s">
        <v>304</v>
      </c>
      <c r="E111" s="192">
        <f>'[5]Calc|Opex forecast'!O43</f>
        <v>5.3730000000000002E-3</v>
      </c>
      <c r="F111" s="192">
        <f>'[5]Calc|Opex forecast'!P43</f>
        <v>5.9699999999999987E-3</v>
      </c>
      <c r="G111" s="192">
        <f>'[5]Calc|Opex forecast'!Q43</f>
        <v>7.1640000000000002E-3</v>
      </c>
      <c r="H111" s="192">
        <f>'[5]Calc|Opex forecast'!R43</f>
        <v>7.7610000000000005E-3</v>
      </c>
      <c r="I111" s="192">
        <f>'[5]Calc|Opex forecast'!S43</f>
        <v>6.5669999999999991E-3</v>
      </c>
      <c r="J111" s="150" t="str">
        <f>NA</f>
        <v>N/A</v>
      </c>
    </row>
    <row r="113" spans="2:10" s="139" customFormat="1" x14ac:dyDescent="0.35">
      <c r="B113" s="139" t="s">
        <v>1329</v>
      </c>
    </row>
    <row r="114" spans="2:10" ht="13.2" thickBot="1" x14ac:dyDescent="0.55000000000000004"/>
    <row r="115" spans="2:10" ht="13.2" thickBot="1" x14ac:dyDescent="0.55000000000000004">
      <c r="D115" s="146" t="s">
        <v>1327</v>
      </c>
      <c r="E115" s="141" t="s">
        <v>236</v>
      </c>
      <c r="F115" s="141" t="s">
        <v>237</v>
      </c>
      <c r="G115" s="141" t="s">
        <v>238</v>
      </c>
      <c r="H115" s="141" t="s">
        <v>239</v>
      </c>
      <c r="I115" s="141" t="s">
        <v>240</v>
      </c>
      <c r="J115" s="141" t="s">
        <v>112</v>
      </c>
    </row>
    <row r="116" spans="2:10" ht="13.8" thickBot="1" x14ac:dyDescent="0.55000000000000004">
      <c r="D116" s="149" t="s">
        <v>303</v>
      </c>
      <c r="E116" s="192">
        <f>'[5]Calc|Opex forecast'!O41</f>
        <v>6.6515010053349293E-3</v>
      </c>
      <c r="F116" s="192">
        <f>'[5]Calc|Opex forecast'!P41</f>
        <v>7.6836940913239645E-3</v>
      </c>
      <c r="G116" s="192">
        <f>'[5]Calc|Opex forecast'!Q41</f>
        <v>8.1143438694775173E-3</v>
      </c>
      <c r="H116" s="192">
        <f>'[5]Calc|Opex forecast'!R41</f>
        <v>4.4511158074421325E-3</v>
      </c>
      <c r="I116" s="192">
        <f>'[5]Calc|Opex forecast'!S41</f>
        <v>4.3545968260421406E-3</v>
      </c>
      <c r="J116" s="150" t="str">
        <f>NA</f>
        <v>N/A</v>
      </c>
    </row>
    <row r="118" spans="2:10" s="139" customFormat="1" x14ac:dyDescent="0.35">
      <c r="B118" s="139" t="s">
        <v>1330</v>
      </c>
    </row>
    <row r="119" spans="2:10" ht="13.2" thickBot="1" x14ac:dyDescent="0.55000000000000004"/>
    <row r="120" spans="2:10" ht="13.2" thickBot="1" x14ac:dyDescent="0.55000000000000004">
      <c r="D120" s="146" t="s">
        <v>1327</v>
      </c>
      <c r="E120" s="141" t="s">
        <v>236</v>
      </c>
      <c r="F120" s="141" t="s">
        <v>237</v>
      </c>
      <c r="G120" s="141" t="s">
        <v>238</v>
      </c>
      <c r="H120" s="141" t="s">
        <v>239</v>
      </c>
      <c r="I120" s="141" t="s">
        <v>240</v>
      </c>
      <c r="J120" s="141" t="s">
        <v>112</v>
      </c>
    </row>
    <row r="121" spans="2:10" ht="13.8" thickBot="1" x14ac:dyDescent="0.55000000000000004">
      <c r="D121" s="149" t="s">
        <v>305</v>
      </c>
      <c r="E121" s="192">
        <f>'[5]Calc|Opex forecast'!O45</f>
        <v>0</v>
      </c>
      <c r="F121" s="192">
        <f>'[5]Calc|Opex forecast'!P45</f>
        <v>0</v>
      </c>
      <c r="G121" s="192">
        <f>'[5]Calc|Opex forecast'!Q45</f>
        <v>0</v>
      </c>
      <c r="H121" s="192">
        <f>'[5]Calc|Opex forecast'!R45</f>
        <v>0</v>
      </c>
      <c r="I121" s="192">
        <f>'[5]Calc|Opex forecast'!S45</f>
        <v>0</v>
      </c>
      <c r="J121" s="150" t="str">
        <f>NA</f>
        <v>N/A</v>
      </c>
    </row>
    <row r="123" spans="2:10" s="139" customFormat="1" x14ac:dyDescent="0.35">
      <c r="B123" s="139" t="s">
        <v>1332</v>
      </c>
    </row>
    <row r="124" spans="2:10" ht="13.2" thickBot="1" x14ac:dyDescent="0.55000000000000004"/>
    <row r="125" spans="2:10" ht="13.2" thickBot="1" x14ac:dyDescent="0.55000000000000004">
      <c r="D125" s="146" t="s">
        <v>245</v>
      </c>
      <c r="E125" s="284" t="s">
        <v>236</v>
      </c>
      <c r="F125" s="284" t="s">
        <v>237</v>
      </c>
      <c r="G125" s="284" t="s">
        <v>238</v>
      </c>
      <c r="H125" s="284" t="s">
        <v>239</v>
      </c>
      <c r="I125" s="284" t="s">
        <v>240</v>
      </c>
      <c r="J125" s="284" t="s">
        <v>112</v>
      </c>
    </row>
    <row r="126" spans="2:10" ht="13.8" thickBot="1" x14ac:dyDescent="0.55000000000000004">
      <c r="D126" s="149" t="s">
        <v>740</v>
      </c>
      <c r="E126" s="179">
        <f>'[2]PTRM input'!G195</f>
        <v>0.32916235641497782</v>
      </c>
      <c r="F126" s="179">
        <f>'[2]PTRM input'!H195</f>
        <v>0.33492808292028753</v>
      </c>
      <c r="G126" s="179">
        <f>'[2]PTRM input'!I195</f>
        <v>0.33716180050773409</v>
      </c>
      <c r="H126" s="179">
        <f>'[2]PTRM input'!J195</f>
        <v>0.34179848784887829</v>
      </c>
      <c r="I126" s="179">
        <f>'[2]PTRM input'!K195</f>
        <v>0.34472720048451527</v>
      </c>
      <c r="J126" s="179">
        <f>SUM(E126:I126)</f>
        <v>1.6877779281763929</v>
      </c>
    </row>
    <row r="128" spans="2:10" s="139" customFormat="1" x14ac:dyDescent="0.35">
      <c r="B128" s="139" t="s">
        <v>1331</v>
      </c>
    </row>
    <row r="129" spans="2:10" ht="13.2" thickBot="1" x14ac:dyDescent="0.55000000000000004"/>
    <row r="130" spans="2:10" ht="13.2" thickBot="1" x14ac:dyDescent="0.55000000000000004">
      <c r="D130" s="146" t="s">
        <v>245</v>
      </c>
      <c r="E130" s="141" t="s">
        <v>236</v>
      </c>
      <c r="F130" s="141" t="s">
        <v>237</v>
      </c>
      <c r="G130" s="141" t="s">
        <v>238</v>
      </c>
      <c r="H130" s="141" t="s">
        <v>239</v>
      </c>
      <c r="I130" s="141" t="s">
        <v>240</v>
      </c>
      <c r="J130" s="141" t="s">
        <v>112</v>
      </c>
    </row>
    <row r="131" spans="2:10" ht="13.8" thickBot="1" x14ac:dyDescent="0.55000000000000004">
      <c r="D131" s="149" t="s">
        <v>306</v>
      </c>
      <c r="E131" s="179">
        <f>'[2]PTRM input'!G186</f>
        <v>0.50798876941566162</v>
      </c>
      <c r="F131" s="179">
        <f>'[2]PTRM input'!H186</f>
        <v>0.53411615195923456</v>
      </c>
      <c r="G131" s="179">
        <f>'[2]PTRM input'!I186</f>
        <v>0.54541160462548</v>
      </c>
      <c r="H131" s="179">
        <f>'[2]PTRM input'!J186</f>
        <v>0.56757990411327119</v>
      </c>
      <c r="I131" s="179">
        <f>'[2]PTRM input'!K186</f>
        <v>0.57108099711099358</v>
      </c>
      <c r="J131" s="179">
        <f>SUM(E131:I131)</f>
        <v>2.7261774272246408</v>
      </c>
    </row>
    <row r="133" spans="2:10" ht="13.5" x14ac:dyDescent="0.5">
      <c r="D133" s="183" t="s">
        <v>116</v>
      </c>
      <c r="E133" s="268">
        <f>IF(ROUND(E131-E144,2)&lt;&gt;0,1,0)</f>
        <v>0</v>
      </c>
      <c r="F133" s="268">
        <f>IF(ROUND(F131-F144,2)&lt;&gt;0,1,0)</f>
        <v>0</v>
      </c>
      <c r="G133" s="268">
        <f>IF(ROUND(G131-G144,2)&lt;&gt;0,1,0)</f>
        <v>0</v>
      </c>
      <c r="H133" s="268">
        <f>IF(ROUND(H131-H144,2)&lt;&gt;0,1,0)</f>
        <v>0</v>
      </c>
      <c r="I133" s="268">
        <f>IF(ROUND(I131-I144,2)&lt;&gt;0,1,0)</f>
        <v>0</v>
      </c>
    </row>
    <row r="135" spans="2:10" s="139" customFormat="1" x14ac:dyDescent="0.35">
      <c r="B135" s="139" t="s">
        <v>887</v>
      </c>
    </row>
    <row r="136" spans="2:10" ht="13.2" thickBot="1" x14ac:dyDescent="0.55000000000000004"/>
    <row r="137" spans="2:10" ht="13.2" thickBot="1" x14ac:dyDescent="0.55000000000000004">
      <c r="D137" s="146" t="s">
        <v>245</v>
      </c>
      <c r="E137" s="141" t="s">
        <v>236</v>
      </c>
      <c r="F137" s="141" t="s">
        <v>237</v>
      </c>
      <c r="G137" s="141" t="s">
        <v>238</v>
      </c>
      <c r="H137" s="141" t="s">
        <v>239</v>
      </c>
      <c r="I137" s="141" t="s">
        <v>240</v>
      </c>
      <c r="J137" s="141" t="s">
        <v>112</v>
      </c>
    </row>
    <row r="138" spans="2:10" ht="13.8" thickBot="1" x14ac:dyDescent="0.55000000000000004">
      <c r="D138" s="149" t="s">
        <v>300</v>
      </c>
      <c r="E138" s="191">
        <f>'[5]Calc|Opex forecast'!$N$15</f>
        <v>75.793555074662947</v>
      </c>
      <c r="F138" s="191">
        <f>'[5]Calc|Opex forecast'!$N$15</f>
        <v>75.793555074662947</v>
      </c>
      <c r="G138" s="191">
        <f>'[5]Calc|Opex forecast'!$N$15</f>
        <v>75.793555074662947</v>
      </c>
      <c r="H138" s="191">
        <f>'[5]Calc|Opex forecast'!$N$15</f>
        <v>75.793555074662947</v>
      </c>
      <c r="I138" s="191">
        <f>'[5]Calc|Opex forecast'!$N$15</f>
        <v>75.793555074662947</v>
      </c>
      <c r="J138" s="178">
        <f t="shared" ref="J138:J145" si="6">SUM(E138:I138)</f>
        <v>378.96777537331474</v>
      </c>
    </row>
    <row r="139" spans="2:10" ht="13.8" thickBot="1" x14ac:dyDescent="0.55000000000000004">
      <c r="D139" s="149" t="s">
        <v>301</v>
      </c>
      <c r="E139" s="191">
        <f>'[5]Calc|Opex forecast'!$N$32+'[5]Calc|Opex forecast'!$N$21</f>
        <v>-12.500933997168072</v>
      </c>
      <c r="F139" s="191">
        <f>'[5]Calc|Opex forecast'!$N$32+'[5]Calc|Opex forecast'!$N$21</f>
        <v>-12.500933997168072</v>
      </c>
      <c r="G139" s="191">
        <f>'[5]Calc|Opex forecast'!$N$32+'[5]Calc|Opex forecast'!$N$21</f>
        <v>-12.500933997168072</v>
      </c>
      <c r="H139" s="191">
        <f>'[5]Calc|Opex forecast'!$N$32+'[5]Calc|Opex forecast'!$N$21</f>
        <v>-12.500933997168072</v>
      </c>
      <c r="I139" s="191">
        <f>'[5]Calc|Opex forecast'!$N$32+'[5]Calc|Opex forecast'!$N$21</f>
        <v>-12.500933997168072</v>
      </c>
      <c r="J139" s="178">
        <f t="shared" si="6"/>
        <v>-62.504669985840366</v>
      </c>
    </row>
    <row r="140" spans="2:10" ht="13.8" thickBot="1" x14ac:dyDescent="0.55000000000000004">
      <c r="D140" s="149" t="s">
        <v>302</v>
      </c>
      <c r="E140" s="191">
        <f>'[5]Calc|Opex forecast'!O63</f>
        <v>1.4819523350621708</v>
      </c>
      <c r="F140" s="191">
        <f>'[5]Calc|Opex forecast'!P63</f>
        <v>1.4813587957325416</v>
      </c>
      <c r="G140" s="191">
        <f>'[5]Calc|Opex forecast'!Q63</f>
        <v>1.4801476647536049</v>
      </c>
      <c r="H140" s="191">
        <f>'[5]Calc|Opex forecast'!R63</f>
        <v>1.4794653728262701</v>
      </c>
      <c r="I140" s="191">
        <f>'[5]Calc|Opex forecast'!S63</f>
        <v>1.4789588057658611</v>
      </c>
      <c r="J140" s="178">
        <f t="shared" si="6"/>
        <v>7.4018829741404488</v>
      </c>
    </row>
    <row r="141" spans="2:10" ht="13.8" thickBot="1" x14ac:dyDescent="0.55000000000000004">
      <c r="D141" s="149" t="s">
        <v>303</v>
      </c>
      <c r="E141" s="191">
        <f>E$152*E153/SUM(E$153:E$155)</f>
        <v>0.42224217722512747</v>
      </c>
      <c r="F141" s="191">
        <f t="shared" ref="E141:I143" si="7">F$152*F153/SUM(F$153:F$155)</f>
        <v>0.91633094912223556</v>
      </c>
      <c r="G141" s="191">
        <f t="shared" si="7"/>
        <v>1.4461329557320985</v>
      </c>
      <c r="H141" s="191">
        <f t="shared" si="7"/>
        <v>1.7426884230243711</v>
      </c>
      <c r="I141" s="191">
        <f t="shared" si="7"/>
        <v>2.035188366239574</v>
      </c>
      <c r="J141" s="178">
        <f t="shared" si="6"/>
        <v>6.5625828713434071</v>
      </c>
    </row>
    <row r="142" spans="2:10" ht="13.8" thickBot="1" x14ac:dyDescent="0.55000000000000004">
      <c r="D142" s="149" t="s">
        <v>304</v>
      </c>
      <c r="E142" s="191">
        <f t="shared" si="7"/>
        <v>0.34108199283304358</v>
      </c>
      <c r="F142" s="191">
        <f t="shared" si="7"/>
        <v>0.72453185421606248</v>
      </c>
      <c r="G142" s="191">
        <f t="shared" si="7"/>
        <v>1.1905806016878753</v>
      </c>
      <c r="H142" s="191">
        <f t="shared" si="7"/>
        <v>1.7014393401675711</v>
      </c>
      <c r="I142" s="191">
        <f t="shared" si="7"/>
        <v>2.1397197078761412</v>
      </c>
      <c r="J142" s="178">
        <f t="shared" si="6"/>
        <v>6.0973534967806939</v>
      </c>
    </row>
    <row r="143" spans="2:10" ht="13.8" thickBot="1" x14ac:dyDescent="0.55000000000000004">
      <c r="D143" s="149" t="s">
        <v>305</v>
      </c>
      <c r="E143" s="191">
        <f t="shared" si="7"/>
        <v>0</v>
      </c>
      <c r="F143" s="191">
        <f t="shared" si="7"/>
        <v>0</v>
      </c>
      <c r="G143" s="191">
        <f t="shared" si="7"/>
        <v>0</v>
      </c>
      <c r="H143" s="191">
        <f t="shared" si="7"/>
        <v>0</v>
      </c>
      <c r="I143" s="191">
        <f t="shared" si="7"/>
        <v>0</v>
      </c>
      <c r="J143" s="191">
        <f t="shared" si="6"/>
        <v>0</v>
      </c>
    </row>
    <row r="144" spans="2:10" ht="13.8" thickBot="1" x14ac:dyDescent="0.55000000000000004">
      <c r="D144" s="149" t="s">
        <v>306</v>
      </c>
      <c r="E144" s="191">
        <f>'[2]PTRM input'!G186</f>
        <v>0.50798876941566162</v>
      </c>
      <c r="F144" s="191">
        <f>'[2]PTRM input'!H186</f>
        <v>0.53411615195923456</v>
      </c>
      <c r="G144" s="191">
        <f>'[2]PTRM input'!I186</f>
        <v>0.54541160462548</v>
      </c>
      <c r="H144" s="191">
        <f>'[2]PTRM input'!J186</f>
        <v>0.56757990411327119</v>
      </c>
      <c r="I144" s="191">
        <f>'[2]PTRM input'!K186</f>
        <v>0.57108099711099358</v>
      </c>
      <c r="J144" s="178">
        <f t="shared" si="6"/>
        <v>2.7261774272246408</v>
      </c>
    </row>
    <row r="145" spans="1:12" ht="13.2" thickBot="1" x14ac:dyDescent="0.55000000000000004">
      <c r="D145" s="154" t="s">
        <v>298</v>
      </c>
      <c r="E145" s="198">
        <f>SUM(E138:E144)</f>
        <v>66.045886352030877</v>
      </c>
      <c r="F145" s="198">
        <f>SUM(F138:F144)</f>
        <v>66.948958828524965</v>
      </c>
      <c r="G145" s="198">
        <f>SUM(G138:G144)</f>
        <v>67.954893904293925</v>
      </c>
      <c r="H145" s="198">
        <f>SUM(H138:H144)</f>
        <v>68.783794117626357</v>
      </c>
      <c r="I145" s="198">
        <f>SUM(I138:I144)</f>
        <v>69.517568954487444</v>
      </c>
      <c r="J145" s="189">
        <f t="shared" si="6"/>
        <v>339.25110215696355</v>
      </c>
      <c r="K145" s="273"/>
      <c r="L145" s="273"/>
    </row>
    <row r="146" spans="1:12" ht="13.5" x14ac:dyDescent="0.5">
      <c r="D146" s="196"/>
      <c r="J146" s="194"/>
    </row>
    <row r="147" spans="1:12" ht="13.5" x14ac:dyDescent="0.5">
      <c r="D147" s="450" t="s">
        <v>383</v>
      </c>
      <c r="E147" s="600">
        <f>'[5]Calc|Opex forecast'!O47</f>
        <v>1.2060239520236715E-2</v>
      </c>
      <c r="F147" s="600">
        <f>'[5]Calc|Opex forecast'!P47</f>
        <v>1.3699565745049158E-2</v>
      </c>
      <c r="G147" s="600">
        <f>'[5]Calc|Opex forecast'!Q47</f>
        <v>1.5336475028958407E-2</v>
      </c>
      <c r="H147" s="600">
        <f>'[5]Calc|Opex forecast'!R47</f>
        <v>1.2246660917223595E-2</v>
      </c>
      <c r="I147" s="600">
        <f>'[5]Calc|Opex forecast'!S47</f>
        <v>1.095019346339865E-2</v>
      </c>
      <c r="J147" s="601"/>
    </row>
    <row r="148" spans="1:12" ht="13.5" x14ac:dyDescent="0.5">
      <c r="D148" s="450" t="s">
        <v>303</v>
      </c>
      <c r="E148" s="600">
        <f>'[5]Calc|Opex forecast'!O41</f>
        <v>6.6515010053349293E-3</v>
      </c>
      <c r="F148" s="600">
        <f>'[5]Calc|Opex forecast'!P41</f>
        <v>7.6836940913239645E-3</v>
      </c>
      <c r="G148" s="600">
        <f>'[5]Calc|Opex forecast'!Q41</f>
        <v>8.1143438694775173E-3</v>
      </c>
      <c r="H148" s="600">
        <f>'[5]Calc|Opex forecast'!R41</f>
        <v>4.4511158074421325E-3</v>
      </c>
      <c r="I148" s="600">
        <f>'[5]Calc|Opex forecast'!S41</f>
        <v>4.3545968260421406E-3</v>
      </c>
      <c r="J148" s="601"/>
    </row>
    <row r="149" spans="1:12" ht="13.5" x14ac:dyDescent="0.5">
      <c r="D149" s="450" t="s">
        <v>304</v>
      </c>
      <c r="E149" s="600">
        <f>'[5]Calc|Opex forecast'!O43</f>
        <v>5.3730000000000002E-3</v>
      </c>
      <c r="F149" s="600">
        <f>'[5]Calc|Opex forecast'!P43</f>
        <v>5.9699999999999987E-3</v>
      </c>
      <c r="G149" s="600">
        <f>'[5]Calc|Opex forecast'!Q43</f>
        <v>7.1640000000000002E-3</v>
      </c>
      <c r="H149" s="600">
        <f>'[5]Calc|Opex forecast'!R43</f>
        <v>7.7610000000000005E-3</v>
      </c>
      <c r="I149" s="600">
        <f>'[5]Calc|Opex forecast'!S43</f>
        <v>6.5669999999999991E-3</v>
      </c>
      <c r="J149" s="601"/>
    </row>
    <row r="150" spans="1:12" ht="13.5" x14ac:dyDescent="0.5">
      <c r="D150" s="450" t="s">
        <v>305</v>
      </c>
      <c r="E150" s="600">
        <f>'[5]Calc|Opex forecast'!O45</f>
        <v>0</v>
      </c>
      <c r="F150" s="600">
        <f>'[5]Calc|Opex forecast'!P45</f>
        <v>0</v>
      </c>
      <c r="G150" s="600">
        <f>'[5]Calc|Opex forecast'!Q45</f>
        <v>0</v>
      </c>
      <c r="H150" s="600">
        <f>'[5]Calc|Opex forecast'!R45</f>
        <v>0</v>
      </c>
      <c r="I150" s="600">
        <f>'[5]Calc|Opex forecast'!S45</f>
        <v>0</v>
      </c>
      <c r="J150" s="601"/>
    </row>
    <row r="151" spans="1:12" ht="13.5" x14ac:dyDescent="0.5">
      <c r="D151" s="450"/>
      <c r="E151" s="602"/>
      <c r="F151" s="602"/>
      <c r="G151" s="468"/>
      <c r="H151" s="468"/>
      <c r="I151" s="468"/>
      <c r="J151" s="601"/>
    </row>
    <row r="152" spans="1:12" ht="13.5" x14ac:dyDescent="0.5">
      <c r="D152" s="450" t="s">
        <v>383</v>
      </c>
      <c r="E152" s="603">
        <f t="array" ref="E152">(PRODUCT(1+$E147:E147)-1)*SUM(E$138:E$139)</f>
        <v>0.76332417005817099</v>
      </c>
      <c r="F152" s="603">
        <f t="array" ref="F152">(PRODUCT(1+$E147:F147)-1)*SUM(F$138:F$139)</f>
        <v>1.6408628033382981</v>
      </c>
      <c r="G152" s="603">
        <f t="array" ref="G152">(PRODUCT(1+$E147:G147)-1)*SUM(G$138:G$139)</f>
        <v>2.6367135574199736</v>
      </c>
      <c r="H152" s="603">
        <f t="array" ref="H152">(PRODUCT(1+$E147:H147)-1)*SUM(H$138:H$139)</f>
        <v>3.4441277631919425</v>
      </c>
      <c r="I152" s="603">
        <f t="array" ref="I152">(PRODUCT(1+$E147:I147)-1)*SUM(I$138:I$139)</f>
        <v>4.1749080741157147</v>
      </c>
      <c r="J152" s="601">
        <f>SUM(E152:I152)</f>
        <v>12.6599363681241</v>
      </c>
    </row>
    <row r="153" spans="1:12" ht="13.5" x14ac:dyDescent="0.5">
      <c r="D153" s="450" t="s">
        <v>303</v>
      </c>
      <c r="E153" s="603">
        <f t="array" ref="E153">(PRODUCT(1+$E148:E148)-1)*SUM(E$138:E$139)</f>
        <v>0.42099093272724175</v>
      </c>
      <c r="F153" s="603">
        <f t="array" ref="F153">(PRODUCT(1+$E148:F148)-1)*SUM(F$138:F$139)</f>
        <v>0.91054683686708626</v>
      </c>
      <c r="G153" s="603">
        <f t="array" ref="G153">(PRODUCT(1+$E148:G148)-1)*SUM(G$138:G$139)</f>
        <v>1.431513418834029</v>
      </c>
      <c r="H153" s="603">
        <f t="array" ref="H153">(PRODUCT(1+$E148:H148)-1)*SUM(H$138:H$139)</f>
        <v>1.7196080370136433</v>
      </c>
      <c r="I153" s="603">
        <f t="array" ref="I153">(PRODUCT(1+$E148:I148)-1)*SUM(I$138:I$139)</f>
        <v>2.0027100835696037</v>
      </c>
      <c r="J153" s="601">
        <f>SUM(E153:I153)</f>
        <v>6.4853693090116042</v>
      </c>
    </row>
    <row r="154" spans="1:12" ht="13.5" x14ac:dyDescent="0.5">
      <c r="D154" s="450" t="s">
        <v>304</v>
      </c>
      <c r="E154" s="603">
        <f t="array" ref="E154">(PRODUCT(1+$E149:E149)-1)*SUM(E$138:E$139)</f>
        <v>0.34007125304938451</v>
      </c>
      <c r="F154" s="603">
        <f t="array" ref="F154">(PRODUCT(1+$E149:F149)-1)*SUM(F$138:F$139)</f>
        <v>0.71995842626273232</v>
      </c>
      <c r="G154" s="603">
        <f t="array" ref="G154">(PRODUCT(1+$E149:G149)-1)*SUM(G$138:G$139)</f>
        <v>1.1785445458276518</v>
      </c>
      <c r="H154" s="603">
        <f t="array" ref="H154">(PRODUCT(1+$E149:H149)-1)*SUM(H$138:H$139)</f>
        <v>1.6789052622302461</v>
      </c>
      <c r="I154" s="603">
        <f t="array" ref="I154">(PRODUCT(1+$E149:I149)-1)*SUM(I$138:I$139)</f>
        <v>2.1055732757032248</v>
      </c>
      <c r="J154" s="601">
        <f>SUM(E154:I154)</f>
        <v>6.02305276307324</v>
      </c>
    </row>
    <row r="155" spans="1:12" ht="13.5" x14ac:dyDescent="0.5">
      <c r="D155" s="450" t="s">
        <v>305</v>
      </c>
      <c r="E155" s="603">
        <f t="array" ref="E155">(PRODUCT(1+$E150:E150)-1)*SUM(E$138:E$139)</f>
        <v>0</v>
      </c>
      <c r="F155" s="603">
        <f t="array" ref="F155">(PRODUCT(1+$E150:F150)-1)*SUM(F$138:F$139)</f>
        <v>0</v>
      </c>
      <c r="G155" s="603">
        <f t="array" ref="G155">(PRODUCT(1+$E150:G150)-1)*SUM(G$138:G$139)</f>
        <v>0</v>
      </c>
      <c r="H155" s="603">
        <f t="array" ref="H155">(PRODUCT(1+$E150:H150)-1)*SUM(H$138:H$139)</f>
        <v>0</v>
      </c>
      <c r="I155" s="603">
        <f t="array" ref="I155">(PRODUCT(1+$E150:I150)-1)*SUM(I$138:I$139)</f>
        <v>0</v>
      </c>
      <c r="J155" s="601">
        <f>SUM(E155:I155)</f>
        <v>0</v>
      </c>
    </row>
    <row r="156" spans="1:12" ht="13.5" x14ac:dyDescent="0.5">
      <c r="D156" s="450" t="s">
        <v>384</v>
      </c>
      <c r="E156" s="603">
        <f t="shared" ref="E156:J156" si="8">E152-SUM(E153:E154)</f>
        <v>2.2619842815447821E-3</v>
      </c>
      <c r="F156" s="603">
        <f t="shared" si="8"/>
        <v>1.0357540208479454E-2</v>
      </c>
      <c r="G156" s="603">
        <f t="shared" si="8"/>
        <v>2.665559275829299E-2</v>
      </c>
      <c r="H156" s="603">
        <f t="shared" si="8"/>
        <v>4.5614463948052908E-2</v>
      </c>
      <c r="I156" s="603">
        <f t="shared" si="8"/>
        <v>6.6624714842886235E-2</v>
      </c>
      <c r="J156" s="603">
        <f t="shared" si="8"/>
        <v>0.15151429603925592</v>
      </c>
    </row>
    <row r="157" spans="1:12" ht="13.5" x14ac:dyDescent="0.5">
      <c r="D157" s="196"/>
      <c r="E157" s="194"/>
      <c r="F157" s="194"/>
      <c r="G157" s="194"/>
      <c r="H157" s="194"/>
      <c r="I157" s="194"/>
      <c r="J157" s="194"/>
    </row>
    <row r="158" spans="1:12" ht="13.5" x14ac:dyDescent="0.5">
      <c r="A158" s="70">
        <f>IF(SUM(E158:I158)&lt;&gt;0,1,0)</f>
        <v>0</v>
      </c>
      <c r="D158" s="183" t="s">
        <v>116</v>
      </c>
      <c r="E158" s="268">
        <f>IF(ROUND(E145-'[2]PTRM input'!G187,3)&lt;&gt;0,1,0)</f>
        <v>0</v>
      </c>
      <c r="F158" s="268">
        <f>IF(ROUND(F145-'[2]PTRM input'!H187,3)&lt;&gt;0,1,0)</f>
        <v>0</v>
      </c>
      <c r="G158" s="268">
        <f>IF(ROUND(G145-'[2]PTRM input'!I187,3)&lt;&gt;0,1,0)</f>
        <v>0</v>
      </c>
      <c r="H158" s="268">
        <f>IF(ROUND(H145-'[2]PTRM input'!J187,3)&lt;&gt;0,1,0)</f>
        <v>0</v>
      </c>
      <c r="I158" s="268">
        <f>IF(ROUND(I145-'[2]PTRM input'!K187,3)&lt;&gt;0,1,0)</f>
        <v>0</v>
      </c>
    </row>
    <row r="159" spans="1:12" ht="13.5" x14ac:dyDescent="0.5">
      <c r="E159" s="195"/>
      <c r="F159" s="195"/>
      <c r="G159" s="195"/>
      <c r="H159" s="195"/>
      <c r="I159" s="195"/>
    </row>
    <row r="160" spans="1:12" s="139" customFormat="1" x14ac:dyDescent="0.35">
      <c r="B160" s="139" t="s">
        <v>32</v>
      </c>
    </row>
  </sheetData>
  <conditionalFormatting sqref="B2">
    <cfRule type="cellIs" dxfId="32" priority="1" operator="notEqual">
      <formula>"No Errors Found"</formula>
    </cfRule>
  </conditionalFormatting>
  <hyperlinks>
    <hyperlink ref="B3:D3" location="Cover!A1" display="Go to Cover Sheet" xr:uid="{00000000-0004-0000-1300-000000000000}"/>
  </hyperlinks>
  <pageMargins left="0.7" right="0.7" top="0.75" bottom="0.75" header="0.3" footer="0.3"/>
  <pageSetup paperSize="9"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R94"/>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1" width="11.1328125" style="137" customWidth="1"/>
    <col min="12" max="19" width="12.33203125" style="137" customWidth="1"/>
    <col min="20" max="16384" width="9.1328125" style="137"/>
  </cols>
  <sheetData>
    <row r="1" spans="1:18" ht="20.399999999999999" x14ac:dyDescent="0.5">
      <c r="A1" s="65">
        <f>IF(SUM($A6:$A94)&gt;0,1,0)</f>
        <v>0</v>
      </c>
      <c r="B1" s="136" t="s">
        <v>309</v>
      </c>
    </row>
    <row r="2" spans="1:18" s="104" customFormat="1" ht="10.199999999999999" x14ac:dyDescent="0.35">
      <c r="B2" s="105" t="str">
        <f>Title_Msg</f>
        <v>No Errors Found</v>
      </c>
    </row>
    <row r="3" spans="1:18" s="104" customFormat="1" ht="12.3" x14ac:dyDescent="0.35">
      <c r="B3" s="106" t="s">
        <v>51</v>
      </c>
      <c r="C3" s="106"/>
      <c r="D3" s="106"/>
      <c r="E3" s="107"/>
    </row>
    <row r="4" spans="1:18" s="104" customFormat="1" ht="12.3" x14ac:dyDescent="0.35">
      <c r="B4" s="108" t="str">
        <f>Model_Name</f>
        <v>Power and Water Corporation (PWC) - Regulatory Proposal Tables and Charts</v>
      </c>
    </row>
    <row r="6" spans="1:18" s="139" customFormat="1" x14ac:dyDescent="0.35">
      <c r="B6" s="139" t="s">
        <v>631</v>
      </c>
    </row>
    <row r="7" spans="1:18" ht="13.2" thickBot="1" x14ac:dyDescent="0.55000000000000004"/>
    <row r="8" spans="1:18" ht="13.15" customHeight="1" x14ac:dyDescent="0.5">
      <c r="D8" s="696" t="s">
        <v>245</v>
      </c>
      <c r="E8" s="699">
        <v>41455</v>
      </c>
      <c r="F8" s="700"/>
      <c r="G8" s="699">
        <v>41820</v>
      </c>
      <c r="H8" s="700"/>
      <c r="I8" s="240">
        <v>43647</v>
      </c>
    </row>
    <row r="9" spans="1:18" ht="13.2" thickBot="1" x14ac:dyDescent="0.55000000000000004">
      <c r="D9" s="697"/>
      <c r="E9" s="701" t="s">
        <v>632</v>
      </c>
      <c r="F9" s="702"/>
      <c r="G9" s="701" t="s">
        <v>633</v>
      </c>
      <c r="H9" s="702"/>
      <c r="I9" s="241" t="s">
        <v>634</v>
      </c>
    </row>
    <row r="10" spans="1:18" ht="26.1" thickBot="1" x14ac:dyDescent="0.55000000000000004">
      <c r="D10" s="698"/>
      <c r="E10" s="243" t="s">
        <v>635</v>
      </c>
      <c r="F10" s="243" t="s">
        <v>636</v>
      </c>
      <c r="G10" s="243" t="s">
        <v>635</v>
      </c>
      <c r="H10" s="243" t="s">
        <v>636</v>
      </c>
      <c r="I10" s="242"/>
      <c r="M10" s="377" t="s">
        <v>942</v>
      </c>
      <c r="Q10" s="156" t="s">
        <v>1634</v>
      </c>
    </row>
    <row r="11" spans="1:18" ht="13.8" thickBot="1" x14ac:dyDescent="0.55000000000000004">
      <c r="D11" s="236" t="s">
        <v>97</v>
      </c>
      <c r="E11" s="179">
        <f>[11]Summary_RAB!$E$33/10^3*M11-E12</f>
        <v>933.52792805505851</v>
      </c>
      <c r="F11" s="179">
        <f>[11]Summary_RAB!$G$33/10^3*M11-F12</f>
        <v>858.47279503825894</v>
      </c>
      <c r="G11" s="179">
        <v>988.81238085936366</v>
      </c>
      <c r="H11" s="179">
        <f>'[8]Total RAB roll forward'!$G$201*M12-H12</f>
        <v>916.11105079147251</v>
      </c>
      <c r="I11" s="179">
        <f>SUM('[8]PTRM input summary'!$J$7:$J$20)</f>
        <v>973.50319741571764</v>
      </c>
      <c r="L11" s="376" t="s">
        <v>944</v>
      </c>
      <c r="M11" s="378">
        <f>'[8]RAB roll forward'!$L$7/'[8]RAB roll forward'!G7</f>
        <v>1.1001162986782227</v>
      </c>
      <c r="N11" s="204" t="s">
        <v>945</v>
      </c>
      <c r="Q11" s="607">
        <v>860.65</v>
      </c>
      <c r="R11" s="204" t="s">
        <v>1635</v>
      </c>
    </row>
    <row r="12" spans="1:18" ht="13.8" thickBot="1" x14ac:dyDescent="0.55000000000000004">
      <c r="D12" s="236" t="s">
        <v>637</v>
      </c>
      <c r="E12" s="179">
        <f>SUM([11]Summary_RAB!$E$26:$E$31)/10^3*$M11</f>
        <v>8.3727268629966805</v>
      </c>
      <c r="F12" s="179">
        <f>SUM([11]Summary_RAB!$G$26:$G$31)/10^3*$M11</f>
        <v>8.3727268629966805</v>
      </c>
      <c r="G12" s="179">
        <v>8.0463812553919816</v>
      </c>
      <c r="H12" s="179">
        <f>SUM('[8]Total RAB roll forward'!$G$216:$G$221)*M12</f>
        <v>8.0599816488033706</v>
      </c>
      <c r="I12" s="179">
        <f>SUM('[8]PTRM input summary'!$J$21:$J$36)</f>
        <v>16.511202711558706</v>
      </c>
      <c r="L12" s="376" t="s">
        <v>943</v>
      </c>
      <c r="M12" s="379">
        <f>'[8]RAB roll forward'!$L$7/'[8]RAB roll forward'!H7</f>
        <v>1.0738091697967869</v>
      </c>
    </row>
    <row r="13" spans="1:18" ht="13.2" thickBot="1" x14ac:dyDescent="0.55000000000000004">
      <c r="D13" s="370" t="s">
        <v>112</v>
      </c>
      <c r="E13" s="369">
        <f t="shared" ref="E13:G13" si="0">SUM(E11:E12)</f>
        <v>941.90065491805524</v>
      </c>
      <c r="F13" s="369">
        <f t="shared" si="0"/>
        <v>866.84552190125567</v>
      </c>
      <c r="G13" s="369">
        <f t="shared" si="0"/>
        <v>996.85876211475568</v>
      </c>
      <c r="H13" s="369">
        <f>SUM(H11:H12)</f>
        <v>924.17103244027589</v>
      </c>
      <c r="I13" s="369">
        <f t="shared" ref="I13" si="1">SUM(I11:I12)</f>
        <v>990.0144001272763</v>
      </c>
      <c r="J13" s="273"/>
    </row>
    <row r="14" spans="1:18" x14ac:dyDescent="0.5">
      <c r="M14" s="273"/>
    </row>
    <row r="15" spans="1:18" x14ac:dyDescent="0.5">
      <c r="A15" s="70">
        <f>IF(SUM(E15:Q15)&lt;&gt;0,1,0)</f>
        <v>0</v>
      </c>
      <c r="D15" s="12" t="s">
        <v>116</v>
      </c>
      <c r="E15" s="268">
        <v>0</v>
      </c>
      <c r="F15" s="268">
        <f>IF([11]Summary_RAB!$G$33/10^3*M11-F13&lt;&gt;0,1,0)</f>
        <v>0</v>
      </c>
      <c r="G15" s="268">
        <v>0</v>
      </c>
      <c r="H15" s="268">
        <f>IF(E60-H13&lt;&gt;0,1,0)</f>
        <v>0</v>
      </c>
      <c r="I15" s="268">
        <f>IF('[8]PTRM input summary'!$J$37-I13&lt;&gt;0,1,0)</f>
        <v>0</v>
      </c>
      <c r="J15" s="273"/>
      <c r="K15" s="474"/>
      <c r="M15" s="273"/>
      <c r="Q15" s="268">
        <f>IF(Q11-ROUND(H13/M12,2)&lt;&gt;0,1,0)</f>
        <v>0</v>
      </c>
    </row>
    <row r="17" spans="1:10" s="139" customFormat="1" x14ac:dyDescent="0.35">
      <c r="B17" s="139" t="s">
        <v>638</v>
      </c>
    </row>
    <row r="18" spans="1:10" ht="13.2" thickBot="1" x14ac:dyDescent="0.55000000000000004"/>
    <row r="19" spans="1:10" ht="13.2" thickBot="1" x14ac:dyDescent="0.55000000000000004">
      <c r="D19" s="146" t="s">
        <v>245</v>
      </c>
      <c r="E19" s="141" t="s">
        <v>236</v>
      </c>
      <c r="F19" s="141" t="s">
        <v>237</v>
      </c>
      <c r="G19" s="141" t="s">
        <v>238</v>
      </c>
      <c r="H19" s="141" t="s">
        <v>239</v>
      </c>
      <c r="I19" s="141" t="s">
        <v>240</v>
      </c>
      <c r="J19" s="284" t="s">
        <v>112</v>
      </c>
    </row>
    <row r="20" spans="1:10" ht="13.8" thickBot="1" x14ac:dyDescent="0.55000000000000004">
      <c r="D20" s="157" t="s">
        <v>320</v>
      </c>
      <c r="E20" s="179">
        <f>[2]Assets!G75</f>
        <v>47.073502677891611</v>
      </c>
      <c r="F20" s="179">
        <f>[2]Assets!H75</f>
        <v>52.282740771597233</v>
      </c>
      <c r="G20" s="179">
        <f>[2]Assets!I75</f>
        <v>54.051556435505866</v>
      </c>
      <c r="H20" s="179">
        <f>[2]Assets!J75</f>
        <v>58.283667340818525</v>
      </c>
      <c r="I20" s="179">
        <f>[2]Assets!K75</f>
        <v>61.109714140411135</v>
      </c>
      <c r="J20" s="179">
        <f>SUM(E20:I20)</f>
        <v>272.8011813662244</v>
      </c>
    </row>
    <row r="21" spans="1:10" ht="13.8" thickBot="1" x14ac:dyDescent="0.55000000000000004">
      <c r="D21" s="157" t="s">
        <v>321</v>
      </c>
      <c r="E21" s="179">
        <f>-[2]Assets!G471/[2]Assets!G7</f>
        <v>-23.047362667906757</v>
      </c>
      <c r="F21" s="179">
        <f>-[2]Assets!H471/[2]Assets!H7</f>
        <v>-24.232757498067141</v>
      </c>
      <c r="G21" s="179">
        <f>-[2]Assets!I471/[2]Assets!I7</f>
        <v>-24.745230233235269</v>
      </c>
      <c r="H21" s="179">
        <f>-[2]Assets!J471/[2]Assets!J7</f>
        <v>-25.751002149440435</v>
      </c>
      <c r="I21" s="179">
        <f>-[2]Assets!K471/[2]Assets!K7</f>
        <v>-25.909846133620235</v>
      </c>
      <c r="J21" s="179">
        <f t="shared" ref="J21:J22" si="2">SUM(E21:I21)</f>
        <v>-123.68619868226985</v>
      </c>
    </row>
    <row r="22" spans="1:10" ht="13.8" thickBot="1" x14ac:dyDescent="0.55000000000000004">
      <c r="D22" s="157" t="s">
        <v>322</v>
      </c>
      <c r="E22" s="179">
        <f>SUM(E20:E21)</f>
        <v>24.026140009984854</v>
      </c>
      <c r="F22" s="179">
        <f>SUM(F20:F21)</f>
        <v>28.049983273530092</v>
      </c>
      <c r="G22" s="179">
        <f>SUM(G20:G21)</f>
        <v>29.306326202270597</v>
      </c>
      <c r="H22" s="179">
        <f>SUM(H20:H21)</f>
        <v>32.532665191378086</v>
      </c>
      <c r="I22" s="179">
        <f>SUM(I20:I21)</f>
        <v>35.199868006790901</v>
      </c>
      <c r="J22" s="179">
        <f t="shared" si="2"/>
        <v>149.11498268395454</v>
      </c>
    </row>
    <row r="24" spans="1:10" x14ac:dyDescent="0.5">
      <c r="A24" s="70">
        <f>IF(SUM(E24:I24)&lt;&gt;0,1,0)</f>
        <v>0</v>
      </c>
      <c r="D24" s="12" t="s">
        <v>116</v>
      </c>
      <c r="E24" s="268">
        <f>IF(ROUND([2]Assets!G473/[2]Assets!G7-E22,2)&lt;&gt;0,1,0)</f>
        <v>0</v>
      </c>
      <c r="F24" s="268">
        <f>IF(ROUND([2]Assets!H473/[2]Assets!H7-F22,2)&lt;&gt;0,1,0)</f>
        <v>0</v>
      </c>
      <c r="G24" s="268">
        <f>IF(ROUND([2]Assets!I473/[2]Assets!I7-G22,2)&lt;&gt;0,1,0)</f>
        <v>0</v>
      </c>
      <c r="H24" s="268">
        <f>IF(ROUND([2]Assets!J473/[2]Assets!J7-H22,2)&lt;&gt;0,1,0)</f>
        <v>0</v>
      </c>
      <c r="I24" s="268">
        <f>IF(ROUND([2]Assets!K473/[2]Assets!K7-I22,2)&lt;&gt;0,1,0)</f>
        <v>0</v>
      </c>
    </row>
    <row r="26" spans="1:10" s="139" customFormat="1" x14ac:dyDescent="0.35">
      <c r="B26" s="139" t="s">
        <v>639</v>
      </c>
    </row>
    <row r="27" spans="1:10" ht="13.2" thickBot="1" x14ac:dyDescent="0.55000000000000004"/>
    <row r="28" spans="1:10" ht="13.2" thickBot="1" x14ac:dyDescent="0.55000000000000004">
      <c r="D28" s="229" t="s">
        <v>245</v>
      </c>
      <c r="E28" s="230" t="s">
        <v>325</v>
      </c>
      <c r="F28" s="230" t="s">
        <v>437</v>
      </c>
    </row>
    <row r="29" spans="1:10" ht="13.2" thickBot="1" x14ac:dyDescent="0.55000000000000004">
      <c r="D29" s="246" t="s">
        <v>97</v>
      </c>
      <c r="E29" s="247"/>
      <c r="F29" s="247"/>
    </row>
    <row r="30" spans="1:10" ht="13.8" thickBot="1" x14ac:dyDescent="0.55000000000000004">
      <c r="D30" s="231" t="s">
        <v>640</v>
      </c>
      <c r="E30" s="371">
        <f>'[8]Total RAB roll forward'!$G202*$M$12</f>
        <v>319.79882085391608</v>
      </c>
      <c r="F30" s="372" t="s">
        <v>641</v>
      </c>
    </row>
    <row r="31" spans="1:10" ht="13.8" thickBot="1" x14ac:dyDescent="0.55000000000000004">
      <c r="D31" s="231" t="s">
        <v>642</v>
      </c>
      <c r="E31" s="371">
        <f>'[8]Total RAB roll forward'!$G203*$M$12</f>
        <v>243.34876582349582</v>
      </c>
      <c r="F31" s="372" t="s">
        <v>1740</v>
      </c>
    </row>
    <row r="32" spans="1:10" ht="13.8" thickBot="1" x14ac:dyDescent="0.55000000000000004">
      <c r="D32" s="231" t="s">
        <v>643</v>
      </c>
      <c r="E32" s="371">
        <f>'[8]Total RAB roll forward'!$G204*$M$12</f>
        <v>181.5598807279562</v>
      </c>
      <c r="F32" s="372" t="s">
        <v>1741</v>
      </c>
    </row>
    <row r="33" spans="4:6" ht="13.8" thickBot="1" x14ac:dyDescent="0.55000000000000004">
      <c r="D33" s="231" t="s">
        <v>644</v>
      </c>
      <c r="E33" s="371">
        <f>'[8]Total RAB roll forward'!$G205*$M$12</f>
        <v>0.21411622404685657</v>
      </c>
      <c r="F33" s="372" t="s">
        <v>645</v>
      </c>
    </row>
    <row r="34" spans="4:6" ht="13.8" thickBot="1" x14ac:dyDescent="0.55000000000000004">
      <c r="D34" s="231" t="s">
        <v>646</v>
      </c>
      <c r="E34" s="371">
        <f>'[8]Total RAB roll forward'!$G206*$M$12</f>
        <v>88.873887724671803</v>
      </c>
      <c r="F34" s="372" t="s">
        <v>647</v>
      </c>
    </row>
    <row r="35" spans="4:6" ht="13.8" thickBot="1" x14ac:dyDescent="0.55000000000000004">
      <c r="D35" s="231" t="s">
        <v>648</v>
      </c>
      <c r="E35" s="371">
        <f>'[8]Total RAB roll forward'!$G207*$M$12</f>
        <v>16.223648058790967</v>
      </c>
      <c r="F35" s="372" t="s">
        <v>649</v>
      </c>
    </row>
    <row r="36" spans="4:6" ht="13.8" thickBot="1" x14ac:dyDescent="0.55000000000000004">
      <c r="D36" s="231" t="s">
        <v>650</v>
      </c>
      <c r="E36" s="371">
        <f>'[8]Total RAB roll forward'!$G208*$M$12</f>
        <v>10.362501366538924</v>
      </c>
      <c r="F36" s="372" t="s">
        <v>651</v>
      </c>
    </row>
    <row r="37" spans="4:6" ht="13.8" thickBot="1" x14ac:dyDescent="0.55000000000000004">
      <c r="D37" s="231" t="s">
        <v>652</v>
      </c>
      <c r="E37" s="371">
        <f>'[8]Total RAB roll forward'!$G209*$M$12</f>
        <v>1.5721204935088715</v>
      </c>
      <c r="F37" s="372" t="s">
        <v>653</v>
      </c>
    </row>
    <row r="38" spans="4:6" ht="13.8" thickBot="1" x14ac:dyDescent="0.55000000000000004">
      <c r="D38" s="231" t="s">
        <v>654</v>
      </c>
      <c r="E38" s="371">
        <f>'[8]Total RAB roll forward'!$G210*$M$12</f>
        <v>6.503139612978539</v>
      </c>
      <c r="F38" s="372" t="s">
        <v>655</v>
      </c>
    </row>
    <row r="39" spans="4:6" ht="13.8" thickBot="1" x14ac:dyDescent="0.55000000000000004">
      <c r="D39" s="231" t="s">
        <v>656</v>
      </c>
      <c r="E39" s="371">
        <f>'[8]Total RAB roll forward'!$G211*$M$12</f>
        <v>37.01554746809699</v>
      </c>
      <c r="F39" s="372" t="s">
        <v>936</v>
      </c>
    </row>
    <row r="40" spans="4:6" ht="13.8" thickBot="1" x14ac:dyDescent="0.55000000000000004">
      <c r="D40" s="231" t="s">
        <v>657</v>
      </c>
      <c r="E40" s="371">
        <f>'[8]Total RAB roll forward'!$G212*$M$12</f>
        <v>1.1854062140272492</v>
      </c>
      <c r="F40" s="372" t="s">
        <v>937</v>
      </c>
    </row>
    <row r="41" spans="4:6" ht="13.8" thickBot="1" x14ac:dyDescent="0.55000000000000004">
      <c r="D41" s="231" t="s">
        <v>658</v>
      </c>
      <c r="E41" s="371">
        <f>'[8]Total RAB roll forward'!$G213*$M$12</f>
        <v>0.67945173724592078</v>
      </c>
      <c r="F41" s="372" t="s">
        <v>938</v>
      </c>
    </row>
    <row r="42" spans="4:6" ht="13.8" thickBot="1" x14ac:dyDescent="0.55000000000000004">
      <c r="D42" s="231" t="s">
        <v>659</v>
      </c>
      <c r="E42" s="371">
        <f>'[8]Total RAB roll forward'!$G214*$M$12</f>
        <v>5.7352509120617706E-2</v>
      </c>
      <c r="F42" s="372" t="s">
        <v>939</v>
      </c>
    </row>
    <row r="43" spans="4:6" ht="13.8" thickBot="1" x14ac:dyDescent="0.55000000000000004">
      <c r="D43" s="231" t="s">
        <v>660</v>
      </c>
      <c r="E43" s="371">
        <f>'[8]Total RAB roll forward'!$G215*$M$12</f>
        <v>8.7164119770775095</v>
      </c>
      <c r="F43" s="372" t="s">
        <v>940</v>
      </c>
    </row>
    <row r="44" spans="4:6" ht="13.2" thickBot="1" x14ac:dyDescent="0.55000000000000004">
      <c r="D44" s="248" t="s">
        <v>661</v>
      </c>
      <c r="E44" s="373">
        <f>SUM(E30:E43)</f>
        <v>916.11105079147251</v>
      </c>
      <c r="F44" s="374"/>
    </row>
    <row r="45" spans="4:6" ht="13.2" thickBot="1" x14ac:dyDescent="0.55000000000000004">
      <c r="D45" s="246" t="s">
        <v>637</v>
      </c>
      <c r="E45" s="247"/>
      <c r="F45" s="250"/>
    </row>
    <row r="46" spans="4:6" ht="13.8" thickBot="1" x14ac:dyDescent="0.55000000000000004">
      <c r="D46" s="231" t="s">
        <v>662</v>
      </c>
      <c r="E46" s="371">
        <f>'[8]Total RAB roll forward'!$G216*$M$12</f>
        <v>4.3210812043555835</v>
      </c>
      <c r="F46" s="372" t="s">
        <v>663</v>
      </c>
    </row>
    <row r="47" spans="4:6" ht="13.8" thickBot="1" x14ac:dyDescent="0.55000000000000004">
      <c r="D47" s="231" t="s">
        <v>664</v>
      </c>
      <c r="E47" s="371">
        <f>'[8]Total RAB roll forward'!$G217*$M$12</f>
        <v>3.7389004444477871</v>
      </c>
      <c r="F47" s="372" t="s">
        <v>665</v>
      </c>
    </row>
    <row r="48" spans="4:6" ht="13.8" thickBot="1" x14ac:dyDescent="0.55000000000000004">
      <c r="D48" s="231" t="s">
        <v>666</v>
      </c>
      <c r="E48" s="371">
        <f>'[8]Total RAB roll forward'!$G218*$M$12</f>
        <v>0</v>
      </c>
      <c r="F48" s="372" t="s">
        <v>941</v>
      </c>
    </row>
    <row r="49" spans="1:10" ht="13.8" thickBot="1" x14ac:dyDescent="0.55000000000000004">
      <c r="D49" s="231" t="s">
        <v>668</v>
      </c>
      <c r="E49" s="371">
        <f>'[8]Total RAB roll forward'!$G219*$M$12</f>
        <v>0</v>
      </c>
      <c r="F49" s="372" t="s">
        <v>667</v>
      </c>
    </row>
    <row r="50" spans="1:10" ht="13.8" thickBot="1" x14ac:dyDescent="0.55000000000000004">
      <c r="D50" s="231" t="s">
        <v>670</v>
      </c>
      <c r="E50" s="371">
        <f>'[8]Total RAB roll forward'!$G220*$M$12</f>
        <v>0</v>
      </c>
      <c r="F50" s="372" t="s">
        <v>669</v>
      </c>
    </row>
    <row r="51" spans="1:10" ht="13.8" thickBot="1" x14ac:dyDescent="0.55000000000000004">
      <c r="D51" s="231" t="s">
        <v>672</v>
      </c>
      <c r="E51" s="371">
        <f>'[8]Total RAB roll forward'!$G221*$M$12</f>
        <v>0</v>
      </c>
      <c r="F51" s="372" t="s">
        <v>671</v>
      </c>
    </row>
    <row r="52" spans="1:10" ht="13.2" thickBot="1" x14ac:dyDescent="0.55000000000000004">
      <c r="D52" s="248" t="s">
        <v>661</v>
      </c>
      <c r="E52" s="373">
        <f>SUM(E46:E51)</f>
        <v>8.0599816488033706</v>
      </c>
      <c r="F52" s="249"/>
    </row>
    <row r="53" spans="1:10" ht="13.2" thickBot="1" x14ac:dyDescent="0.55000000000000004">
      <c r="D53" s="251" t="s">
        <v>112</v>
      </c>
      <c r="E53" s="375">
        <f>E44+E52</f>
        <v>924.17103244027589</v>
      </c>
      <c r="F53" s="252"/>
    </row>
    <row r="55" spans="1:10" x14ac:dyDescent="0.5">
      <c r="A55" s="70">
        <f>IF(SUM(E55:I55)&lt;&gt;0,1,0)</f>
        <v>0</v>
      </c>
      <c r="D55" s="12" t="s">
        <v>116</v>
      </c>
      <c r="E55" s="268">
        <f>IF(ROUND(H13-E53,2)&lt;&gt;0,1,0)</f>
        <v>0</v>
      </c>
      <c r="F55" s="268"/>
      <c r="G55" s="268"/>
      <c r="H55" s="268"/>
      <c r="I55" s="268"/>
    </row>
    <row r="57" spans="1:10" s="139" customFormat="1" x14ac:dyDescent="0.35">
      <c r="B57" s="139" t="s">
        <v>827</v>
      </c>
    </row>
    <row r="58" spans="1:10" ht="13.2" thickBot="1" x14ac:dyDescent="0.55000000000000004"/>
    <row r="59" spans="1:10" ht="13.2" thickBot="1" x14ac:dyDescent="0.55000000000000004">
      <c r="D59" s="146" t="s">
        <v>245</v>
      </c>
      <c r="E59" s="141" t="s">
        <v>246</v>
      </c>
      <c r="F59" s="141" t="s">
        <v>247</v>
      </c>
      <c r="G59" s="141" t="s">
        <v>248</v>
      </c>
      <c r="H59" s="141" t="s">
        <v>249</v>
      </c>
      <c r="I59" s="141" t="s">
        <v>250</v>
      </c>
    </row>
    <row r="60" spans="1:10" ht="13.8" thickBot="1" x14ac:dyDescent="0.55000000000000004">
      <c r="D60" s="149" t="s">
        <v>313</v>
      </c>
      <c r="E60" s="177">
        <f>'[8]Total RAB roll forward'!H7/('[8]RAB roll forward'!H7/'[8]RAB roll forward'!$L$7)</f>
        <v>924.17103244027589</v>
      </c>
      <c r="F60" s="177">
        <f>'[8]Total RAB roll forward'!I7/('[8]RAB roll forward'!I7/'[8]RAB roll forward'!$L$7)</f>
        <v>955.32486137575881</v>
      </c>
      <c r="G60" s="177">
        <f>'[8]Total RAB roll forward'!J7/('[8]RAB roll forward'!J7/'[8]RAB roll forward'!$L$7)</f>
        <v>971.70475804918794</v>
      </c>
      <c r="H60" s="177">
        <f>'[8]Total RAB roll forward'!K7/('[8]RAB roll forward'!K7/'[8]RAB roll forward'!$L$7)</f>
        <v>972.40575857421015</v>
      </c>
      <c r="I60" s="177">
        <f>'[8]Total RAB roll forward'!L7/('[8]RAB roll forward'!L7/'[8]RAB roll forward'!$L$7)</f>
        <v>963.25942144525368</v>
      </c>
    </row>
    <row r="61" spans="1:10" ht="13.8" thickBot="1" x14ac:dyDescent="0.55000000000000004">
      <c r="D61" s="149" t="s">
        <v>314</v>
      </c>
      <c r="E61" s="277">
        <f>'[8]RAB roll forward'!H663/('[8]RAB roll forward'!H7/'[8]RAB roll forward'!$L$7)</f>
        <v>12.275516559927677</v>
      </c>
      <c r="F61" s="277">
        <f>'[8]RAB roll forward'!I663/('[8]RAB roll forward'!I7/'[8]RAB roll forward'!$L$7)</f>
        <v>12.522985074214203</v>
      </c>
      <c r="G61" s="277">
        <f>'[8]RAB roll forward'!J663/('[8]RAB roll forward'!J7/'[8]RAB roll forward'!$L$7)</f>
        <v>20.655461585149038</v>
      </c>
      <c r="H61" s="277">
        <f>'[8]RAB roll forward'!K663/('[8]RAB roll forward'!K7/'[8]RAB roll forward'!$L$7)</f>
        <v>23.579620808122375</v>
      </c>
      <c r="I61" s="277">
        <f>'[8]RAB roll forward'!L663/('[8]RAB roll forward'!L7/'[8]RAB roll forward'!$L$7)</f>
        <v>23.357833596989167</v>
      </c>
    </row>
    <row r="62" spans="1:10" ht="13.8" thickBot="1" x14ac:dyDescent="0.55000000000000004">
      <c r="D62" s="149" t="s">
        <v>315</v>
      </c>
      <c r="E62" s="277">
        <f>'[8]RFM input'!H71*(1+'[8]RFM input'!H189)^0.5/('[8]RAB roll forward'!H7/'[8]RAB roll forward'!$L$7)-E63</f>
        <v>97.370904953507107</v>
      </c>
      <c r="F62" s="277">
        <f>'[8]RFM input'!I71*(1+'[8]RFM input'!I189)^0.5/('[8]RAB roll forward'!I7/'[8]RAB roll forward'!$L$7)-F63</f>
        <v>85.513776917679934</v>
      </c>
      <c r="G62" s="277">
        <f>'[8]RFM input'!J71*(1+'[8]RFM input'!J189)^0.5/('[8]RAB roll forward'!J7/'[8]RAB roll forward'!$L$7)-G63</f>
        <v>63.978326242096088</v>
      </c>
      <c r="H62" s="277">
        <f>'[8]RFM input'!K71*(1+'[8]RFM input'!K189)^0.5/('[8]RAB roll forward'!K7/'[8]RAB roll forward'!$L$7)-H63</f>
        <v>55.452473591923308</v>
      </c>
      <c r="I62" s="277">
        <f>'[8]RFM input'!L71*(1+'[8]RFM input'!L189)^0.5/('[8]RAB roll forward'!L7/'[8]RAB roll forward'!$L$7)-I63</f>
        <v>77.897302778875272</v>
      </c>
      <c r="J62" s="273"/>
    </row>
    <row r="63" spans="1:10" ht="13.8" thickBot="1" x14ac:dyDescent="0.55000000000000004">
      <c r="D63" s="149" t="s">
        <v>316</v>
      </c>
      <c r="E63" s="277">
        <f>'[8]RFM input'!H70*(1+'[8]RFM input'!H189)^0.5/('[8]RAB roll forward'!H7/'[8]RAB roll forward'!$L$7)</f>
        <v>0</v>
      </c>
      <c r="F63" s="277">
        <f>'[8]RFM input'!I70*(1+'[8]RFM input'!I189)^0.5/('[8]RAB roll forward'!I7/'[8]RAB roll forward'!$L$7)</f>
        <v>0</v>
      </c>
      <c r="G63" s="277">
        <f>'[8]RFM input'!J70*(1+'[8]RFM input'!J189)^0.5/('[8]RAB roll forward'!J7/'[8]RAB roll forward'!$L$7)</f>
        <v>0</v>
      </c>
      <c r="H63" s="277">
        <f>'[8]RFM input'!K70*(1+'[8]RFM input'!K189)^0.5/('[8]RAB roll forward'!K7/'[8]RAB roll forward'!$L$7)</f>
        <v>0</v>
      </c>
      <c r="I63" s="277">
        <f>'[8]RFM input'!L70*(1+'[8]RFM input'!L189)^0.5/('[8]RAB roll forward'!L7/'[8]RAB roll forward'!$L$7)</f>
        <v>0</v>
      </c>
    </row>
    <row r="64" spans="1:10" ht="13.8" thickBot="1" x14ac:dyDescent="0.55000000000000004">
      <c r="D64" s="149" t="s">
        <v>317</v>
      </c>
      <c r="E64" s="277">
        <f>-'[8]RFM input'!H139*(1+'[8]RFM input'!H189)^0.5/('[8]RAB roll forward'!H7/'[8]RAB roll forward'!$L$7)</f>
        <v>-10.105479977783144</v>
      </c>
      <c r="F64" s="277">
        <f>-'[8]RFM input'!I139*(1+'[8]RFM input'!I189)^0.5/('[8]RAB roll forward'!I7/'[8]RAB roll forward'!$L$7)</f>
        <v>-10.785751050361593</v>
      </c>
      <c r="G64" s="277">
        <f>-'[8]RFM input'!J139*(1+'[8]RFM input'!J189)^0.5/('[8]RAB roll forward'!J7/'[8]RAB roll forward'!$L$7)</f>
        <v>-10.116509403490669</v>
      </c>
      <c r="H64" s="277">
        <f>-'[8]RFM input'!K139*(1+'[8]RFM input'!K189)^0.5/('[8]RAB roll forward'!K7/'[8]RAB roll forward'!$L$7)</f>
        <v>-11.364155923419487</v>
      </c>
      <c r="I64" s="277">
        <f>-'[8]RFM input'!L139*(1+'[8]RFM input'!L189)^0.5/('[8]RAB roll forward'!L7/'[8]RAB roll forward'!$L$7)</f>
        <v>-11.854153640195078</v>
      </c>
    </row>
    <row r="65" spans="1:12" ht="13.8" thickBot="1" x14ac:dyDescent="0.55000000000000004">
      <c r="D65" s="149" t="s">
        <v>823</v>
      </c>
      <c r="E65" s="277">
        <f>'[8]RAB roll forward'!H631/('[8]RAB roll forward'!H7/'[8]RAB roll forward'!$L$7)</f>
        <v>-55.570139964597146</v>
      </c>
      <c r="F65" s="277">
        <f>'[8]RAB roll forward'!I631/('[8]RAB roll forward'!I7/'[8]RAB roll forward'!$L$7)</f>
        <v>-58.00581495915835</v>
      </c>
      <c r="G65" s="277">
        <f>'[8]RAB roll forward'!J631/('[8]RAB roll forward'!J7/'[8]RAB roll forward'!$L$7)</f>
        <v>-52.83127690244649</v>
      </c>
      <c r="H65" s="277">
        <f>'[8]RAB roll forward'!K631/('[8]RAB roll forward'!K7/'[8]RAB roll forward'!$L$7)</f>
        <v>-53.456442008593804</v>
      </c>
      <c r="I65" s="277">
        <f>'[8]RAB roll forward'!L631/('[8]RAB roll forward'!L7/'[8]RAB roll forward'!$L$7)</f>
        <v>-54.664472400856887</v>
      </c>
    </row>
    <row r="66" spans="1:12" ht="13.8" thickBot="1" x14ac:dyDescent="0.55000000000000004">
      <c r="D66" s="149" t="s">
        <v>318</v>
      </c>
      <c r="E66" s="277">
        <f>-'[8]RFM input'!H105*(1+'[8]RFM input'!H189)^0.5/('[8]RAB roll forward'!H7/'[8]RAB roll forward'!$L$7)</f>
        <v>-0.12764810116854822</v>
      </c>
      <c r="F66" s="277">
        <f>-'[8]RFM input'!I105*(1+'[8]RFM input'!I189)^0.5/('[8]RAB roll forward'!I7/'[8]RAB roll forward'!$L$7)</f>
        <v>-0.12759648807511406</v>
      </c>
      <c r="G66" s="277">
        <f>-'[8]RFM input'!J105*(1+'[8]RFM input'!J189)^0.5/('[8]RAB roll forward'!J7/'[8]RAB roll forward'!$L$7)</f>
        <v>-0.31463829091915663</v>
      </c>
      <c r="H66" s="277">
        <f>-'[8]RFM input'!K105*(1+'[8]RFM input'!K189)^0.5/('[8]RAB roll forward'!K7/'[8]RAB roll forward'!$L$7)</f>
        <v>0</v>
      </c>
      <c r="I66" s="277">
        <f>-'[8]RFM input'!L105*(1+'[8]RFM input'!L189)^0.5/('[8]RAB roll forward'!L7/'[8]RAB roll forward'!$L$7)</f>
        <v>0</v>
      </c>
    </row>
    <row r="67" spans="1:12" ht="13.8" thickBot="1" x14ac:dyDescent="0.55000000000000004">
      <c r="D67" s="149" t="s">
        <v>826</v>
      </c>
      <c r="E67" s="277">
        <f>('[8]Total RAB roll forward'!H233+'[8]Total RAB roll forward'!H265+'[8]Total RAB roll forward'!H297)/('[8]RAB roll forward'!H7/'[8]RAB roll forward'!$L$7)</f>
        <v>0</v>
      </c>
      <c r="F67" s="277">
        <f>('[8]Total RAB roll forward'!I233+'[8]Total RAB roll forward'!I265+'[8]Total RAB roll forward'!I297)/('[8]RAB roll forward'!I7/'[8]RAB roll forward'!$L$7)</f>
        <v>0</v>
      </c>
      <c r="G67" s="277">
        <f>('[8]Total RAB roll forward'!J233+'[8]Total RAB roll forward'!J265+'[8]Total RAB roll forward'!J297)/('[8]RAB roll forward'!J7/'[8]RAB roll forward'!$L$7)</f>
        <v>0</v>
      </c>
      <c r="H67" s="277">
        <f>('[8]Total RAB roll forward'!K233+'[8]Total RAB roll forward'!K265+'[8]Total RAB roll forward'!K297)/('[8]RAB roll forward'!K7/'[8]RAB roll forward'!$L$7)</f>
        <v>0</v>
      </c>
      <c r="I67" s="277">
        <f>('[8]Total RAB roll forward'!L233+'[8]Total RAB roll forward'!L265+'[8]Total RAB roll forward'!L297)/('[8]RAB roll forward'!L7/'[8]RAB roll forward'!$L$7)</f>
        <v>-7.9815316527899531</v>
      </c>
      <c r="L67" s="273"/>
    </row>
    <row r="68" spans="1:12" ht="13.8" thickBot="1" x14ac:dyDescent="0.55000000000000004">
      <c r="D68" s="149" t="s">
        <v>319</v>
      </c>
      <c r="E68" s="177">
        <f t="shared" ref="E68:H68" si="3">SUM(E60:E67)</f>
        <v>968.01418591016193</v>
      </c>
      <c r="F68" s="177">
        <f t="shared" si="3"/>
        <v>984.44246087005797</v>
      </c>
      <c r="G68" s="177">
        <f t="shared" si="3"/>
        <v>993.0761212795768</v>
      </c>
      <c r="H68" s="177">
        <f t="shared" si="3"/>
        <v>986.61725504224239</v>
      </c>
      <c r="I68" s="177">
        <f>SUM(I60:I67)</f>
        <v>990.01440012727619</v>
      </c>
    </row>
    <row r="70" spans="1:12" x14ac:dyDescent="0.5">
      <c r="A70" s="70">
        <f>IF(SUM(E70:I70)&lt;&gt;0,1,0)</f>
        <v>0</v>
      </c>
      <c r="D70" s="12" t="s">
        <v>116</v>
      </c>
      <c r="E70" s="268">
        <f>IF(ROUND('[8]Total RAB roll forward'!H201*'[8]RAB roll forward'!$L$7/'[8]RAB roll forward'!H7-E68,2)&lt;&gt;0,1,0)</f>
        <v>0</v>
      </c>
      <c r="F70" s="268">
        <f>IF(ROUND('[8]Total RAB roll forward'!I201*'[8]RAB roll forward'!$L$7/'[8]RAB roll forward'!I7-F68,2)&lt;&gt;0,1,0)</f>
        <v>0</v>
      </c>
      <c r="G70" s="268">
        <f>IF(ROUND('[8]Total RAB roll forward'!J201*'[8]RAB roll forward'!$L$7/'[8]RAB roll forward'!J7-G68,2)&lt;&gt;0,1,0)</f>
        <v>0</v>
      </c>
      <c r="H70" s="268">
        <f>IF(ROUND('[8]Total RAB roll forward'!K201*'[8]RAB roll forward'!$L$7/'[8]RAB roll forward'!K7-H68,2)&lt;&gt;0,1,0)</f>
        <v>0</v>
      </c>
      <c r="I70" s="268">
        <f>IF(ROUND('[8]Total RAB roll forward'!L329*'[8]RAB roll forward'!$L$7/'[8]RAB roll forward'!L7-I68,2)&lt;&gt;0,1,0)</f>
        <v>0</v>
      </c>
    </row>
    <row r="71" spans="1:12" x14ac:dyDescent="0.5">
      <c r="E71" s="273"/>
      <c r="F71" s="273"/>
      <c r="G71" s="273"/>
      <c r="H71" s="273"/>
      <c r="I71" s="273"/>
    </row>
    <row r="72" spans="1:12" s="139" customFormat="1" x14ac:dyDescent="0.35">
      <c r="B72" s="139" t="s">
        <v>674</v>
      </c>
    </row>
    <row r="73" spans="1:12" ht="13.2" thickBot="1" x14ac:dyDescent="0.55000000000000004">
      <c r="E73" s="273"/>
      <c r="F73" s="273"/>
      <c r="G73" s="273"/>
      <c r="H73" s="273"/>
      <c r="I73" s="273"/>
    </row>
    <row r="74" spans="1:12" ht="13.2" thickBot="1" x14ac:dyDescent="0.55000000000000004">
      <c r="D74" s="146" t="s">
        <v>245</v>
      </c>
      <c r="E74" s="141" t="s">
        <v>236</v>
      </c>
      <c r="F74" s="141" t="s">
        <v>237</v>
      </c>
      <c r="G74" s="141" t="s">
        <v>238</v>
      </c>
      <c r="H74" s="141" t="s">
        <v>239</v>
      </c>
      <c r="I74" s="141" t="s">
        <v>240</v>
      </c>
    </row>
    <row r="75" spans="1:12" ht="13.8" thickBot="1" x14ac:dyDescent="0.55000000000000004">
      <c r="D75" s="149" t="s">
        <v>313</v>
      </c>
      <c r="E75" s="179">
        <f>[2]Assets!G467</f>
        <v>973.50319741571764</v>
      </c>
      <c r="F75" s="179">
        <f>[2]Assets!H467</f>
        <v>1023.5733800213877</v>
      </c>
      <c r="G75" s="179">
        <f>[2]Assets!I467</f>
        <v>1045.2198414175655</v>
      </c>
      <c r="H75" s="179">
        <f>[2]Assets!J467</f>
        <v>1087.7028877602206</v>
      </c>
      <c r="I75" s="179">
        <f>[2]Assets!K467</f>
        <v>1094.4123377184414</v>
      </c>
    </row>
    <row r="76" spans="1:12" ht="13.8" thickBot="1" x14ac:dyDescent="0.55000000000000004">
      <c r="D76" s="149" t="s">
        <v>315</v>
      </c>
      <c r="E76" s="181">
        <f>'[2]PTRM input'!G71</f>
        <v>107.86020423830735</v>
      </c>
      <c r="F76" s="181">
        <f>'[2]PTRM input'!H71</f>
        <v>85.83802435125088</v>
      </c>
      <c r="G76" s="181">
        <f>'[2]PTRM input'!I71</f>
        <v>108.18031417197173</v>
      </c>
      <c r="H76" s="181">
        <f>'[2]PTRM input'!J71</f>
        <v>75.193635822841031</v>
      </c>
      <c r="I76" s="181">
        <f>'[2]PTRM input'!K71</f>
        <v>69.804533180258048</v>
      </c>
    </row>
    <row r="77" spans="1:12" ht="13.8" thickBot="1" x14ac:dyDescent="0.55000000000000004">
      <c r="D77" s="149" t="s">
        <v>317</v>
      </c>
      <c r="E77" s="181">
        <f>-'[2]PTRM input'!G139</f>
        <v>-12.647893670135224</v>
      </c>
      <c r="F77" s="181">
        <f>-'[2]PTRM input'!H139</f>
        <v>-13.378655156962431</v>
      </c>
      <c r="G77" s="181">
        <f>-'[2]PTRM input'!I139</f>
        <v>-13.564976556766926</v>
      </c>
      <c r="H77" s="181">
        <f>-'[2]PTRM input'!J139</f>
        <v>-11.49268757276556</v>
      </c>
      <c r="I77" s="181">
        <f>-'[2]PTRM input'!K139</f>
        <v>-11.589754799327023</v>
      </c>
    </row>
    <row r="78" spans="1:12" ht="13.8" thickBot="1" x14ac:dyDescent="0.55000000000000004">
      <c r="D78" s="149" t="s">
        <v>318</v>
      </c>
      <c r="E78" s="181">
        <f>-'[2]PTRM input'!G105</f>
        <v>0</v>
      </c>
      <c r="F78" s="181">
        <f>-'[2]PTRM input'!H105</f>
        <v>0</v>
      </c>
      <c r="G78" s="181">
        <f>-'[2]PTRM input'!I105</f>
        <v>0</v>
      </c>
      <c r="H78" s="181">
        <f>-'[2]PTRM input'!J105</f>
        <v>0</v>
      </c>
      <c r="I78" s="181">
        <f>-'[2]PTRM input'!K105</f>
        <v>0</v>
      </c>
    </row>
    <row r="79" spans="1:12" ht="13.8" thickBot="1" x14ac:dyDescent="0.55000000000000004">
      <c r="D79" s="149" t="s">
        <v>316</v>
      </c>
      <c r="E79" s="181">
        <f>SUM(E76:E78)*((1+[2]WACC!G$19)^0.5-1)</f>
        <v>1.9313747153896135</v>
      </c>
      <c r="F79" s="181">
        <f>SUM(F76:F78)*((1+[2]WACC!H$19)^0.5-1)</f>
        <v>1.4698329734864291</v>
      </c>
      <c r="G79" s="181">
        <f>SUM(G76:G78)*((1+[2]WACC!I$19)^0.5-1)</f>
        <v>1.9192651629561912</v>
      </c>
      <c r="H79" s="181">
        <f>SUM(H76:H78)*((1+[2]WACC!J$19)^0.5-1)</f>
        <v>1.2921690489639792</v>
      </c>
      <c r="I79" s="181">
        <f>SUM(I76:I78)*((1+[2]WACC!K$19)^0.5-1)</f>
        <v>1.1808824967695413</v>
      </c>
    </row>
    <row r="80" spans="1:12" ht="13.8" thickBot="1" x14ac:dyDescent="0.55000000000000004">
      <c r="D80" s="275" t="s">
        <v>823</v>
      </c>
      <c r="E80" s="181">
        <f>-[2]Assets!G472/[2]Assets!G7</f>
        <v>-47.073502677891611</v>
      </c>
      <c r="F80" s="181">
        <f>-[2]Assets!H472/[2]Assets!H7</f>
        <v>-52.282740771597233</v>
      </c>
      <c r="G80" s="181">
        <f>-[2]Assets!I472/[2]Assets!I7</f>
        <v>-54.051556435505866</v>
      </c>
      <c r="H80" s="181">
        <f>-[2]Assets!J472/[2]Assets!J7</f>
        <v>-58.283667340818525</v>
      </c>
      <c r="I80" s="181">
        <f>-[2]Assets!K472/[2]Assets!K7</f>
        <v>-61.109714140411135</v>
      </c>
    </row>
    <row r="81" spans="1:9" ht="13.8" thickBot="1" x14ac:dyDescent="0.55000000000000004">
      <c r="D81" s="149" t="s">
        <v>319</v>
      </c>
      <c r="E81" s="181">
        <f>SUM(E75:E80)</f>
        <v>1023.5733800213877</v>
      </c>
      <c r="F81" s="181">
        <f>SUM(F75:F80)</f>
        <v>1045.2198414175655</v>
      </c>
      <c r="G81" s="181">
        <f>SUM(G75:G80)</f>
        <v>1087.7028877602206</v>
      </c>
      <c r="H81" s="181">
        <f>SUM(H75:H80)</f>
        <v>1094.4123377184417</v>
      </c>
      <c r="I81" s="181">
        <f>SUM(I75:I80)</f>
        <v>1092.6982844557308</v>
      </c>
    </row>
    <row r="82" spans="1:9" ht="13.5" x14ac:dyDescent="0.5">
      <c r="D82" s="183"/>
      <c r="E82" s="182"/>
      <c r="F82" s="182"/>
      <c r="G82" s="182"/>
      <c r="H82" s="182"/>
      <c r="I82" s="182"/>
    </row>
    <row r="83" spans="1:9" x14ac:dyDescent="0.5">
      <c r="A83" s="70">
        <f>IF(SUM(E83:I83)&lt;&gt;0,1,0)</f>
        <v>0</v>
      </c>
      <c r="D83" s="12" t="s">
        <v>116</v>
      </c>
      <c r="E83" s="268">
        <f>IF(ROUND([2]Assets!G466-E81,2)&lt;&gt;0,1,0)</f>
        <v>0</v>
      </c>
      <c r="F83" s="268">
        <f>IF(ROUND([2]Assets!H466-F81,2)&lt;&gt;0,1,0)</f>
        <v>0</v>
      </c>
      <c r="G83" s="268">
        <f>IF(ROUND([2]Assets!I466-G81,2)&lt;&gt;0,1,0)</f>
        <v>0</v>
      </c>
      <c r="H83" s="268">
        <f>IF(ROUND([2]Assets!J466-H81,2)&lt;&gt;0,1,0)</f>
        <v>0</v>
      </c>
      <c r="I83" s="268">
        <f>IF(ROUND([2]Assets!K466-I81,2)&lt;&gt;0,1,0)</f>
        <v>0</v>
      </c>
    </row>
    <row r="84" spans="1:9" ht="13.5" x14ac:dyDescent="0.5">
      <c r="D84" s="180"/>
      <c r="E84" s="182"/>
      <c r="F84" s="182"/>
      <c r="G84" s="182"/>
      <c r="H84" s="182"/>
      <c r="I84" s="182"/>
    </row>
    <row r="85" spans="1:9" s="139" customFormat="1" x14ac:dyDescent="0.35">
      <c r="B85" s="139" t="s">
        <v>675</v>
      </c>
    </row>
    <row r="86" spans="1:9" ht="13.2" thickBot="1" x14ac:dyDescent="0.55000000000000004"/>
    <row r="87" spans="1:9" ht="13.2" thickBot="1" x14ac:dyDescent="0.55000000000000004">
      <c r="D87" s="146" t="str">
        <f t="shared" ref="D87:I87" si="4">D19</f>
        <v>$M, Real 2018-19</v>
      </c>
      <c r="E87" s="197" t="str">
        <f t="shared" si="4"/>
        <v>2019-20</v>
      </c>
      <c r="F87" s="197" t="str">
        <f t="shared" si="4"/>
        <v>2020-21</v>
      </c>
      <c r="G87" s="197" t="str">
        <f t="shared" si="4"/>
        <v>2021-22</v>
      </c>
      <c r="H87" s="197" t="str">
        <f t="shared" si="4"/>
        <v>2022-23</v>
      </c>
      <c r="I87" s="197" t="str">
        <f t="shared" si="4"/>
        <v>2023-24</v>
      </c>
    </row>
    <row r="88" spans="1:9" ht="13.8" thickBot="1" x14ac:dyDescent="0.55000000000000004">
      <c r="D88" s="157" t="str">
        <f>D20</f>
        <v xml:space="preserve">Real straight-line depreciation </v>
      </c>
      <c r="E88" s="179">
        <f t="shared" ref="E88:I88" si="5">E20</f>
        <v>47.073502677891611</v>
      </c>
      <c r="F88" s="179">
        <f t="shared" si="5"/>
        <v>52.282740771597233</v>
      </c>
      <c r="G88" s="179">
        <f t="shared" si="5"/>
        <v>54.051556435505866</v>
      </c>
      <c r="H88" s="179">
        <f t="shared" si="5"/>
        <v>58.283667340818525</v>
      </c>
      <c r="I88" s="179">
        <f t="shared" si="5"/>
        <v>61.109714140411135</v>
      </c>
    </row>
    <row r="89" spans="1:9" ht="13.8" thickBot="1" x14ac:dyDescent="0.55000000000000004">
      <c r="D89" s="157" t="str">
        <f t="shared" ref="D89:I89" si="6">D21</f>
        <v>Less indexation of RAB</v>
      </c>
      <c r="E89" s="179">
        <f t="shared" si="6"/>
        <v>-23.047362667906757</v>
      </c>
      <c r="F89" s="179">
        <f t="shared" si="6"/>
        <v>-24.232757498067141</v>
      </c>
      <c r="G89" s="179">
        <f t="shared" si="6"/>
        <v>-24.745230233235269</v>
      </c>
      <c r="H89" s="179">
        <f t="shared" si="6"/>
        <v>-25.751002149440435</v>
      </c>
      <c r="I89" s="179">
        <f t="shared" si="6"/>
        <v>-25.909846133620235</v>
      </c>
    </row>
    <row r="90" spans="1:9" ht="13.8" thickBot="1" x14ac:dyDescent="0.55000000000000004">
      <c r="D90" s="157" t="str">
        <f t="shared" ref="D90:I90" si="7">D22</f>
        <v>Regulatory depreciation</v>
      </c>
      <c r="E90" s="179">
        <f t="shared" si="7"/>
        <v>24.026140009984854</v>
      </c>
      <c r="F90" s="179">
        <f t="shared" si="7"/>
        <v>28.049983273530092</v>
      </c>
      <c r="G90" s="179">
        <f t="shared" si="7"/>
        <v>29.306326202270597</v>
      </c>
      <c r="H90" s="179">
        <f t="shared" si="7"/>
        <v>32.532665191378086</v>
      </c>
      <c r="I90" s="179">
        <f t="shared" si="7"/>
        <v>35.199868006790901</v>
      </c>
    </row>
    <row r="91" spans="1:9" ht="13.5" x14ac:dyDescent="0.5">
      <c r="D91" s="183"/>
      <c r="E91" s="182"/>
      <c r="F91" s="182"/>
      <c r="G91" s="182"/>
      <c r="H91" s="182"/>
      <c r="I91" s="182"/>
    </row>
    <row r="92" spans="1:9" x14ac:dyDescent="0.5">
      <c r="A92" s="70">
        <f>IF(SUM(E92:I92)&lt;&gt;0,1,0)</f>
        <v>0</v>
      </c>
      <c r="D92" s="12" t="s">
        <v>116</v>
      </c>
      <c r="E92" s="268">
        <f>IF(ROUND('[2]Revenue summary'!G31-E90,2)&lt;&gt;0,1,0)</f>
        <v>0</v>
      </c>
      <c r="F92" s="268">
        <f>IF(ROUND('[2]Revenue summary'!H31-F90,2)&lt;&gt;0,1,0)</f>
        <v>0</v>
      </c>
      <c r="G92" s="268">
        <f>IF(ROUND('[2]Revenue summary'!I31-G90,2)&lt;&gt;0,1,0)</f>
        <v>0</v>
      </c>
      <c r="H92" s="268">
        <f>IF(ROUND('[2]Revenue summary'!J31-H90,2)&lt;&gt;0,1,0)</f>
        <v>0</v>
      </c>
      <c r="I92" s="268">
        <f>IF(ROUND('[2]Revenue summary'!K31-I90,2)&lt;&gt;0,1,0)</f>
        <v>0</v>
      </c>
    </row>
    <row r="94" spans="1:9" s="139" customFormat="1" x14ac:dyDescent="0.35">
      <c r="B94" s="139" t="s">
        <v>32</v>
      </c>
    </row>
  </sheetData>
  <mergeCells count="5">
    <mergeCell ref="D8:D10"/>
    <mergeCell ref="E8:F8"/>
    <mergeCell ref="E9:F9"/>
    <mergeCell ref="G8:H8"/>
    <mergeCell ref="G9:H9"/>
  </mergeCells>
  <conditionalFormatting sqref="B2">
    <cfRule type="cellIs" dxfId="31" priority="1" operator="notEqual">
      <formula>"No Errors Found"</formula>
    </cfRule>
  </conditionalFormatting>
  <hyperlinks>
    <hyperlink ref="B3:D3" location="Cover!A1" display="Go to Cover Sheet" xr:uid="{00000000-0004-0000-1400-000000000000}"/>
  </hyperlinks>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O61"/>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5" width="10.1328125" style="137" customWidth="1"/>
    <col min="16" max="25" width="10.796875" style="137" customWidth="1"/>
    <col min="26" max="16384" width="9.1328125" style="137"/>
  </cols>
  <sheetData>
    <row r="1" spans="1:5" ht="20.399999999999999" x14ac:dyDescent="0.5">
      <c r="A1" s="65">
        <f>IF(SUM($A6:$A61)&gt;0,1,0)</f>
        <v>0</v>
      </c>
      <c r="B1" s="136" t="s">
        <v>323</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324</v>
      </c>
    </row>
    <row r="7" spans="1:5" ht="13.2" thickBot="1" x14ac:dyDescent="0.55000000000000004"/>
    <row r="8" spans="1:5" ht="13.2" thickBot="1" x14ac:dyDescent="0.55000000000000004">
      <c r="D8" s="158"/>
      <c r="E8" s="159" t="s">
        <v>325</v>
      </c>
    </row>
    <row r="9" spans="1:5" ht="13.2" thickBot="1" x14ac:dyDescent="0.55000000000000004">
      <c r="D9" s="157" t="s">
        <v>326</v>
      </c>
      <c r="E9" s="184">
        <f>[2]WACC!$G$10</f>
        <v>7.0000000000000007E-2</v>
      </c>
    </row>
    <row r="10" spans="1:5" ht="13.2" thickBot="1" x14ac:dyDescent="0.55000000000000004">
      <c r="D10" s="157" t="s">
        <v>327</v>
      </c>
      <c r="E10" s="184">
        <f>[2]WACC!$G$14</f>
        <v>6.3706372656788135E-2</v>
      </c>
    </row>
    <row r="11" spans="1:5" ht="13.2" thickBot="1" x14ac:dyDescent="0.55000000000000004">
      <c r="D11" s="157" t="s">
        <v>328</v>
      </c>
      <c r="E11" s="184">
        <f>[2]WACC!$G$6</f>
        <v>2.4248746575396662E-2</v>
      </c>
    </row>
    <row r="12" spans="1:5" ht="13.2" thickBot="1" x14ac:dyDescent="0.55000000000000004">
      <c r="D12" s="157" t="s">
        <v>329</v>
      </c>
      <c r="E12" s="185">
        <f>[2]WACC!$G$9</f>
        <v>0.6</v>
      </c>
    </row>
    <row r="13" spans="1:5" ht="13.2" thickBot="1" x14ac:dyDescent="0.55000000000000004">
      <c r="D13" s="157" t="s">
        <v>330</v>
      </c>
      <c r="E13" s="185">
        <f>[2]WACC!$G$7</f>
        <v>0.4</v>
      </c>
    </row>
    <row r="14" spans="1:5" ht="13.2" thickBot="1" x14ac:dyDescent="0.55000000000000004">
      <c r="D14" s="157" t="s">
        <v>331</v>
      </c>
      <c r="E14" s="184">
        <f>[2]WACC!$G$13</f>
        <v>0.3</v>
      </c>
    </row>
    <row r="15" spans="1:5" ht="13.2" thickBot="1" x14ac:dyDescent="0.55000000000000004">
      <c r="D15" s="160" t="s">
        <v>332</v>
      </c>
      <c r="E15" s="186">
        <f>[2]WACC!$G$18</f>
        <v>6.6223823594072889E-2</v>
      </c>
    </row>
    <row r="17" spans="1:15" x14ac:dyDescent="0.5">
      <c r="A17" s="70">
        <f>IF(SUM(E17)&lt;&gt;0,1,0)</f>
        <v>0</v>
      </c>
      <c r="D17" s="12" t="s">
        <v>116</v>
      </c>
      <c r="E17" s="70">
        <f>IF(ROUND((E10*E12+E9*(1-E12))-E15,2)&lt;&gt;0,1,0)</f>
        <v>0</v>
      </c>
    </row>
    <row r="19" spans="1:15" s="139" customFormat="1" x14ac:dyDescent="0.35">
      <c r="B19" s="139" t="s">
        <v>333</v>
      </c>
    </row>
    <row r="20" spans="1:15" ht="13.2" thickBot="1" x14ac:dyDescent="0.55000000000000004"/>
    <row r="21" spans="1:15" ht="13.8" thickBot="1" x14ac:dyDescent="0.55000000000000004">
      <c r="D21" s="140" t="s">
        <v>245</v>
      </c>
      <c r="E21" s="141" t="s">
        <v>236</v>
      </c>
      <c r="F21" s="141" t="s">
        <v>237</v>
      </c>
      <c r="G21" s="141" t="s">
        <v>238</v>
      </c>
      <c r="H21" s="141" t="s">
        <v>239</v>
      </c>
      <c r="I21" s="141" t="s">
        <v>240</v>
      </c>
      <c r="J21" s="141" t="s">
        <v>112</v>
      </c>
    </row>
    <row r="22" spans="1:15" ht="13.8" thickBot="1" x14ac:dyDescent="0.55000000000000004">
      <c r="D22" s="142" t="s">
        <v>334</v>
      </c>
      <c r="E22" s="179">
        <f>'[2]Revenue summary'!G30</f>
        <v>62.942819534296319</v>
      </c>
      <c r="F22" s="179">
        <f>'[2]Revenue summary'!H30</f>
        <v>66.180157096375368</v>
      </c>
      <c r="G22" s="179">
        <f>'[2]Revenue summary'!I30</f>
        <v>67.579730633301196</v>
      </c>
      <c r="H22" s="179">
        <f>'[2]Revenue summary'!J30</f>
        <v>70.326514338081367</v>
      </c>
      <c r="I22" s="179">
        <f>'[2]Revenue summary'!K30</f>
        <v>70.760320512540545</v>
      </c>
      <c r="J22" s="179">
        <f>SUM(E22:I22)</f>
        <v>337.78954211459484</v>
      </c>
      <c r="M22" s="494"/>
    </row>
    <row r="23" spans="1:15" x14ac:dyDescent="0.5">
      <c r="M23" s="273"/>
      <c r="N23" s="273"/>
      <c r="O23" s="495"/>
    </row>
    <row r="24" spans="1:15" x14ac:dyDescent="0.5">
      <c r="A24" s="70">
        <f>IF(SUM(E24:I24)&lt;&gt;0,1,0)</f>
        <v>0</v>
      </c>
      <c r="D24" s="12" t="s">
        <v>116</v>
      </c>
      <c r="E24" s="70">
        <f>IF(ROUND('17'!E9/Input_Inflation!U39/(1+Input_Inflation!U18)^0.5-E22,2)&lt;&gt;0,1,0)</f>
        <v>0</v>
      </c>
      <c r="F24" s="70">
        <f>IF(ROUND('17'!F9/Input_Inflation!V39/(1+Input_Inflation!V18)^0.5-F22,2)&lt;&gt;0,1,0)</f>
        <v>0</v>
      </c>
      <c r="G24" s="70">
        <f>IF(ROUND('17'!G9/Input_Inflation!W39/(1+Input_Inflation!W18)^0.5-G22,2)&lt;&gt;0,1,0)</f>
        <v>0</v>
      </c>
      <c r="H24" s="70">
        <f>IF(ROUND('17'!H9/Input_Inflation!X39/(1+Input_Inflation!X18)^0.5-H22,2)&lt;&gt;0,1,0)</f>
        <v>0</v>
      </c>
      <c r="I24" s="70">
        <f>IF(ROUND('17'!I9/Input_Inflation!Y39/(1+Input_Inflation!Y18)^0.5-I22,2)&lt;&gt;0,1,0)</f>
        <v>0</v>
      </c>
    </row>
    <row r="25" spans="1:15" x14ac:dyDescent="0.5">
      <c r="E25" s="273"/>
    </row>
    <row r="26" spans="1:15" s="139" customFormat="1" x14ac:dyDescent="0.35">
      <c r="B26" s="139" t="s">
        <v>975</v>
      </c>
    </row>
    <row r="27" spans="1:15" ht="13.2" thickBot="1" x14ac:dyDescent="0.55000000000000004"/>
    <row r="28" spans="1:15" ht="26.1" thickBot="1" x14ac:dyDescent="0.55000000000000004">
      <c r="D28" s="214" t="s">
        <v>959</v>
      </c>
      <c r="E28" s="309" t="s">
        <v>960</v>
      </c>
      <c r="F28" s="309" t="s">
        <v>961</v>
      </c>
      <c r="G28" s="309" t="s">
        <v>280</v>
      </c>
    </row>
    <row r="29" spans="1:15" ht="40.799999999999997" thickBot="1" x14ac:dyDescent="0.55000000000000004">
      <c r="D29" s="236" t="s">
        <v>416</v>
      </c>
      <c r="E29" s="245" t="s">
        <v>962</v>
      </c>
      <c r="F29" s="245" t="s">
        <v>963</v>
      </c>
      <c r="G29" s="254">
        <f>[1]Calc_Returns!J117</f>
        <v>8.742984535779906E-2</v>
      </c>
    </row>
    <row r="30" spans="1:15" ht="40.799999999999997" thickBot="1" x14ac:dyDescent="0.55000000000000004">
      <c r="D30" s="236" t="s">
        <v>417</v>
      </c>
      <c r="E30" s="245" t="s">
        <v>964</v>
      </c>
      <c r="F30" s="245" t="s">
        <v>963</v>
      </c>
      <c r="G30" s="254">
        <f>[1]Calc_Returns!J118</f>
        <v>7.9916565178935681E-2</v>
      </c>
    </row>
    <row r="31" spans="1:15" ht="40.799999999999997" thickBot="1" x14ac:dyDescent="0.55000000000000004">
      <c r="D31" s="236" t="s">
        <v>418</v>
      </c>
      <c r="E31" s="245" t="s">
        <v>965</v>
      </c>
      <c r="F31" s="245" t="s">
        <v>963</v>
      </c>
      <c r="G31" s="254">
        <f>[1]Calc_Returns!J119</f>
        <v>7.9077594985761335E-2</v>
      </c>
    </row>
    <row r="32" spans="1:15" ht="40.799999999999997" thickBot="1" x14ac:dyDescent="0.55000000000000004">
      <c r="D32" s="236" t="s">
        <v>419</v>
      </c>
      <c r="E32" s="245" t="s">
        <v>966</v>
      </c>
      <c r="F32" s="245" t="s">
        <v>963</v>
      </c>
      <c r="G32" s="254">
        <f>[1]Calc_Returns!J120</f>
        <v>6.9997180189357633E-2</v>
      </c>
    </row>
    <row r="33" spans="1:14" ht="40.799999999999997" thickBot="1" x14ac:dyDescent="0.55000000000000004">
      <c r="D33" s="236" t="s">
        <v>246</v>
      </c>
      <c r="E33" s="245" t="s">
        <v>967</v>
      </c>
      <c r="F33" s="245" t="s">
        <v>963</v>
      </c>
      <c r="G33" s="254">
        <f>[1]Calc_Returns!J121</f>
        <v>7.5007894716639573E-2</v>
      </c>
    </row>
    <row r="34" spans="1:14" ht="40.799999999999997" thickBot="1" x14ac:dyDescent="0.55000000000000004">
      <c r="D34" s="236" t="s">
        <v>247</v>
      </c>
      <c r="E34" s="245" t="s">
        <v>968</v>
      </c>
      <c r="F34" s="245" t="s">
        <v>963</v>
      </c>
      <c r="G34" s="254">
        <f>[1]Calc_Returns!J122</f>
        <v>5.2019790810809902E-2</v>
      </c>
    </row>
    <row r="35" spans="1:14" ht="40.799999999999997" thickBot="1" x14ac:dyDescent="0.55000000000000004">
      <c r="D35" s="236" t="s">
        <v>248</v>
      </c>
      <c r="E35" s="245" t="s">
        <v>969</v>
      </c>
      <c r="F35" s="245" t="s">
        <v>963</v>
      </c>
      <c r="G35" s="254">
        <f>[1]Calc_Returns!J123</f>
        <v>5.3181698388436879E-2</v>
      </c>
    </row>
    <row r="36" spans="1:14" ht="40.799999999999997" thickBot="1" x14ac:dyDescent="0.55000000000000004">
      <c r="D36" s="236" t="s">
        <v>249</v>
      </c>
      <c r="E36" s="245" t="s">
        <v>970</v>
      </c>
      <c r="F36" s="245" t="s">
        <v>963</v>
      </c>
      <c r="G36" s="254">
        <f>[1]Calc_Returns!J124</f>
        <v>4.7506738718452367E-2</v>
      </c>
    </row>
    <row r="37" spans="1:14" ht="56.4" thickBot="1" x14ac:dyDescent="0.55000000000000004">
      <c r="D37" s="236" t="s">
        <v>250</v>
      </c>
      <c r="E37" s="245" t="s">
        <v>971</v>
      </c>
      <c r="F37" s="245" t="s">
        <v>963</v>
      </c>
      <c r="G37" s="254">
        <f>[1]Calc_Returns!J125</f>
        <v>4.6444658416744916E-2</v>
      </c>
    </row>
    <row r="38" spans="1:14" ht="67.8" thickBot="1" x14ac:dyDescent="0.55000000000000004">
      <c r="D38" s="382" t="s">
        <v>236</v>
      </c>
      <c r="E38" s="383" t="s">
        <v>972</v>
      </c>
      <c r="F38" s="383" t="s">
        <v>973</v>
      </c>
      <c r="G38" s="384">
        <f>[1]Calc_Returns!$J$110</f>
        <v>4.6481759804943998E-2</v>
      </c>
    </row>
    <row r="39" spans="1:14" ht="13.2" thickBot="1" x14ac:dyDescent="0.55000000000000004">
      <c r="D39" s="385" t="s">
        <v>974</v>
      </c>
      <c r="E39" s="386"/>
      <c r="F39" s="386"/>
      <c r="G39" s="387">
        <f>AVERAGE(G29:G38)</f>
        <v>6.3706372656788135E-2</v>
      </c>
    </row>
    <row r="41" spans="1:14" x14ac:dyDescent="0.5">
      <c r="A41" s="70">
        <f>IF(SUM(E41:I41)&lt;&gt;0,1,0)</f>
        <v>0</v>
      </c>
      <c r="D41" s="12" t="s">
        <v>116</v>
      </c>
      <c r="E41" s="70"/>
      <c r="F41" s="70"/>
      <c r="G41" s="70">
        <f>IF(ROUND(E10-G39,4)&lt;&gt;0,1,0)</f>
        <v>0</v>
      </c>
      <c r="H41" s="70"/>
      <c r="I41" s="70"/>
    </row>
    <row r="43" spans="1:14" s="139" customFormat="1" x14ac:dyDescent="0.35">
      <c r="B43" s="139" t="s">
        <v>958</v>
      </c>
    </row>
    <row r="44" spans="1:14" ht="13.2" thickBot="1" x14ac:dyDescent="0.55000000000000004"/>
    <row r="45" spans="1:14" ht="13.2" thickBot="1" x14ac:dyDescent="0.55000000000000004">
      <c r="D45" s="214" t="s">
        <v>676</v>
      </c>
      <c r="E45" s="206" t="s">
        <v>249</v>
      </c>
      <c r="F45" s="206" t="s">
        <v>250</v>
      </c>
      <c r="G45" s="206" t="s">
        <v>236</v>
      </c>
      <c r="H45" s="206" t="s">
        <v>237</v>
      </c>
      <c r="I45" s="206" t="s">
        <v>238</v>
      </c>
      <c r="J45" s="206" t="s">
        <v>239</v>
      </c>
      <c r="K45" s="206" t="s">
        <v>240</v>
      </c>
      <c r="L45" s="206" t="s">
        <v>677</v>
      </c>
      <c r="M45" s="206" t="s">
        <v>678</v>
      </c>
      <c r="N45" s="206" t="s">
        <v>679</v>
      </c>
    </row>
    <row r="46" spans="1:14" ht="13.8" thickBot="1" x14ac:dyDescent="0.55000000000000004">
      <c r="D46" s="253"/>
      <c r="E46" s="703" t="s">
        <v>680</v>
      </c>
      <c r="F46" s="704"/>
      <c r="G46" s="703" t="s">
        <v>681</v>
      </c>
      <c r="H46" s="705"/>
      <c r="I46" s="705"/>
      <c r="J46" s="705"/>
      <c r="K46" s="705"/>
      <c r="L46" s="705"/>
      <c r="M46" s="705"/>
      <c r="N46" s="704"/>
    </row>
    <row r="47" spans="1:14" ht="13.8" thickBot="1" x14ac:dyDescent="0.55000000000000004">
      <c r="D47" s="236" t="s">
        <v>682</v>
      </c>
      <c r="E47" s="254">
        <f>[1]Input_Data!M19</f>
        <v>0.02</v>
      </c>
      <c r="F47" s="254">
        <f>[1]Input_Data!N19</f>
        <v>2.2499999999999999E-2</v>
      </c>
      <c r="G47" s="254">
        <f>[1]Input_Data!O20</f>
        <v>2.5000000000000001E-2</v>
      </c>
      <c r="H47" s="254">
        <f>[1]Input_Data!P20</f>
        <v>2.5000000000000001E-2</v>
      </c>
      <c r="I47" s="254">
        <f>[1]Input_Data!Q20</f>
        <v>2.5000000000000001E-2</v>
      </c>
      <c r="J47" s="254">
        <f>[1]Input_Data!R20</f>
        <v>2.5000000000000001E-2</v>
      </c>
      <c r="K47" s="254">
        <f>[1]Input_Data!S20</f>
        <v>2.5000000000000001E-2</v>
      </c>
      <c r="L47" s="254">
        <f>[1]Input_Data!T20</f>
        <v>2.5000000000000001E-2</v>
      </c>
      <c r="M47" s="254">
        <f>[1]Input_Data!U20</f>
        <v>2.5000000000000001E-2</v>
      </c>
      <c r="N47" s="254">
        <f>[1]Input_Data!V20</f>
        <v>2.5000000000000001E-2</v>
      </c>
    </row>
    <row r="48" spans="1:14" ht="13.8" thickBot="1" x14ac:dyDescent="0.55000000000000004">
      <c r="D48" s="244" t="s">
        <v>683</v>
      </c>
      <c r="E48" s="254">
        <f t="array" ref="E48">GEOMEAN(1+E47:N47)-1</f>
        <v>2.4248746575396662E-2</v>
      </c>
      <c r="F48" s="245"/>
      <c r="G48" s="245"/>
      <c r="H48" s="245"/>
      <c r="I48" s="245"/>
      <c r="J48" s="245"/>
      <c r="K48" s="245"/>
      <c r="L48" s="245"/>
      <c r="M48" s="245"/>
      <c r="N48" s="245"/>
    </row>
    <row r="50" spans="1:10" x14ac:dyDescent="0.5">
      <c r="A50" s="70">
        <f>IF(SUM(E50:I50)&lt;&gt;0,1,0)</f>
        <v>0</v>
      </c>
      <c r="D50" s="12" t="s">
        <v>116</v>
      </c>
      <c r="E50" s="70">
        <f>IF(ROUND(E11-E48,24)&lt;&gt;0,1,0)</f>
        <v>0</v>
      </c>
      <c r="F50" s="70"/>
      <c r="G50" s="70"/>
      <c r="H50" s="70"/>
      <c r="I50" s="70"/>
    </row>
    <row r="52" spans="1:10" s="139" customFormat="1" x14ac:dyDescent="0.35">
      <c r="B52" s="139" t="s">
        <v>1333</v>
      </c>
    </row>
    <row r="53" spans="1:10" ht="13.2" thickBot="1" x14ac:dyDescent="0.55000000000000004"/>
    <row r="54" spans="1:10" ht="13.2" thickBot="1" x14ac:dyDescent="0.55000000000000004">
      <c r="D54" s="214" t="s">
        <v>245</v>
      </c>
      <c r="E54" s="206" t="s">
        <v>236</v>
      </c>
      <c r="F54" s="206" t="s">
        <v>237</v>
      </c>
      <c r="G54" s="206" t="s">
        <v>238</v>
      </c>
      <c r="H54" s="206" t="s">
        <v>239</v>
      </c>
      <c r="I54" s="206" t="s">
        <v>240</v>
      </c>
      <c r="J54" s="206" t="s">
        <v>112</v>
      </c>
    </row>
    <row r="55" spans="1:10" ht="13.8" thickBot="1" x14ac:dyDescent="0.55000000000000004">
      <c r="D55" s="236" t="s">
        <v>306</v>
      </c>
      <c r="E55" s="179">
        <f>'[2]PTRM input'!G186</f>
        <v>0.50798876941566162</v>
      </c>
      <c r="F55" s="179">
        <f>'[2]PTRM input'!H186</f>
        <v>0.53411615195923456</v>
      </c>
      <c r="G55" s="179">
        <f>'[2]PTRM input'!I186</f>
        <v>0.54541160462548</v>
      </c>
      <c r="H55" s="179">
        <f>'[2]PTRM input'!J186</f>
        <v>0.56757990411327119</v>
      </c>
      <c r="I55" s="179">
        <f>'[2]PTRM input'!K186</f>
        <v>0.57108099711099358</v>
      </c>
      <c r="J55" s="179">
        <f>SUM(E55:I55)</f>
        <v>2.7261774272246408</v>
      </c>
    </row>
    <row r="56" spans="1:10" ht="13.8" thickBot="1" x14ac:dyDescent="0.55000000000000004">
      <c r="D56" s="236" t="s">
        <v>385</v>
      </c>
      <c r="E56" s="179">
        <f>'[2]PTRM input'!G70</f>
        <v>1.2317298522930404</v>
      </c>
      <c r="F56" s="179">
        <f>'[2]PTRM input'!H70</f>
        <v>0</v>
      </c>
      <c r="G56" s="179">
        <f>'[2]PTRM input'!I70</f>
        <v>0</v>
      </c>
      <c r="H56" s="179">
        <f>'[2]PTRM input'!J70</f>
        <v>0</v>
      </c>
      <c r="I56" s="179">
        <f>'[2]PTRM input'!K70</f>
        <v>0</v>
      </c>
      <c r="J56" s="179">
        <f>SUM(E56:I56)</f>
        <v>1.2317298522930404</v>
      </c>
    </row>
    <row r="58" spans="1:10" x14ac:dyDescent="0.5">
      <c r="A58" s="70">
        <f>IF(SUM(E58:I58)&lt;&gt;0,1,0)</f>
        <v>0</v>
      </c>
      <c r="D58" s="12" t="s">
        <v>814</v>
      </c>
      <c r="E58" s="70">
        <f>IF(ROUND('11'!E144-E55,2)&lt;&gt;0,1,0)</f>
        <v>0</v>
      </c>
      <c r="F58" s="70">
        <f>IF(ROUND('11'!F144-F55,2)&lt;&gt;0,1,0)</f>
        <v>0</v>
      </c>
      <c r="G58" s="70">
        <f>IF(ROUND('11'!G144-G55,2)&lt;&gt;0,1,0)</f>
        <v>0</v>
      </c>
      <c r="H58" s="70">
        <f>IF(ROUND('11'!H144-H55,2)&lt;&gt;0,1,0)</f>
        <v>0</v>
      </c>
      <c r="I58" s="70">
        <f>IF(ROUND('11'!I144-I55,2)&lt;&gt;0,1,0)</f>
        <v>0</v>
      </c>
    </row>
    <row r="59" spans="1:10" x14ac:dyDescent="0.5">
      <c r="A59" s="70">
        <f>IF(SUM(E59:I59)&lt;&gt;0,1,0)</f>
        <v>0</v>
      </c>
      <c r="D59" s="12" t="s">
        <v>815</v>
      </c>
      <c r="E59" s="70">
        <f>IF(ROUND('[2]PTRM input'!G70-E56,2)&lt;&gt;0,1,0)</f>
        <v>0</v>
      </c>
      <c r="F59" s="70">
        <f>IF(ROUND('[2]PTRM input'!H70-F56,2)&lt;&gt;0,1,0)</f>
        <v>0</v>
      </c>
      <c r="G59" s="70">
        <f>IF(ROUND('[2]PTRM input'!I70-G56,2)&lt;&gt;0,1,0)</f>
        <v>0</v>
      </c>
      <c r="H59" s="70">
        <f>IF(ROUND('[2]PTRM input'!J70-H56,2)&lt;&gt;0,1,0)</f>
        <v>0</v>
      </c>
      <c r="I59" s="70">
        <f>IF(ROUND('[2]PTRM input'!K70-I56,2)&lt;&gt;0,1,0)</f>
        <v>0</v>
      </c>
    </row>
    <row r="61" spans="1:10" s="139" customFormat="1" x14ac:dyDescent="0.35">
      <c r="B61" s="139" t="s">
        <v>32</v>
      </c>
    </row>
  </sheetData>
  <mergeCells count="2">
    <mergeCell ref="E46:F46"/>
    <mergeCell ref="G46:N46"/>
  </mergeCells>
  <conditionalFormatting sqref="B2">
    <cfRule type="cellIs" dxfId="30" priority="1" operator="notEqual">
      <formula>"No Errors Found"</formula>
    </cfRule>
  </conditionalFormatting>
  <hyperlinks>
    <hyperlink ref="B3:D3" location="Cover!A1" display="Go to Cover Sheet" xr:uid="{00000000-0004-0000-1500-000000000000}"/>
  </hyperlinks>
  <pageMargins left="0.7" right="0.7" top="0.75" bottom="0.75" header="0.3" footer="0.3"/>
  <pageSetup paperSize="9"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J25"/>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6" width="10.1328125" style="137" customWidth="1"/>
    <col min="17" max="19" width="12.33203125" style="137" customWidth="1"/>
    <col min="20" max="16384" width="9.1328125" style="137"/>
  </cols>
  <sheetData>
    <row r="1" spans="1:10" ht="20.399999999999999" x14ac:dyDescent="0.5">
      <c r="A1" s="65">
        <f>IF(SUM($A6:$A28)&gt;0,1,0)</f>
        <v>0</v>
      </c>
      <c r="B1" s="136" t="s">
        <v>335</v>
      </c>
    </row>
    <row r="2" spans="1:10" s="104" customFormat="1" ht="10.199999999999999" x14ac:dyDescent="0.35">
      <c r="B2" s="105" t="str">
        <f>Title_Msg</f>
        <v>No Errors Found</v>
      </c>
    </row>
    <row r="3" spans="1:10" s="104" customFormat="1" ht="12.3" x14ac:dyDescent="0.35">
      <c r="B3" s="106" t="s">
        <v>51</v>
      </c>
      <c r="C3" s="106"/>
      <c r="D3" s="106"/>
      <c r="E3" s="107"/>
    </row>
    <row r="4" spans="1:10" s="104" customFormat="1" ht="12.3" x14ac:dyDescent="0.35">
      <c r="B4" s="108" t="str">
        <f>Model_Name</f>
        <v>Power and Water Corporation (PWC) - Regulatory Proposal Tables and Charts</v>
      </c>
    </row>
    <row r="6" spans="1:10" s="139" customFormat="1" x14ac:dyDescent="0.35">
      <c r="B6" s="139" t="s">
        <v>336</v>
      </c>
    </row>
    <row r="7" spans="1:10" ht="13.2" thickBot="1" x14ac:dyDescent="0.55000000000000004"/>
    <row r="8" spans="1:10" ht="13.8" thickBot="1" x14ac:dyDescent="0.55000000000000004">
      <c r="D8" s="140" t="s">
        <v>245</v>
      </c>
      <c r="E8" s="141" t="s">
        <v>236</v>
      </c>
      <c r="F8" s="141" t="s">
        <v>237</v>
      </c>
      <c r="G8" s="141" t="s">
        <v>238</v>
      </c>
      <c r="H8" s="141" t="s">
        <v>239</v>
      </c>
      <c r="I8" s="141" t="s">
        <v>240</v>
      </c>
      <c r="J8" s="141" t="s">
        <v>112</v>
      </c>
    </row>
    <row r="9" spans="1:10" ht="13.8" thickBot="1" x14ac:dyDescent="0.55000000000000004">
      <c r="D9" s="142" t="s">
        <v>337</v>
      </c>
      <c r="E9" s="179">
        <f>'[2]Revenue summary'!G34</f>
        <v>8.0108959903249772</v>
      </c>
      <c r="F9" s="179">
        <f>'[2]Revenue summary'!H34</f>
        <v>7.5342780286195854</v>
      </c>
      <c r="G9" s="179">
        <f>'[2]Revenue summary'!I34</f>
        <v>6.8507166037796869</v>
      </c>
      <c r="H9" s="179">
        <f>'[2]Revenue summary'!J34</f>
        <v>6.2309434847518776</v>
      </c>
      <c r="I9" s="179">
        <f>'[2]Revenue summary'!K34</f>
        <v>6.3011098388681122</v>
      </c>
      <c r="J9" s="179">
        <f>SUM(E9:I9)</f>
        <v>34.927943946344243</v>
      </c>
    </row>
    <row r="11" spans="1:10" x14ac:dyDescent="0.5">
      <c r="A11" s="70">
        <f>IF(SUM(E11:I11)&lt;&gt;0,1,0)</f>
        <v>0</v>
      </c>
      <c r="D11" s="12" t="s">
        <v>116</v>
      </c>
      <c r="E11" s="70">
        <f>IF(ROUND('17'!E13/Input_Inflation!U39/(1+Input_Inflation!U18)^0.5-E9,2)&lt;&gt;0,1,0)</f>
        <v>0</v>
      </c>
      <c r="F11" s="70">
        <f>IF(ROUND('17'!F13/Input_Inflation!V39/(1+Input_Inflation!V18)^0.5-F9,2)&lt;&gt;0,1,0)</f>
        <v>0</v>
      </c>
      <c r="G11" s="70">
        <f>IF(ROUND('17'!G13/Input_Inflation!W39/(1+Input_Inflation!W18)^0.5-G9,2)&lt;&gt;0,1,0)</f>
        <v>0</v>
      </c>
      <c r="H11" s="70">
        <f>IF(ROUND('17'!H13/Input_Inflation!X39/(1+Input_Inflation!X18)^0.5-H9,2)&lt;&gt;0,1,0)</f>
        <v>0</v>
      </c>
      <c r="I11" s="70">
        <f>IF(ROUND('17'!I13/Input_Inflation!Y39/(1+Input_Inflation!Y18)^0.5-I9,2)&lt;&gt;0,1,0)</f>
        <v>0</v>
      </c>
    </row>
    <row r="13" spans="1:10" s="139" customFormat="1" x14ac:dyDescent="0.35">
      <c r="B13" s="139" t="s">
        <v>338</v>
      </c>
    </row>
    <row r="14" spans="1:10" ht="13.2" thickBot="1" x14ac:dyDescent="0.55000000000000004">
      <c r="E14" s="273"/>
    </row>
    <row r="15" spans="1:10" ht="13.8" thickBot="1" x14ac:dyDescent="0.55000000000000004">
      <c r="D15" s="146" t="s">
        <v>245</v>
      </c>
      <c r="E15" s="155" t="s">
        <v>236</v>
      </c>
      <c r="F15" s="155" t="s">
        <v>237</v>
      </c>
      <c r="G15" s="155" t="s">
        <v>238</v>
      </c>
      <c r="H15" s="155" t="s">
        <v>239</v>
      </c>
      <c r="I15" s="155" t="s">
        <v>240</v>
      </c>
    </row>
    <row r="16" spans="1:10" ht="13.2" thickBot="1" x14ac:dyDescent="0.55000000000000004">
      <c r="D16" s="157" t="s">
        <v>339</v>
      </c>
      <c r="E16" s="274">
        <f>[2]Assets!G883/[2]Assets!G$7</f>
        <v>657.52525872784531</v>
      </c>
      <c r="F16" s="274">
        <f>[2]Assets!H883/[2]Assets!H$7</f>
        <v>721.10681132517993</v>
      </c>
      <c r="G16" s="274">
        <f>[2]Assets!I883/[2]Assets!I$7</f>
        <v>753.58401416295567</v>
      </c>
      <c r="H16" s="274">
        <f>[2]Assets!J883/[2]Assets!J$7</f>
        <v>802.07914268229933</v>
      </c>
      <c r="I16" s="274">
        <f>[2]Assets!K883/[2]Assets!K$7</f>
        <v>812.20327086919349</v>
      </c>
    </row>
    <row r="17" spans="1:9" ht="13.2" thickBot="1" x14ac:dyDescent="0.55000000000000004">
      <c r="D17" s="157" t="s">
        <v>947</v>
      </c>
      <c r="E17" s="274">
        <f>[2]Assets!G884/[2]Assets!G$7</f>
        <v>95.212310568172128</v>
      </c>
      <c r="F17" s="274">
        <f>[2]Assets!H884/[2]Assets!H$7</f>
        <v>72.459369194288428</v>
      </c>
      <c r="G17" s="274">
        <f>[2]Assets!I884/[2]Assets!I$7</f>
        <v>94.615337615204794</v>
      </c>
      <c r="H17" s="274">
        <f>[2]Assets!J884/[2]Assets!J$7</f>
        <v>63.70094825007547</v>
      </c>
      <c r="I17" s="274">
        <f>[2]Assets!K884/[2]Assets!K$7</f>
        <v>58.214778380931023</v>
      </c>
    </row>
    <row r="18" spans="1:9" ht="13.2" thickBot="1" x14ac:dyDescent="0.55000000000000004">
      <c r="D18" s="157" t="s">
        <v>946</v>
      </c>
      <c r="E18" s="274">
        <f>[2]Assets!G885/[2]Assets!G$7</f>
        <v>12.647893670135224</v>
      </c>
      <c r="F18" s="274">
        <f>[2]Assets!H885/[2]Assets!H$7</f>
        <v>13.378655156962431</v>
      </c>
      <c r="G18" s="274">
        <f>[2]Assets!I885/[2]Assets!I$7</f>
        <v>13.564976556766926</v>
      </c>
      <c r="H18" s="274">
        <f>[2]Assets!J885/[2]Assets!J$7</f>
        <v>11.49268757276556</v>
      </c>
      <c r="I18" s="274">
        <f>[2]Assets!K885/[2]Assets!K$7</f>
        <v>11.589754799327023</v>
      </c>
    </row>
    <row r="19" spans="1:9" ht="13.2" thickBot="1" x14ac:dyDescent="0.55000000000000004">
      <c r="D19" s="157" t="s">
        <v>340</v>
      </c>
      <c r="E19" s="274">
        <f>[2]Assets!G886/[2]Assets!G$7</f>
        <v>-26.792715319356116</v>
      </c>
      <c r="F19" s="274">
        <f>[2]Assets!H886/[2]Assets!H$7</f>
        <v>-35.087353730767383</v>
      </c>
      <c r="G19" s="274">
        <f>[2]Assets!I886/[2]Assets!I$7</f>
        <v>-40.235771788313535</v>
      </c>
      <c r="H19" s="274">
        <f>[2]Assets!J886/[2]Assets!J$7</f>
        <v>-45.374596352931384</v>
      </c>
      <c r="I19" s="274">
        <f>[2]Assets!K886/[2]Assets!K$7</f>
        <v>-48.002636637871504</v>
      </c>
    </row>
    <row r="20" spans="1:9" ht="13.2" thickBot="1" x14ac:dyDescent="0.55000000000000004">
      <c r="D20" s="160" t="s">
        <v>341</v>
      </c>
      <c r="E20" s="380">
        <f>SUM(E16:E19)</f>
        <v>738.59274764679651</v>
      </c>
      <c r="F20" s="380">
        <f>SUM(F16:F19)</f>
        <v>771.85748194566338</v>
      </c>
      <c r="G20" s="380">
        <f>SUM(G16:G19)</f>
        <v>821.52855654661391</v>
      </c>
      <c r="H20" s="380">
        <f>SUM(H16:H19)</f>
        <v>831.89818215220907</v>
      </c>
      <c r="I20" s="380">
        <f>SUM(I16:I19)</f>
        <v>834.00516741158003</v>
      </c>
    </row>
    <row r="22" spans="1:9" x14ac:dyDescent="0.5">
      <c r="A22" s="70">
        <f>IF(SUM(E22:I22)&lt;&gt;0,1,0)</f>
        <v>0</v>
      </c>
      <c r="D22" s="12" t="s">
        <v>116</v>
      </c>
      <c r="E22" s="70">
        <f>IF(ROUND([2]Assets!G887/[2]Assets!G7-E20,2)&lt;&gt;0,1,0)</f>
        <v>0</v>
      </c>
      <c r="F22" s="70">
        <f>IF(ROUND([2]Assets!H887/[2]Assets!H7-F20,2)&lt;&gt;0,1,0)</f>
        <v>0</v>
      </c>
      <c r="G22" s="70">
        <f>IF(ROUND([2]Assets!I887/[2]Assets!I7-G20,2)&lt;&gt;0,1,0)</f>
        <v>0</v>
      </c>
      <c r="H22" s="70">
        <f>IF(ROUND([2]Assets!J887/[2]Assets!J7-H20,2)&lt;&gt;0,1,0)</f>
        <v>0</v>
      </c>
      <c r="I22" s="70">
        <f>IF(ROUND([2]Assets!K887/[2]Assets!K7-I20,2)&lt;&gt;0,1,0)</f>
        <v>0</v>
      </c>
    </row>
    <row r="24" spans="1:9" s="139" customFormat="1" x14ac:dyDescent="0.35">
      <c r="B24" s="139" t="s">
        <v>32</v>
      </c>
    </row>
    <row r="25" spans="1:9" x14ac:dyDescent="0.5">
      <c r="F25" s="273"/>
      <c r="G25" s="273"/>
      <c r="H25" s="273"/>
      <c r="I25" s="273"/>
    </row>
  </sheetData>
  <conditionalFormatting sqref="B2">
    <cfRule type="cellIs" dxfId="29" priority="1" operator="notEqual">
      <formula>"No Errors Found"</formula>
    </cfRule>
  </conditionalFormatting>
  <hyperlinks>
    <hyperlink ref="B3:D3" location="Cover!A1" display="Go to Cover Sheet" xr:uid="{00000000-0004-0000-1600-000000000000}"/>
  </hyperlinks>
  <pageMargins left="0.7" right="0.7" top="0.75" bottom="0.75" header="0.3" footer="0.3"/>
  <pageSetup paperSize="9"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684</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28" priority="1" operator="notEqual">
      <formula>"No Errors Found"</formula>
    </cfRule>
  </conditionalFormatting>
  <hyperlinks>
    <hyperlink ref="B3:D3" location="Cover!A1" display="Go to Cover Sheet"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685</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27" priority="1" operator="notEqual">
      <formula>"No Errors Found"</formula>
    </cfRule>
  </conditionalFormatting>
  <hyperlinks>
    <hyperlink ref="B3:D3" location="Cover!A1" display="Go to Cover Sheet"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W42"/>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6" width="10.1328125" style="137" customWidth="1"/>
    <col min="17" max="20" width="12.33203125" style="137" customWidth="1"/>
    <col min="21" max="16384" width="9.1328125" style="137"/>
  </cols>
  <sheetData>
    <row r="1" spans="1:23" ht="20.399999999999999" x14ac:dyDescent="0.5">
      <c r="A1" s="65">
        <f>IF(SUM($A6:$A42)&gt;0,1,0)</f>
        <v>0</v>
      </c>
      <c r="B1" s="136" t="s">
        <v>342</v>
      </c>
    </row>
    <row r="2" spans="1:23" s="104" customFormat="1" ht="10.199999999999999" x14ac:dyDescent="0.35">
      <c r="B2" s="105" t="str">
        <f>Title_Msg</f>
        <v>No Errors Found</v>
      </c>
    </row>
    <row r="3" spans="1:23" s="104" customFormat="1" ht="12.3" x14ac:dyDescent="0.35">
      <c r="B3" s="106" t="s">
        <v>51</v>
      </c>
      <c r="C3" s="106"/>
      <c r="D3" s="106"/>
      <c r="E3" s="107"/>
    </row>
    <row r="4" spans="1:23" s="104" customFormat="1" ht="12.3" x14ac:dyDescent="0.35">
      <c r="B4" s="108" t="str">
        <f>Model_Name</f>
        <v>Power and Water Corporation (PWC) - Regulatory Proposal Tables and Charts</v>
      </c>
    </row>
    <row r="6" spans="1:23" s="139" customFormat="1" x14ac:dyDescent="0.35">
      <c r="B6" s="139" t="s">
        <v>343</v>
      </c>
    </row>
    <row r="7" spans="1:23" ht="13.2" thickBot="1" x14ac:dyDescent="0.55000000000000004"/>
    <row r="8" spans="1:23" ht="13.2" thickBot="1" x14ac:dyDescent="0.55000000000000004">
      <c r="D8" s="146" t="s">
        <v>344</v>
      </c>
      <c r="E8" s="141" t="s">
        <v>236</v>
      </c>
      <c r="F8" s="141" t="s">
        <v>237</v>
      </c>
      <c r="G8" s="141" t="s">
        <v>238</v>
      </c>
      <c r="H8" s="141" t="s">
        <v>239</v>
      </c>
      <c r="I8" s="141" t="s">
        <v>240</v>
      </c>
      <c r="J8" s="141" t="s">
        <v>112</v>
      </c>
      <c r="L8" s="712" t="s">
        <v>1284</v>
      </c>
      <c r="M8" s="713"/>
      <c r="N8" s="713"/>
      <c r="O8" s="714"/>
      <c r="P8" s="715" t="s">
        <v>1282</v>
      </c>
      <c r="Q8" s="716"/>
      <c r="R8" s="716"/>
      <c r="S8" s="717"/>
      <c r="T8" s="496" t="s">
        <v>1283</v>
      </c>
      <c r="V8" s="496" t="s">
        <v>325</v>
      </c>
    </row>
    <row r="9" spans="1:23" ht="26.1" thickBot="1" x14ac:dyDescent="0.55000000000000004">
      <c r="D9" s="142" t="s">
        <v>334</v>
      </c>
      <c r="E9" s="178">
        <f>'[2]Revenue summary'!G7</f>
        <v>64.469104013924394</v>
      </c>
      <c r="F9" s="178">
        <f>'[2]Revenue summary'!H7</f>
        <v>69.428642857447613</v>
      </c>
      <c r="G9" s="178">
        <f>'[2]Revenue summary'!I7</f>
        <v>72.616076482575622</v>
      </c>
      <c r="H9" s="178">
        <f>'[2]Revenue summary'!J7</f>
        <v>77.399981559803237</v>
      </c>
      <c r="I9" s="178">
        <f>'[2]Revenue summary'!K7</f>
        <v>79.765849946684853</v>
      </c>
      <c r="J9" s="178">
        <f>SUM(E9:I9)</f>
        <v>363.67965486043573</v>
      </c>
      <c r="K9" s="273"/>
      <c r="L9" s="712" t="s">
        <v>245</v>
      </c>
      <c r="M9" s="713" t="s">
        <v>344</v>
      </c>
      <c r="N9" s="713" t="s">
        <v>344</v>
      </c>
      <c r="O9" s="714" t="s">
        <v>344</v>
      </c>
      <c r="P9" s="496" t="s">
        <v>1279</v>
      </c>
      <c r="Q9" s="496" t="s">
        <v>1278</v>
      </c>
      <c r="R9" s="496" t="s">
        <v>1280</v>
      </c>
      <c r="S9" s="496" t="s">
        <v>1141</v>
      </c>
      <c r="T9" s="496" t="s">
        <v>1280</v>
      </c>
      <c r="V9" s="516">
        <f>'5'!$R$9</f>
        <v>0.03</v>
      </c>
      <c r="W9" s="517" t="s">
        <v>1011</v>
      </c>
    </row>
    <row r="10" spans="1:23" ht="13.8" thickBot="1" x14ac:dyDescent="0.55000000000000004">
      <c r="D10" s="142" t="s">
        <v>345</v>
      </c>
      <c r="E10" s="178">
        <f>'[2]Revenue summary'!G8</f>
        <v>24.608743790271976</v>
      </c>
      <c r="F10" s="178">
        <f>'[2]Revenue summary'!H8</f>
        <v>29.426830583361696</v>
      </c>
      <c r="G10" s="178">
        <f>'[2]Revenue summary'!I8</f>
        <v>31.490365602000853</v>
      </c>
      <c r="H10" s="178">
        <f>'[2]Revenue summary'!J8</f>
        <v>35.804812873263941</v>
      </c>
      <c r="I10" s="178">
        <f>'[2]Revenue summary'!K8</f>
        <v>39.679687277210554</v>
      </c>
      <c r="J10" s="178">
        <f t="shared" ref="J10:J16" si="0">SUM(E10:I10)</f>
        <v>161.01044012610902</v>
      </c>
      <c r="L10" s="709" t="s">
        <v>1281</v>
      </c>
      <c r="M10" s="710"/>
      <c r="N10" s="710"/>
      <c r="O10" s="711"/>
      <c r="P10" s="498">
        <f>'13'!J22+'14'!J9</f>
        <v>372.71748606093911</v>
      </c>
      <c r="Q10" s="498">
        <v>373.43682440286034</v>
      </c>
      <c r="R10" s="498">
        <f>P10-Q10</f>
        <v>-0.71933834192122958</v>
      </c>
      <c r="S10" s="497">
        <f>R10/Q10</f>
        <v>-1.9262651536079199E-3</v>
      </c>
      <c r="T10" s="498">
        <f>R10/5</f>
        <v>-0.14386766838424592</v>
      </c>
    </row>
    <row r="11" spans="1:23" ht="13.8" thickBot="1" x14ac:dyDescent="0.55000000000000004">
      <c r="D11" s="142" t="s">
        <v>346</v>
      </c>
      <c r="E11" s="178">
        <f>'[2]Revenue summary'!G9</f>
        <v>67.647416312528719</v>
      </c>
      <c r="F11" s="178">
        <f>'[2]Revenue summary'!H9</f>
        <v>70.235181603069961</v>
      </c>
      <c r="G11" s="178">
        <f>'[2]Revenue summary'!I9</f>
        <v>73.019198609943757</v>
      </c>
      <c r="H11" s="178">
        <f>'[2]Revenue summary'!J9</f>
        <v>75.702093960239722</v>
      </c>
      <c r="I11" s="178">
        <f>'[2]Revenue summary'!K9</f>
        <v>78.364935796174407</v>
      </c>
      <c r="J11" s="178">
        <f t="shared" si="0"/>
        <v>364.96882628195658</v>
      </c>
      <c r="L11" s="709" t="s">
        <v>345</v>
      </c>
      <c r="M11" s="710"/>
      <c r="N11" s="710"/>
      <c r="O11" s="711"/>
      <c r="P11" s="498">
        <f>'12'!J22</f>
        <v>149.11498268395454</v>
      </c>
      <c r="Q11" s="498">
        <v>140.91561065534631</v>
      </c>
      <c r="R11" s="498">
        <f t="shared" ref="R11:R13" si="1">P11-Q11</f>
        <v>8.1993720286082237</v>
      </c>
      <c r="S11" s="497">
        <f t="shared" ref="S11:S13" si="2">R11/Q11</f>
        <v>5.8186399579691572E-2</v>
      </c>
      <c r="T11" s="498">
        <f t="shared" ref="T11:T13" si="3">R11/5</f>
        <v>1.6398744057216448</v>
      </c>
    </row>
    <row r="12" spans="1:23" ht="13.8" thickBot="1" x14ac:dyDescent="0.55000000000000004">
      <c r="D12" s="142" t="s">
        <v>1004</v>
      </c>
      <c r="E12" s="178">
        <f>'[2]Revenue summary'!G10</f>
        <v>6.8176410127145842E-2</v>
      </c>
      <c r="F12" s="178">
        <f>'[2]Revenue summary'!H10</f>
        <v>7.5878342662796888E-2</v>
      </c>
      <c r="G12" s="178">
        <f>'[2]Revenue summary'!I10</f>
        <v>8.0118481645443593E-2</v>
      </c>
      <c r="H12" s="178">
        <f>'[2]Revenue summary'!J10</f>
        <v>8.7164301497993396E-2</v>
      </c>
      <c r="I12" s="178">
        <f>'[2]Revenue summary'!K10</f>
        <v>9.2579370796209912E-2</v>
      </c>
      <c r="J12" s="178">
        <f t="shared" si="0"/>
        <v>0.40391690672958969</v>
      </c>
      <c r="L12" s="709" t="s">
        <v>346</v>
      </c>
      <c r="M12" s="710"/>
      <c r="N12" s="710"/>
      <c r="O12" s="711"/>
      <c r="P12" s="498">
        <f>SUM('11'!E9:I9)</f>
        <v>339.25110215696355</v>
      </c>
      <c r="Q12" s="498">
        <v>458.67120638839197</v>
      </c>
      <c r="R12" s="498">
        <f t="shared" si="1"/>
        <v>-119.42010423142841</v>
      </c>
      <c r="S12" s="497">
        <f t="shared" si="2"/>
        <v>-0.26036102237973552</v>
      </c>
      <c r="T12" s="498">
        <f t="shared" si="3"/>
        <v>-23.884020846285683</v>
      </c>
    </row>
    <row r="13" spans="1:23" ht="13.8" thickBot="1" x14ac:dyDescent="0.55000000000000004">
      <c r="D13" s="142" t="s">
        <v>347</v>
      </c>
      <c r="E13" s="178">
        <f>'[2]Revenue summary'!G11</f>
        <v>8.205150177036229</v>
      </c>
      <c r="F13" s="178">
        <f>'[2]Revenue summary'!H11</f>
        <v>7.9041017940767802</v>
      </c>
      <c r="G13" s="178">
        <f>'[2]Revenue summary'!I11</f>
        <v>7.3612628549806258</v>
      </c>
      <c r="H13" s="178">
        <f>'[2]Revenue summary'!J11</f>
        <v>6.8576541203439483</v>
      </c>
      <c r="I13" s="178">
        <f>'[2]Revenue summary'!K11</f>
        <v>7.1030399278032865</v>
      </c>
      <c r="J13" s="178">
        <f t="shared" si="0"/>
        <v>37.431208874240873</v>
      </c>
      <c r="L13" s="709" t="s">
        <v>101</v>
      </c>
      <c r="M13" s="710"/>
      <c r="N13" s="710"/>
      <c r="O13" s="711"/>
      <c r="P13" s="498">
        <f>'[2]Revenue summary'!$Q$33</f>
        <v>0.37477792817639299</v>
      </c>
      <c r="Q13" s="498">
        <v>41.035914898982981</v>
      </c>
      <c r="R13" s="498">
        <f t="shared" si="1"/>
        <v>-40.661136970806588</v>
      </c>
      <c r="S13" s="497">
        <f t="shared" si="2"/>
        <v>-0.99086707511946615</v>
      </c>
      <c r="T13" s="498">
        <f t="shared" si="3"/>
        <v>-8.1322273941613172</v>
      </c>
    </row>
    <row r="14" spans="1:23" ht="26.1" thickBot="1" x14ac:dyDescent="0.55000000000000004">
      <c r="D14" s="151" t="s">
        <v>241</v>
      </c>
      <c r="E14" s="187">
        <f>'[2]Revenue summary'!G12</f>
        <v>164.99859070388845</v>
      </c>
      <c r="F14" s="187">
        <f>'[2]Revenue summary'!H12</f>
        <v>177.07063518061886</v>
      </c>
      <c r="G14" s="187">
        <f>'[2]Revenue summary'!I12</f>
        <v>184.56702203114631</v>
      </c>
      <c r="H14" s="187">
        <f>'[2]Revenue summary'!J12</f>
        <v>195.85170681514884</v>
      </c>
      <c r="I14" s="187">
        <f>'[2]Revenue summary'!K12</f>
        <v>205.00609231866932</v>
      </c>
      <c r="J14" s="187">
        <f t="shared" si="0"/>
        <v>927.49404704947176</v>
      </c>
      <c r="L14" s="706" t="s">
        <v>241</v>
      </c>
      <c r="M14" s="707" t="s">
        <v>241</v>
      </c>
      <c r="N14" s="707" t="s">
        <v>241</v>
      </c>
      <c r="O14" s="708" t="s">
        <v>241</v>
      </c>
      <c r="P14" s="499">
        <f>SUM(P10:P13)</f>
        <v>861.45834883003363</v>
      </c>
      <c r="Q14" s="499">
        <f>SUM(Q10:Q13)</f>
        <v>1014.0595563455815</v>
      </c>
      <c r="R14" s="499">
        <f>SUM(R10:R13)</f>
        <v>-152.601207515548</v>
      </c>
      <c r="S14" s="500">
        <f>SUM(S10:S13)</f>
        <v>-1.194967963073118</v>
      </c>
      <c r="T14" s="499">
        <f>SUM(T10:T13)</f>
        <v>-30.520241503109602</v>
      </c>
    </row>
    <row r="15" spans="1:23" ht="13.2" thickBot="1" x14ac:dyDescent="0.55000000000000004">
      <c r="D15" s="151" t="s">
        <v>348</v>
      </c>
      <c r="E15" s="190">
        <f>'[2]X factors'!G63</f>
        <v>9.4182208389897021E-2</v>
      </c>
      <c r="F15" s="190">
        <f>'[2]X factors'!H63</f>
        <v>-3.3760666814186872E-2</v>
      </c>
      <c r="G15" s="190">
        <f>'[2]X factors'!I63</f>
        <v>-3.3760666814186872E-2</v>
      </c>
      <c r="H15" s="190">
        <f>'[2]X factors'!J63</f>
        <v>-3.3760666814186872E-2</v>
      </c>
      <c r="I15" s="190">
        <f>'[2]X factors'!K63</f>
        <v>-3.3760666814186872E-2</v>
      </c>
      <c r="J15" s="190" t="str">
        <f>NA</f>
        <v>N/A</v>
      </c>
      <c r="K15" s="273"/>
    </row>
    <row r="16" spans="1:23" ht="26.1" thickBot="1" x14ac:dyDescent="0.55000000000000004">
      <c r="D16" s="151" t="s">
        <v>381</v>
      </c>
      <c r="E16" s="187">
        <f>'[2]Revenue summary'!G21</f>
        <v>164.99861387816443</v>
      </c>
      <c r="F16" s="187">
        <f>'[2]Revenue summary'!H21</f>
        <v>174.7051634304531</v>
      </c>
      <c r="G16" s="187">
        <f>'[2]Revenue summary'!I21</f>
        <v>184.98273053250497</v>
      </c>
      <c r="H16" s="187">
        <f>'[2]Revenue summary'!J21</f>
        <v>195.86490704313468</v>
      </c>
      <c r="I16" s="187">
        <f>'[2]Revenue summary'!K21</f>
        <v>207.387260965286</v>
      </c>
      <c r="J16" s="187">
        <f t="shared" si="0"/>
        <v>927.93867584954319</v>
      </c>
      <c r="L16" s="706" t="s">
        <v>381</v>
      </c>
      <c r="M16" s="707" t="s">
        <v>381</v>
      </c>
      <c r="N16" s="707" t="s">
        <v>381</v>
      </c>
      <c r="O16" s="708" t="s">
        <v>381</v>
      </c>
      <c r="P16" s="498">
        <f>'[2]Revenue summary'!$Q$44</f>
        <v>861.71478372619629</v>
      </c>
      <c r="Q16" s="499">
        <v>1018.9795976996902</v>
      </c>
      <c r="R16" s="499">
        <f>SUM(R12:R15)</f>
        <v>-312.68244871778302</v>
      </c>
      <c r="S16" s="500">
        <f>SUM(S12:S15)</f>
        <v>-2.4461960605723196</v>
      </c>
      <c r="T16" s="499">
        <f>SUM(T12:T15)</f>
        <v>-62.536489743556601</v>
      </c>
    </row>
    <row r="17" spans="1:17" x14ac:dyDescent="0.5">
      <c r="P17" s="70"/>
    </row>
    <row r="18" spans="1:17" x14ac:dyDescent="0.5">
      <c r="A18" s="70">
        <f>IF(SUM(E18:Q18)&lt;&gt;0,1,0)</f>
        <v>0</v>
      </c>
      <c r="D18" s="12" t="s">
        <v>116</v>
      </c>
      <c r="E18" s="70">
        <f>IF(ROUND(SUM('[2]Revenue summary'!G7:G11)-E14,2)&lt;&gt;0,1,0)</f>
        <v>0</v>
      </c>
      <c r="F18" s="70">
        <f>IF(ROUND(SUM('[2]Revenue summary'!H7:H11)-F14,2)&lt;&gt;0,1,0)</f>
        <v>0</v>
      </c>
      <c r="G18" s="70">
        <f>IF(ROUND(SUM('[2]Revenue summary'!I7:I11)-G14,2)&lt;&gt;0,1,0)</f>
        <v>0</v>
      </c>
      <c r="H18" s="70">
        <f>IF(ROUND(SUM('[2]Revenue summary'!J7:J11)-H14,2)&lt;&gt;0,1,0)</f>
        <v>0</v>
      </c>
      <c r="I18" s="70">
        <f>IF(ROUND(SUM('[2]Revenue summary'!K7:K11)-I14,2)&lt;&gt;0,1,0)</f>
        <v>0</v>
      </c>
      <c r="J18" s="494"/>
      <c r="L18" s="494"/>
      <c r="P18" s="70">
        <f>IF(ROUND('[2]Revenue summary'!$Q$35-P$14,2)&lt;&gt;0,1,0)</f>
        <v>0</v>
      </c>
      <c r="Q18" s="70">
        <v>0</v>
      </c>
    </row>
    <row r="19" spans="1:17" x14ac:dyDescent="0.5">
      <c r="J19" s="494"/>
    </row>
    <row r="20" spans="1:17" s="139" customFormat="1" x14ac:dyDescent="0.35">
      <c r="B20" s="139" t="s">
        <v>1334</v>
      </c>
    </row>
    <row r="42" spans="2:2" s="139" customFormat="1" x14ac:dyDescent="0.35">
      <c r="B42" s="139" t="s">
        <v>32</v>
      </c>
    </row>
  </sheetData>
  <mergeCells count="9">
    <mergeCell ref="L16:O16"/>
    <mergeCell ref="L13:O13"/>
    <mergeCell ref="L9:O9"/>
    <mergeCell ref="L14:O14"/>
    <mergeCell ref="P8:S8"/>
    <mergeCell ref="L8:O8"/>
    <mergeCell ref="L10:O10"/>
    <mergeCell ref="L11:O11"/>
    <mergeCell ref="L12:O12"/>
  </mergeCells>
  <conditionalFormatting sqref="B2">
    <cfRule type="cellIs" dxfId="26" priority="1" operator="notEqual">
      <formula>"No Errors Found"</formula>
    </cfRule>
  </conditionalFormatting>
  <hyperlinks>
    <hyperlink ref="B3:D3" location="Cover!A1" display="Go to Cover Sheet" xr:uid="{00000000-0004-0000-1900-000000000000}"/>
  </hyperlinks>
  <pageMargins left="0.7" right="0.7"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J33"/>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8.1328125" style="137" customWidth="1"/>
    <col min="5" max="16" width="10.1328125" style="137" customWidth="1"/>
    <col min="17" max="19" width="12.33203125" style="137" customWidth="1"/>
    <col min="20" max="16384" width="9.1328125" style="137"/>
  </cols>
  <sheetData>
    <row r="1" spans="1:10" ht="20.399999999999999" x14ac:dyDescent="0.5">
      <c r="A1" s="65">
        <f>IF(SUM($A6:$A33)&gt;0,1,0)</f>
        <v>0</v>
      </c>
      <c r="B1" s="136" t="s">
        <v>349</v>
      </c>
    </row>
    <row r="2" spans="1:10" s="104" customFormat="1" ht="10.199999999999999" x14ac:dyDescent="0.35">
      <c r="B2" s="105" t="str">
        <f>Title_Msg</f>
        <v>No Errors Found</v>
      </c>
    </row>
    <row r="3" spans="1:10" s="104" customFormat="1" ht="12.3" x14ac:dyDescent="0.35">
      <c r="B3" s="106" t="s">
        <v>51</v>
      </c>
      <c r="C3" s="106"/>
      <c r="D3" s="106"/>
      <c r="E3" s="107"/>
    </row>
    <row r="4" spans="1:10" s="104" customFormat="1" ht="12.3" x14ac:dyDescent="0.35">
      <c r="B4" s="108" t="str">
        <f>Model_Name</f>
        <v>Power and Water Corporation (PWC) - Regulatory Proposal Tables and Charts</v>
      </c>
    </row>
    <row r="6" spans="1:10" s="139" customFormat="1" x14ac:dyDescent="0.35">
      <c r="B6" s="139" t="s">
        <v>686</v>
      </c>
    </row>
    <row r="7" spans="1:10" ht="13.2" thickBot="1" x14ac:dyDescent="0.55000000000000004"/>
    <row r="8" spans="1:10" ht="13.2" thickBot="1" x14ac:dyDescent="0.55000000000000004">
      <c r="D8" s="146" t="s">
        <v>344</v>
      </c>
      <c r="E8" s="141" t="s">
        <v>236</v>
      </c>
      <c r="F8" s="141" t="s">
        <v>237</v>
      </c>
      <c r="G8" s="141" t="s">
        <v>238</v>
      </c>
      <c r="H8" s="141" t="s">
        <v>239</v>
      </c>
      <c r="I8" s="141" t="s">
        <v>240</v>
      </c>
      <c r="J8" s="141" t="s">
        <v>112</v>
      </c>
    </row>
    <row r="9" spans="1:10" ht="13.8" thickBot="1" x14ac:dyDescent="0.55000000000000004">
      <c r="D9" s="142" t="s">
        <v>334</v>
      </c>
      <c r="E9" s="178">
        <f>'[7]Revenue summary'!G7</f>
        <v>1.0934349756962416</v>
      </c>
      <c r="F9" s="178">
        <f>'[7]Revenue summary'!H7</f>
        <v>1.5154168051531065</v>
      </c>
      <c r="G9" s="178">
        <f>'[7]Revenue summary'!I7</f>
        <v>1.7033557267883765</v>
      </c>
      <c r="H9" s="178">
        <f>'[7]Revenue summary'!J7</f>
        <v>1.8839580202495554</v>
      </c>
      <c r="I9" s="178">
        <f>'[7]Revenue summary'!K7</f>
        <v>2.3268518483533542</v>
      </c>
      <c r="J9" s="178">
        <f>SUM(E9:I9)</f>
        <v>8.5230173762406345</v>
      </c>
    </row>
    <row r="10" spans="1:10" ht="13.8" thickBot="1" x14ac:dyDescent="0.55000000000000004">
      <c r="D10" s="142" t="s">
        <v>345</v>
      </c>
      <c r="E10" s="178">
        <f>'[7]Revenue summary'!G8</f>
        <v>0.74343571209177894</v>
      </c>
      <c r="F10" s="178">
        <f>'[7]Revenue summary'!H8</f>
        <v>1.1785219705898482</v>
      </c>
      <c r="G10" s="178">
        <f>'[7]Revenue summary'!I8</f>
        <v>1.4365462592975542</v>
      </c>
      <c r="H10" s="178">
        <f>'[7]Revenue summary'!J8</f>
        <v>1.7091912503690971</v>
      </c>
      <c r="I10" s="178">
        <f>'[7]Revenue summary'!K8</f>
        <v>2.2002061826027015</v>
      </c>
      <c r="J10" s="178">
        <f t="shared" ref="J10:J13" si="0">SUM(E10:I10)</f>
        <v>7.2679013749509798</v>
      </c>
    </row>
    <row r="11" spans="1:10" ht="13.8" thickBot="1" x14ac:dyDescent="0.55000000000000004">
      <c r="D11" s="142" t="s">
        <v>346</v>
      </c>
      <c r="E11" s="178">
        <f>'[7]Revenue summary'!G9</f>
        <v>5.1071952025550127</v>
      </c>
      <c r="F11" s="178">
        <f>'[7]Revenue summary'!H9</f>
        <v>5.1626801514360894</v>
      </c>
      <c r="G11" s="178">
        <f>'[7]Revenue summary'!I9</f>
        <v>5.2197882916709109</v>
      </c>
      <c r="H11" s="178">
        <f>'[7]Revenue summary'!J9</f>
        <v>5.2653277070758637</v>
      </c>
      <c r="I11" s="178">
        <f>'[7]Revenue summary'!K9</f>
        <v>5.3125551721302084</v>
      </c>
      <c r="J11" s="178">
        <f t="shared" si="0"/>
        <v>26.067546524868085</v>
      </c>
    </row>
    <row r="12" spans="1:10" ht="13.8" thickBot="1" x14ac:dyDescent="0.55000000000000004">
      <c r="D12" s="142" t="s">
        <v>347</v>
      </c>
      <c r="E12" s="178">
        <f>'[7]Revenue summary'!G11</f>
        <v>8.7038907948608746E-2</v>
      </c>
      <c r="F12" s="178">
        <f>'[7]Revenue summary'!H11</f>
        <v>9.7960865727167543E-2</v>
      </c>
      <c r="G12" s="178">
        <f>'[7]Revenue summary'!I11</f>
        <v>0.13144893202953056</v>
      </c>
      <c r="H12" s="178">
        <f>'[7]Revenue summary'!J11</f>
        <v>0.16762273355169821</v>
      </c>
      <c r="I12" s="178">
        <f>'[7]Revenue summary'!K11</f>
        <v>0.17716982906627521</v>
      </c>
      <c r="J12" s="178">
        <f t="shared" si="0"/>
        <v>0.66124126832328023</v>
      </c>
    </row>
    <row r="13" spans="1:10" ht="26.1" thickBot="1" x14ac:dyDescent="0.55000000000000004">
      <c r="D13" s="151" t="s">
        <v>241</v>
      </c>
      <c r="E13" s="189">
        <f>'[7]Revenue summary'!G12</f>
        <v>7.0311047982916417</v>
      </c>
      <c r="F13" s="189">
        <f>'[7]Revenue summary'!H12</f>
        <v>7.9545797929062116</v>
      </c>
      <c r="G13" s="189">
        <f>'[7]Revenue summary'!I12</f>
        <v>8.4911392097863718</v>
      </c>
      <c r="H13" s="189">
        <f>'[7]Revenue summary'!J12</f>
        <v>9.0260997112462142</v>
      </c>
      <c r="I13" s="189">
        <f>'[7]Revenue summary'!K12</f>
        <v>10.016783032152539</v>
      </c>
      <c r="J13" s="189">
        <f t="shared" si="0"/>
        <v>42.519706544382977</v>
      </c>
    </row>
    <row r="14" spans="1:10" ht="13.2" thickBot="1" x14ac:dyDescent="0.55000000000000004">
      <c r="D14" s="151" t="s">
        <v>348</v>
      </c>
      <c r="E14" s="190">
        <f>'[7]X factors'!G47</f>
        <v>0</v>
      </c>
      <c r="F14" s="190">
        <f>'[7]X factors'!H47</f>
        <v>-6.9814577142962686E-2</v>
      </c>
      <c r="G14" s="190">
        <f>'[7]X factors'!I47</f>
        <v>-6.9814577142962686E-2</v>
      </c>
      <c r="H14" s="190">
        <f>'[7]X factors'!J47</f>
        <v>-6.9814577142962686E-2</v>
      </c>
      <c r="I14" s="190">
        <f>'[7]X factors'!K47</f>
        <v>-6.9814577142962686E-2</v>
      </c>
      <c r="J14" s="161" t="str">
        <f>NA</f>
        <v>N/A</v>
      </c>
    </row>
    <row r="15" spans="1:10" ht="26.1" thickBot="1" x14ac:dyDescent="0.55000000000000004">
      <c r="D15" s="151" t="s">
        <v>381</v>
      </c>
      <c r="E15" s="187">
        <f>'[7]Revenue summary'!G17</f>
        <v>7.0311047982916435</v>
      </c>
      <c r="F15" s="187">
        <f>'[7]Revenue summary'!H17</f>
        <v>7.704376954760261</v>
      </c>
      <c r="G15" s="187">
        <f>'[7]Revenue summary'!I17</f>
        <v>8.4421191212315794</v>
      </c>
      <c r="H15" s="187">
        <f>'[7]Revenue summary'!J17</f>
        <v>9.2505047034373185</v>
      </c>
      <c r="I15" s="187">
        <f>'[7]Revenue summary'!K17</f>
        <v>10.136298249228245</v>
      </c>
      <c r="J15" s="187">
        <f t="shared" ref="J15" si="1">SUM(E15:I15)</f>
        <v>42.564403826949047</v>
      </c>
    </row>
    <row r="17" spans="1:9" ht="13.5" x14ac:dyDescent="0.5">
      <c r="A17" s="70">
        <f>IF(SUM(D17:H17)&lt;&gt;0,1,0)</f>
        <v>0</v>
      </c>
      <c r="D17" s="271" t="s">
        <v>948</v>
      </c>
      <c r="E17" s="268">
        <f>IF(ROUND('[7]X factors'!G35-E13,2)&lt;&gt;0,1,0)</f>
        <v>0</v>
      </c>
      <c r="F17" s="268">
        <f>IF(ROUND('[7]X factors'!H35-F13,2)&lt;&gt;0,1,0)</f>
        <v>0</v>
      </c>
      <c r="G17" s="268">
        <f>IF(ROUND('[7]X factors'!I35-G13,2)&lt;&gt;0,1,0)</f>
        <v>0</v>
      </c>
      <c r="H17" s="268">
        <f>IF(ROUND('[7]X factors'!J35-H13,2)&lt;&gt;0,1,0)</f>
        <v>0</v>
      </c>
      <c r="I17" s="268">
        <f>IF(ROUND('[7]X factors'!K35-I13,2)&lt;&gt;0,1,0)</f>
        <v>0</v>
      </c>
    </row>
    <row r="18" spans="1:9" ht="13.5" x14ac:dyDescent="0.5">
      <c r="A18" s="70">
        <f>IF(SUM(D18:H18)&lt;&gt;0,1,0)</f>
        <v>0</v>
      </c>
      <c r="D18" s="271" t="s">
        <v>949</v>
      </c>
      <c r="E18" s="268">
        <f>IF(ROUND('[7]X factors'!G44-E15,2)&lt;&gt;0,1,0)</f>
        <v>0</v>
      </c>
      <c r="F18" s="268">
        <f>IF(ROUND('[7]X factors'!H44-F15,2)&lt;&gt;0,1,0)</f>
        <v>0</v>
      </c>
      <c r="G18" s="268">
        <f>IF(ROUND('[7]X factors'!I44-G15,2)&lt;&gt;0,1,0)</f>
        <v>0</v>
      </c>
      <c r="H18" s="268">
        <f>IF(ROUND('[7]X factors'!J44-H15,2)&lt;&gt;0,1,0)</f>
        <v>0</v>
      </c>
      <c r="I18" s="268">
        <f>IF(ROUND('[7]X factors'!K44-I15,2)&lt;&gt;0,1,0)</f>
        <v>0</v>
      </c>
    </row>
    <row r="20" spans="1:9" s="139" customFormat="1" x14ac:dyDescent="0.35">
      <c r="B20" s="139" t="s">
        <v>687</v>
      </c>
    </row>
    <row r="21" spans="1:9" ht="13.2" thickBot="1" x14ac:dyDescent="0.55000000000000004"/>
    <row r="22" spans="1:9" ht="13.2" thickBot="1" x14ac:dyDescent="0.55000000000000004">
      <c r="D22" s="146" t="s">
        <v>245</v>
      </c>
      <c r="E22" s="141" t="s">
        <v>236</v>
      </c>
      <c r="F22" s="141" t="s">
        <v>237</v>
      </c>
      <c r="G22" s="141" t="s">
        <v>238</v>
      </c>
      <c r="H22" s="141" t="s">
        <v>239</v>
      </c>
      <c r="I22" s="141" t="s">
        <v>240</v>
      </c>
    </row>
    <row r="23" spans="1:9" ht="13.8" thickBot="1" x14ac:dyDescent="0.55000000000000004">
      <c r="D23" s="142" t="s">
        <v>350</v>
      </c>
      <c r="E23" s="178">
        <f>[7]Assets!G467</f>
        <v>16.511202711558706</v>
      </c>
      <c r="F23" s="178">
        <f>[7]Assets!H467</f>
        <v>22.341503989594219</v>
      </c>
      <c r="G23" s="178">
        <f>[7]Assets!I467</f>
        <v>24.517727876121967</v>
      </c>
      <c r="H23" s="178">
        <f>[7]Assets!J467</f>
        <v>26.475285106640001</v>
      </c>
      <c r="I23" s="178">
        <f>[7]Assets!K467</f>
        <v>31.925133031027237</v>
      </c>
    </row>
    <row r="24" spans="1:9" ht="13.8" thickBot="1" x14ac:dyDescent="0.55000000000000004">
      <c r="D24" s="142" t="s">
        <v>351</v>
      </c>
      <c r="E24" s="178">
        <f>'[7]PTRM input'!G71</f>
        <v>6.8089152561770545</v>
      </c>
      <c r="F24" s="178">
        <f>'[7]PTRM input'!H71</f>
        <v>3.7524143663033378</v>
      </c>
      <c r="G24" s="178">
        <f>'[7]PTRM input'!I71</f>
        <v>3.7978799723895018</v>
      </c>
      <c r="H24" s="178">
        <f>'[7]PTRM input'!J71</f>
        <v>7.4779427748406562</v>
      </c>
      <c r="I24" s="178">
        <f>'[7]PTRM input'!K71</f>
        <v>3.693421968848392</v>
      </c>
    </row>
    <row r="25" spans="1:9" ht="13.8" thickBot="1" x14ac:dyDescent="0.55000000000000004">
      <c r="D25" s="142" t="s">
        <v>317</v>
      </c>
      <c r="E25" s="178">
        <f>'[7]PTRM input'!G139</f>
        <v>0</v>
      </c>
      <c r="F25" s="178">
        <f>'[7]PTRM input'!H139</f>
        <v>0</v>
      </c>
      <c r="G25" s="178">
        <f>'[7]PTRM input'!I139</f>
        <v>0</v>
      </c>
      <c r="H25" s="178">
        <f>'[7]PTRM input'!J139</f>
        <v>0</v>
      </c>
      <c r="I25" s="178">
        <f>'[7]PTRM input'!K139</f>
        <v>0</v>
      </c>
    </row>
    <row r="26" spans="1:9" ht="13.8" thickBot="1" x14ac:dyDescent="0.55000000000000004">
      <c r="D26" s="142" t="s">
        <v>318</v>
      </c>
      <c r="E26" s="178">
        <f>'[7]PTRM input'!G105</f>
        <v>0</v>
      </c>
      <c r="F26" s="178">
        <f>'[7]PTRM input'!H105</f>
        <v>0</v>
      </c>
      <c r="G26" s="178">
        <f>'[7]PTRM input'!I105</f>
        <v>0</v>
      </c>
      <c r="H26" s="178">
        <f>'[7]PTRM input'!J105</f>
        <v>0</v>
      </c>
      <c r="I26" s="178">
        <f>'[7]PTRM input'!K105</f>
        <v>0</v>
      </c>
    </row>
    <row r="27" spans="1:9" ht="13.8" thickBot="1" x14ac:dyDescent="0.55000000000000004">
      <c r="D27" s="142" t="s">
        <v>316</v>
      </c>
      <c r="E27" s="178">
        <f>SUM(E24:E26)*((1+[7]WACC!G$19)^0.5-1)</f>
        <v>0.13811834505996085</v>
      </c>
      <c r="F27" s="178">
        <f>SUM(F24:F26)*((1+[7]WACC!H$19)^0.5-1)</f>
        <v>7.6117449366528256E-2</v>
      </c>
      <c r="G27" s="178">
        <f>SUM(G24:G26)*((1+[7]WACC!I$19)^0.5-1)</f>
        <v>7.7039715841217035E-2</v>
      </c>
      <c r="H27" s="178">
        <f>SUM(H24:H26)*((1+[7]WACC!J$19)^0.5-1)</f>
        <v>0.15168951905769257</v>
      </c>
      <c r="I27" s="178">
        <f>SUM(I24:I26)*((1+[7]WACC!K$19)^0.5-1)</f>
        <v>7.4920792924049448E-2</v>
      </c>
    </row>
    <row r="28" spans="1:9" ht="13.8" thickBot="1" x14ac:dyDescent="0.55000000000000004">
      <c r="D28" s="193" t="s">
        <v>823</v>
      </c>
      <c r="E28" s="191">
        <f>-[7]Assets!G472/[7]Assets!G7</f>
        <v>-1.1167323232015012</v>
      </c>
      <c r="F28" s="191">
        <f>-[7]Assets!H472/[7]Assets!H7</f>
        <v>-1.6523079291421172</v>
      </c>
      <c r="G28" s="191">
        <f>-[7]Assets!I472/[7]Assets!I7</f>
        <v>-1.9173624577126829</v>
      </c>
      <c r="H28" s="191">
        <f>-[7]Assets!J472/[7]Assets!J7</f>
        <v>-2.1797843695111117</v>
      </c>
      <c r="I28" s="191">
        <f>-[7]Assets!K472/[7]Assets!K7</f>
        <v>-2.7076207197135478</v>
      </c>
    </row>
    <row r="29" spans="1:9" ht="13.8" thickBot="1" x14ac:dyDescent="0.55000000000000004">
      <c r="D29" s="142" t="s">
        <v>352</v>
      </c>
      <c r="E29" s="178">
        <f>SUM(E23:E28)</f>
        <v>22.341503989594223</v>
      </c>
      <c r="F29" s="178">
        <f>SUM(F23:F28)</f>
        <v>24.517727876121967</v>
      </c>
      <c r="G29" s="178">
        <f>SUM(G23:G28)</f>
        <v>26.475285106640001</v>
      </c>
      <c r="H29" s="178">
        <f>SUM(H23:H28)</f>
        <v>31.925133031027237</v>
      </c>
      <c r="I29" s="178">
        <f>SUM(I23:I28)</f>
        <v>32.985855073086128</v>
      </c>
    </row>
    <row r="31" spans="1:9" ht="13.5" x14ac:dyDescent="0.5">
      <c r="A31" s="70">
        <f>IF(SUM(D31:H31)&lt;&gt;0,1,0)</f>
        <v>0</v>
      </c>
      <c r="D31" s="271" t="s">
        <v>820</v>
      </c>
      <c r="E31" s="268">
        <f>IF(ROUND([7]Assets!G466-E29,2)&lt;&gt;0,1,0)</f>
        <v>0</v>
      </c>
      <c r="F31" s="268">
        <f>IF(ROUND([7]Assets!H466-F29,2)&lt;&gt;0,1,0)</f>
        <v>0</v>
      </c>
      <c r="G31" s="268">
        <f>IF(ROUND([7]Assets!I466-G29,2)&lt;&gt;0,1,0)</f>
        <v>0</v>
      </c>
      <c r="H31" s="268">
        <f>IF(ROUND([7]Assets!J466-H29,2)&lt;&gt;0,1,0)</f>
        <v>0</v>
      </c>
      <c r="I31" s="268">
        <f>IF(ROUND([7]Assets!K466-I29,2)&lt;&gt;0,1,0)</f>
        <v>0</v>
      </c>
    </row>
    <row r="33" spans="2:2" s="139" customFormat="1" x14ac:dyDescent="0.35">
      <c r="B33" s="139" t="s">
        <v>32</v>
      </c>
    </row>
  </sheetData>
  <conditionalFormatting sqref="B2">
    <cfRule type="cellIs" dxfId="25" priority="1" operator="notEqual">
      <formula>"No Errors Found"</formula>
    </cfRule>
  </conditionalFormatting>
  <hyperlinks>
    <hyperlink ref="B3:D3" location="Cover!A1" display="Go to Cover Sheet" xr:uid="{00000000-0004-0000-1A00-000000000000}"/>
  </hyperlinks>
  <pageMargins left="0.7" right="0.7" top="0.75" bottom="0.75" header="0.3" footer="0.3"/>
  <pageSetup paperSize="9"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I62"/>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160.46484375" style="137" bestFit="1" customWidth="1"/>
    <col min="5" max="5" width="178" style="137" bestFit="1" customWidth="1"/>
    <col min="6" max="10" width="10.1328125" style="137" customWidth="1"/>
    <col min="11" max="19" width="12.33203125" style="137" customWidth="1"/>
    <col min="20" max="16384" width="9.1328125" style="137"/>
  </cols>
  <sheetData>
    <row r="1" spans="1:7" ht="20.399999999999999" x14ac:dyDescent="0.5">
      <c r="A1" s="65">
        <f>IF(SUM($A6:$A61)&gt;0,1,0)</f>
        <v>0</v>
      </c>
      <c r="B1" s="136" t="s">
        <v>688</v>
      </c>
    </row>
    <row r="2" spans="1:7" s="104" customFormat="1" ht="10.199999999999999" x14ac:dyDescent="0.35">
      <c r="B2" s="105" t="str">
        <f>Title_Msg</f>
        <v>No Errors Found</v>
      </c>
    </row>
    <row r="3" spans="1:7" s="104" customFormat="1" ht="12.3" x14ac:dyDescent="0.35">
      <c r="B3" s="106" t="s">
        <v>51</v>
      </c>
      <c r="C3" s="106"/>
      <c r="D3" s="106"/>
      <c r="E3" s="107"/>
    </row>
    <row r="4" spans="1:7" s="104" customFormat="1" ht="12.3" x14ac:dyDescent="0.35">
      <c r="B4" s="108" t="str">
        <f>Model_Name</f>
        <v>Power and Water Corporation (PWC) - Regulatory Proposal Tables and Charts</v>
      </c>
    </row>
    <row r="6" spans="1:7" s="139" customFormat="1" x14ac:dyDescent="0.35">
      <c r="B6" s="139" t="s">
        <v>1299</v>
      </c>
    </row>
    <row r="7" spans="1:7" ht="13.2" thickBot="1" x14ac:dyDescent="0.55000000000000004"/>
    <row r="8" spans="1:7" ht="13.2" thickBot="1" x14ac:dyDescent="0.55000000000000004">
      <c r="D8" s="503" t="s">
        <v>1300</v>
      </c>
      <c r="E8" s="504" t="s">
        <v>1301</v>
      </c>
    </row>
    <row r="9" spans="1:7" ht="13.2" thickBot="1" x14ac:dyDescent="0.55000000000000004">
      <c r="D9" s="505" t="s">
        <v>1302</v>
      </c>
      <c r="E9" s="506"/>
    </row>
    <row r="10" spans="1:7" ht="13.8" thickBot="1" x14ac:dyDescent="0.55000000000000004">
      <c r="D10" s="507" t="str">
        <f>'[12]Fee Based Services'!B4</f>
        <v>Disconnection</v>
      </c>
      <c r="E10" s="651" t="str">
        <f>'[12]Fee Based Services'!C4</f>
        <v>Disconnection - business hours only</v>
      </c>
      <c r="G10" s="70">
        <f>IF(D10&lt;&gt;TSS!D458,1,0)</f>
        <v>0</v>
      </c>
    </row>
    <row r="11" spans="1:7" ht="13.8" thickBot="1" x14ac:dyDescent="0.55000000000000004">
      <c r="D11" s="507" t="str">
        <f>'[12]Fee Based Services'!B5</f>
        <v>Reconnection</v>
      </c>
      <c r="E11" s="651" t="str">
        <f>'[12]Fee Based Services'!C5</f>
        <v>Reconnection - business hours only</v>
      </c>
      <c r="G11" s="70">
        <f>IF(D11&lt;&gt;TSS!D459,1,0)</f>
        <v>0</v>
      </c>
    </row>
    <row r="12" spans="1:7" ht="13.8" thickBot="1" x14ac:dyDescent="0.55000000000000004">
      <c r="D12" s="507" t="str">
        <f>'[12]Fee Based Services'!B6</f>
        <v xml:space="preserve">Disconnection – with comms (remote charge) </v>
      </c>
      <c r="E12" s="651" t="str">
        <f>'[12]Fee Based Services'!C6</f>
        <v>Disconnection – business hours only – no site visit required</v>
      </c>
      <c r="G12" s="70">
        <f>IF(D12&lt;&gt;TSS!D460,1,0)</f>
        <v>0</v>
      </c>
    </row>
    <row r="13" spans="1:7" ht="13.8" thickBot="1" x14ac:dyDescent="0.55000000000000004">
      <c r="D13" s="507" t="str">
        <f>'[12]Fee Based Services'!B7</f>
        <v>Reconnection – with comms (remote charge)</v>
      </c>
      <c r="E13" s="651" t="str">
        <f>'[12]Fee Based Services'!C7</f>
        <v>Reconnection – business hours only – no site visit required</v>
      </c>
      <c r="G13" s="70">
        <f>IF(D13&lt;&gt;TSS!D461,1,0)</f>
        <v>0</v>
      </c>
    </row>
    <row r="14" spans="1:7" ht="13.8" thickBot="1" x14ac:dyDescent="0.55000000000000004">
      <c r="D14" s="507" t="str">
        <f>'[12]Fee Based Services'!B8</f>
        <v>Remove and reinstate cable</v>
      </c>
      <c r="E14" s="651" t="str">
        <f>'[12]Fee Based Services'!C8</f>
        <v>Temporary removal and reinstatement of service cable at the customer’s request – business hours only</v>
      </c>
      <c r="G14" s="70">
        <f>IF(D14&lt;&gt;TSS!D462,1,0)</f>
        <v>0</v>
      </c>
    </row>
    <row r="15" spans="1:7" ht="13.8" thickBot="1" x14ac:dyDescent="0.55000000000000004">
      <c r="D15" s="507" t="str">
        <f>'[12]Fee Based Services'!B9</f>
        <v>Provision of 3 phase service</v>
      </c>
      <c r="E15" s="651" t="str">
        <f>'[12]Fee Based Services'!C9</f>
        <v>Upgrade of existing site from single phase to three phase at the customer’s request – Business Hours only</v>
      </c>
      <c r="G15" s="70">
        <f>IF(D15&lt;&gt;TSS!D463,1,0)</f>
        <v>0</v>
      </c>
    </row>
    <row r="16" spans="1:7" ht="13.8" thickBot="1" x14ac:dyDescent="0.55000000000000004">
      <c r="D16" s="507" t="str">
        <f>'[12]Fee Based Services'!B10</f>
        <v>Standard temporary builder’s connection</v>
      </c>
      <c r="E16" s="651" t="str">
        <f>'[12]Fee Based Services'!C10</f>
        <v>Connection and supply of electricity for the purpose of development of a site</v>
      </c>
      <c r="G16" s="70">
        <f>IF(D16&lt;&gt;TSS!D464,1,0)</f>
        <v>0</v>
      </c>
    </row>
    <row r="17" spans="4:7" ht="13.8" thickBot="1" x14ac:dyDescent="0.55000000000000004">
      <c r="D17" s="507" t="str">
        <f>'[12]Fee Based Services'!B12</f>
        <v>Temporary disconnection and reconnection</v>
      </c>
      <c r="E17" s="651" t="str">
        <f>'[12]Fee Based Services'!C12</f>
        <v>Temporary disconnection and reconnection of supply (no dismantling of service required – business hours only</v>
      </c>
      <c r="G17" s="70">
        <f>IF(D17&lt;&gt;TSS!D466,1,0)</f>
        <v>0</v>
      </c>
    </row>
    <row r="18" spans="4:7" ht="13.8" thickBot="1" x14ac:dyDescent="0.55000000000000004">
      <c r="D18" s="507" t="str">
        <f>'[12]Fee Based Services'!B13</f>
        <v>Disconnection - physical disconnection of the service mains at the connection to the network (Pillar Box, Pit or Pole Top) due to action or inaction of the network user or their agent</v>
      </c>
      <c r="E18" s="651" t="str">
        <f>'[12]Fee Based Services'!C13</f>
        <v>Physical disconnection required because standard disconnection could not be undertaken and/or completed as planned due to action or inaction of a network user or their agent.– business hours only.</v>
      </c>
      <c r="G18" s="70">
        <f>IF(D18&lt;&gt;TSS!D467,1,0)</f>
        <v>0</v>
      </c>
    </row>
    <row r="19" spans="4:7" ht="13.8" thickBot="1" x14ac:dyDescent="0.55000000000000004">
      <c r="D19" s="507" t="str">
        <f>'[12]Fee Based Services'!B15</f>
        <v>After hours attendance charge</v>
      </c>
      <c r="E19" s="651" t="str">
        <f>'[12]Fee Based Services'!C15</f>
        <v>Additional charge for services carried out after hours at the request of the customer</v>
      </c>
      <c r="G19" s="70">
        <f>IF(D19&lt;&gt;TSS!D469,1,0)</f>
        <v>0</v>
      </c>
    </row>
    <row r="20" spans="4:7" ht="13.8" thickBot="1" x14ac:dyDescent="0.55000000000000004">
      <c r="D20" s="507" t="str">
        <f>'[12]Fee Based Services'!B16</f>
        <v xml:space="preserve">Wasted visit fee. 
</v>
      </c>
      <c r="E20" s="651" t="str">
        <f>'[12]Fee Based Services'!C16</f>
        <v>Additional costs incurred where service provision could not be undertaken and/or completed as planned due to action or inaction of a network user or their agent.</v>
      </c>
      <c r="G20" s="70">
        <f>IF(D20&lt;&gt;TSS!D470,1,0)</f>
        <v>0</v>
      </c>
    </row>
    <row r="21" spans="4:7" ht="13.2" thickBot="1" x14ac:dyDescent="0.55000000000000004">
      <c r="D21" s="505" t="s">
        <v>1303</v>
      </c>
      <c r="E21" s="506"/>
    </row>
    <row r="22" spans="4:7" ht="13.8" thickBot="1" x14ac:dyDescent="0.55000000000000004">
      <c r="D22" s="507" t="str">
        <f>'[12]Fee Based Services'!B19</f>
        <v>Special meter test</v>
      </c>
      <c r="E22" s="651" t="str">
        <f>'[12]Fee Based Services'!C19</f>
        <v>On site use of specialised equipment  to test meter, at customer's request  - business hours only</v>
      </c>
      <c r="G22" s="70">
        <f>IF(D22&lt;&gt;TSS!D440,1,0)</f>
        <v>0</v>
      </c>
    </row>
    <row r="23" spans="4:7" ht="13.8" thickBot="1" x14ac:dyDescent="0.55000000000000004">
      <c r="D23" s="507" t="str">
        <f>'[12]Fee Based Services'!B20</f>
        <v>Exchange or replace meter – three phase</v>
      </c>
      <c r="E23" s="651" t="str">
        <f>'[12]Fee Based Services'!C20</f>
        <v>Exchange three phase meter at the customer's request (including PV installation) or because of customer tampering or damage - business hours only.</v>
      </c>
      <c r="G23" s="70">
        <f>IF(D23&lt;&gt;TSS!D441,1,0)</f>
        <v>0</v>
      </c>
    </row>
    <row r="24" spans="4:7" ht="13.8" thickBot="1" x14ac:dyDescent="0.55000000000000004">
      <c r="D24" s="507" t="str">
        <f>'[12]Fee Based Services'!B21</f>
        <v>Exchange or replace meter - standard</v>
      </c>
      <c r="E24" s="651" t="str">
        <f>'[12]Fee Based Services'!C21</f>
        <v>Exchange standard meter at the customer's request (including PV installation) or because of customer tampering or damage - business hours only.</v>
      </c>
      <c r="G24" s="70">
        <f>IF(D24&lt;&gt;TSS!D442,1,0)</f>
        <v>0</v>
      </c>
    </row>
    <row r="25" spans="4:7" ht="13.8" thickBot="1" x14ac:dyDescent="0.55000000000000004">
      <c r="D25" s="507" t="str">
        <f>'[12]Fee Based Services'!B23</f>
        <v>Relocation of meter</v>
      </c>
      <c r="E25" s="651" t="str">
        <f>'[12]Fee Based Services'!C23</f>
        <v xml:space="preserve">Relocation of meter after customer has relocated meter panel (undertaken at the customer or retailer's request) – business hours only </v>
      </c>
      <c r="G25" s="70">
        <f>IF(D25&lt;&gt;TSS!D443,1,0)</f>
        <v>0</v>
      </c>
    </row>
    <row r="26" spans="4:7" ht="13.8" thickBot="1" x14ac:dyDescent="0.55000000000000004">
      <c r="D26" s="507" t="str">
        <f>'[12]Fee Based Services'!B24</f>
        <v>Remove meter – permanent removal of connection point (meter) from meter panel</v>
      </c>
      <c r="E26" s="651" t="str">
        <f>'[12]Fee Based Services'!C24</f>
        <v>Permanent removal of connection point (meter) from meter panel – business hours only</v>
      </c>
      <c r="G26" s="70">
        <f>IF(D26&lt;&gt;TSS!D444,1,0)</f>
        <v>0</v>
      </c>
    </row>
    <row r="27" spans="4:7" ht="13.8" thickBot="1" x14ac:dyDescent="0.55000000000000004">
      <c r="D27" s="507" t="str">
        <f>'[12]Fee Based Services'!B26</f>
        <v>General meter inspection</v>
      </c>
      <c r="E27" s="651" t="str">
        <f>'[12]Fee Based Services'!C26</f>
        <v>Non-invasive visual only onsite inspection  to check a reported or suspected fault, undertaken at the customer or retailer's request. This charge only applies if no fault is found with the meter - business hours only. No special testing equipment involved.</v>
      </c>
      <c r="G27" s="70">
        <f>IF(D27&lt;&gt;TSS!D445,1,0)</f>
        <v>0</v>
      </c>
    </row>
    <row r="28" spans="4:7" ht="13.8" thickBot="1" x14ac:dyDescent="0.55000000000000004">
      <c r="D28" s="507" t="str">
        <f>'[12]Fee Based Services'!B27</f>
        <v>Special meter read - no appointment</v>
      </c>
      <c r="E28" s="651" t="str">
        <f>'[12]Fee Based Services'!C27</f>
        <v>Reading of meter at customer's request - business hours only - within 2 business days - final read or special read (customer contests bill because usage was estimated) - business hours only</v>
      </c>
      <c r="G28" s="70">
        <f>IF(D28&lt;&gt;TSS!D446,1,0)</f>
        <v>0</v>
      </c>
    </row>
    <row r="29" spans="4:7" ht="13.8" thickBot="1" x14ac:dyDescent="0.55000000000000004">
      <c r="D29" s="507" t="str">
        <f>'[12]Fee Based Services'!B28</f>
        <v>Special meter read - appointment</v>
      </c>
      <c r="E29" s="651" t="str">
        <f>'[12]Fee Based Services'!C28</f>
        <v>Reading of meter at customer's request - business hours only - specified day and time - final read or special read - business hours only</v>
      </c>
      <c r="G29" s="70">
        <f>IF(D29&lt;&gt;TSS!D447,1,0)</f>
        <v>0</v>
      </c>
    </row>
    <row r="30" spans="4:7" ht="13.8" thickBot="1" x14ac:dyDescent="0.55000000000000004">
      <c r="D30" s="507" t="str">
        <f>'[12]Fee Based Services'!B29</f>
        <v>Meter program change – no comms</v>
      </c>
      <c r="E30" s="651" t="str">
        <f>'[12]Fee Based Services'!C29</f>
        <v>Meter reprogramming carried out on site at customer's request to support their selected tariff arrangements e.g. Prepayment, PV or time of use (per meter) - business hours only</v>
      </c>
      <c r="G30" s="70">
        <f>IF(D30&lt;&gt;TSS!D448,1,0)</f>
        <v>0</v>
      </c>
    </row>
    <row r="31" spans="4:7" ht="13.8" thickBot="1" x14ac:dyDescent="0.55000000000000004">
      <c r="D31" s="507" t="str">
        <f>'[12]Fee Based Services'!B30</f>
        <v>Meter program change – with comms</v>
      </c>
      <c r="E31" s="651" t="str">
        <f>'[12]Fee Based Services'!C30</f>
        <v>Meter reprogramming carried out remotely at customer's request to support their selected tariff arrangements e.g. Prepayment, PV or time of use (per meter) - business hours only</v>
      </c>
      <c r="G31" s="70">
        <f>IF(D31&lt;&gt;TSS!D449,1,0)</f>
        <v>0</v>
      </c>
    </row>
    <row r="32" spans="4:7" ht="13.2" thickBot="1" x14ac:dyDescent="0.55000000000000004">
      <c r="D32" s="505" t="s">
        <v>1304</v>
      </c>
      <c r="E32" s="506"/>
    </row>
    <row r="33" spans="1:9" ht="13.8" thickBot="1" x14ac:dyDescent="0.55000000000000004">
      <c r="D33" s="507" t="str">
        <f>'[12]Fee Based Services'!B32</f>
        <v>Historical data requests</v>
      </c>
      <c r="E33" s="507" t="str">
        <f>'[12]Fee Based Services'!C32</f>
        <v xml:space="preserve">Load analysis retailer or customer requested. Business Hours only. This charge applies for data requests with up to and including 5 NMI’s. Any single data requests for more than 5 NMI’s will be charged on a quoted basis. </v>
      </c>
      <c r="G33" s="70">
        <f>IF(D33&lt;&gt;TSS!D472,1,0)</f>
        <v>0</v>
      </c>
    </row>
    <row r="34" spans="1:9" ht="13.8" thickBot="1" x14ac:dyDescent="0.55000000000000004">
      <c r="D34" s="507" t="str">
        <f>'[12]Fee Based Services'!B33</f>
        <v>Standing data requests</v>
      </c>
      <c r="E34" s="507" t="str">
        <f>'[12]Fee Based Services'!C33</f>
        <v>Provision of customer standing data, including NMI, Tariff Code, Time of Day &amp; unit of measure retailer or customer requested. Business Hours Only. 
This charge applies for data requests with up to and including 5 NMI’s. Any single data requests for more than 5 NMI’s will be charged on a quoted basis.</v>
      </c>
      <c r="G34" s="70">
        <f>IF(D34&lt;&gt;TSS!D473,1,0)</f>
        <v>0</v>
      </c>
    </row>
    <row r="35" spans="1:9" ht="13.8" thickBot="1" x14ac:dyDescent="0.55000000000000004">
      <c r="D35" s="507" t="str">
        <f>'[12]Fee Based Services'!B34</f>
        <v>Customer transfers</v>
      </c>
      <c r="E35" s="507" t="str">
        <f>'[12]Fee Based Services'!C34</f>
        <v>Transfer of customer’s retailer, retailer or customer requested - business hours only. 
Fee applies per dataset, per format of data.</v>
      </c>
      <c r="G35" s="70">
        <f>IF(D35&lt;&gt;TSS!D474,1,0)</f>
        <v>0</v>
      </c>
    </row>
    <row r="36" spans="1:9" ht="13.8" thickBot="1" x14ac:dyDescent="0.55000000000000004">
      <c r="D36" s="507" t="str">
        <f>'[12]Fee Based Services'!B35</f>
        <v>Network tariff change request</v>
      </c>
      <c r="E36" s="507" t="str">
        <f>'[12]Fee Based Services'!C35</f>
        <v>Consumption analysis for a NMI at customer/retailer request to review tariff reassignment. Analysis reviews customer consumption against 750MWh pa consumption threshold.</v>
      </c>
      <c r="G36" s="70">
        <f>IF(D36&lt;&gt;TSS!D475,1,0)</f>
        <v>0</v>
      </c>
    </row>
    <row r="37" spans="1:9" ht="13.2" thickBot="1" x14ac:dyDescent="0.55000000000000004">
      <c r="D37" s="505" t="s">
        <v>1764</v>
      </c>
      <c r="E37" s="506"/>
    </row>
    <row r="38" spans="1:9" ht="13.8" thickBot="1" x14ac:dyDescent="0.55000000000000004">
      <c r="D38" s="507" t="str">
        <f>'[12]Fee Based Services'!B38</f>
        <v xml:space="preserve">Installation of Minor Apparatus </v>
      </c>
      <c r="E38" s="651" t="str">
        <f>'[12]Fee Based Services'!C38</f>
        <v>Installation and removal of polyloggers – Business Hours only</v>
      </c>
      <c r="G38" s="70">
        <f>IF(D38&lt;&gt;TSS!D477,1,0)</f>
        <v>0</v>
      </c>
    </row>
    <row r="40" spans="1:9" ht="13.5" x14ac:dyDescent="0.5">
      <c r="A40" s="70">
        <f>IF(SUM(D40:H40)&lt;&gt;0,1,0)</f>
        <v>0</v>
      </c>
      <c r="D40" s="271" t="s">
        <v>1765</v>
      </c>
      <c r="E40" s="268"/>
      <c r="F40" s="268"/>
      <c r="G40" s="70">
        <f>SUM(G10:G38)</f>
        <v>0</v>
      </c>
      <c r="H40" s="70"/>
      <c r="I40" s="268"/>
    </row>
    <row r="42" spans="1:9" s="139" customFormat="1" x14ac:dyDescent="0.35">
      <c r="B42" s="139" t="s">
        <v>1305</v>
      </c>
    </row>
    <row r="43" spans="1:9" ht="13.2" thickBot="1" x14ac:dyDescent="0.55000000000000004"/>
    <row r="44" spans="1:9" ht="13.2" thickBot="1" x14ac:dyDescent="0.55000000000000004">
      <c r="D44" s="503" t="s">
        <v>1306</v>
      </c>
      <c r="E44" s="504" t="s">
        <v>1301</v>
      </c>
    </row>
    <row r="45" spans="1:9" ht="13.8" thickBot="1" x14ac:dyDescent="0.55000000000000004">
      <c r="D45" s="507" t="str">
        <f>TSS!D485</f>
        <v>Design related services</v>
      </c>
      <c r="E45" s="507" t="str">
        <f>TSS!E485</f>
        <v>Includes the provision of design information, certification, and rechecking technically complex or environmentally sensitive information. - Business Hours</v>
      </c>
    </row>
    <row r="46" spans="1:9" ht="13.8" thickBot="1" x14ac:dyDescent="0.55000000000000004">
      <c r="D46" s="507" t="str">
        <f>TSS!D486</f>
        <v>Connection applications</v>
      </c>
      <c r="E46" s="507" t="str">
        <f>TSS!E486</f>
        <v>Includes assessing connection applications, undertaking planning studies and associated technical analysis. - Business Hours</v>
      </c>
    </row>
    <row r="47" spans="1:9" ht="13.8" thickBot="1" x14ac:dyDescent="0.55000000000000004">
      <c r="D47" s="507" t="str">
        <f>TSS!D487</f>
        <v>Access permits, oversights and facilitation</v>
      </c>
      <c r="E47" s="507" t="str">
        <f>TSS!E487</f>
        <v>Includes issuing access permits or clearances to work for an authorised person on or near distribution systems (LV and HV), confined spaces and switch rooms, substations and the like. - Business Hours</v>
      </c>
    </row>
    <row r="48" spans="1:9" ht="13.8" thickBot="1" x14ac:dyDescent="0.55000000000000004">
      <c r="D48" s="507" t="str">
        <f>TSS!D488</f>
        <v>Notices of arrangement and completion notices</v>
      </c>
      <c r="E48" s="507" t="str">
        <f>TSS!E488</f>
        <v>Includes the requirement to perform administrative work required by a local council to provide written evidence that arrangements required to supply electricity to a development are in place. A completion notice may also be required when a customer/developer requires documentation confirming progress of work. - Business Hours</v>
      </c>
    </row>
    <row r="49" spans="2:5" ht="13.8" thickBot="1" x14ac:dyDescent="0.55000000000000004">
      <c r="D49" s="507" t="str">
        <f>TSS!D489</f>
        <v>Network related property services</v>
      </c>
      <c r="E49" s="507" t="str">
        <f>TSS!E489</f>
        <v>Includes the property tenure services related to deeds of agreement, indemnity deeds, leases, easements and other property tenure rights linked to connection or relocation. - Business Hours</v>
      </c>
    </row>
    <row r="50" spans="2:5" ht="13.8" thickBot="1" x14ac:dyDescent="0.55000000000000004">
      <c r="D50" s="507" t="str">
        <f>TSS!D490</f>
        <v>Site establishment services</v>
      </c>
      <c r="E50" s="507" t="str">
        <f>TSS!E490</f>
        <v>Includes liaising with AEMO (or NT equivalent) and market participants to establish a NMI in markets systems for new or existing premises where AEMO (or NT equivalent) requires a new NMI and the validation and uploading of network load data. 
Activities include but not limited to:
• Site establishment including liaising with the AEMO (or NT Equivalent ) for market participants to establish NMI’s for market systems;
• Site alteration update and maintenance of NMI and associated data in market systems;
• NMI extinction, processing a customer’s request for permanent disconnection and NMI extinction in market systems; &amp;
Confirming or correcting metering or network billing information due to insufficient or incorrect information. - Business Hours</v>
      </c>
    </row>
    <row r="51" spans="2:5" ht="13.8" thickBot="1" x14ac:dyDescent="0.55000000000000004">
      <c r="D51" s="507" t="str">
        <f>TSS!D491</f>
        <v>Network safety services</v>
      </c>
      <c r="E51" s="507" t="str">
        <f>TSS!E491</f>
        <v>Includes the DNSP providing traffic control services, fitting of tiger tails, tree pruning, and high load escorts. - Business Hours</v>
      </c>
    </row>
    <row r="52" spans="2:5" ht="13.8" thickBot="1" x14ac:dyDescent="0.55000000000000004">
      <c r="D52" s="507" t="str">
        <f>TSS!D492</f>
        <v>Network tariff change request</v>
      </c>
      <c r="E52" s="507" t="str">
        <f>TSS!E492</f>
        <v>Activities include altering an existing network tariff by conducting load and tariff analysis to ensure the relevant tariff criteria is met.
This change request relates to processing IT system changes to reflect a bulk tariff change request such as a large customer with multiple sites. - Business Hours</v>
      </c>
    </row>
    <row r="53" spans="2:5" ht="13.8" thickBot="1" x14ac:dyDescent="0.55000000000000004">
      <c r="D53" s="507" t="str">
        <f>TSS!D493</f>
        <v>Planned interruption - customer request</v>
      </c>
      <c r="E53" s="507" t="str">
        <f>TSS!E493</f>
        <v>At customer or retailer request, a planned interruption is moved outside business hours. - Business Hours</v>
      </c>
    </row>
    <row r="54" spans="2:5" ht="13.8" thickBot="1" x14ac:dyDescent="0.55000000000000004">
      <c r="D54" s="507" t="str">
        <f>TSS!D494</f>
        <v>Performance of a statutory right (access prevented)</v>
      </c>
      <c r="E54" s="507" t="str">
        <f>TSS!E494</f>
        <v>Includes a follow up attendance at a customer’s premises to perform a statutory right where access was declined or prevented on the initial visit. This includes any costs of arranging security or police services. - Business Hours</v>
      </c>
    </row>
    <row r="55" spans="2:5" ht="13.8" thickBot="1" x14ac:dyDescent="0.55000000000000004">
      <c r="D55" s="507" t="str">
        <f>TSS!D495</f>
        <v>Provision of network related training to third parties</v>
      </c>
      <c r="E55" s="507" t="str">
        <f>TSS!E495</f>
        <v>Includes the training of third parties to a level of attainment required to obtain specific distribution network access authorisation to the DNSP’s network. This may include demonstrating the necessary competency in the DNSP’s electricity safety rules. - Business Hours</v>
      </c>
    </row>
    <row r="56" spans="2:5" ht="13.8" thickBot="1" x14ac:dyDescent="0.55000000000000004">
      <c r="D56" s="507" t="str">
        <f>TSS!D496</f>
        <v>Non-standard reporting services</v>
      </c>
      <c r="E56" s="507" t="str">
        <f>TSS!E496</f>
        <v>Includes developing meter data provision reporting such as standard data, billing data or load profiles for single requests with more than 5 NMI’s.
Single data requests with 5 NMI’s or less, will be charged the ACS Fee Based charge (Historical Data Request or Standing Data Request) per request.  - Business Hours</v>
      </c>
    </row>
    <row r="57" spans="2:5" ht="13.8" thickBot="1" x14ac:dyDescent="0.55000000000000004">
      <c r="D57" s="507" t="str">
        <f>TSS!D497</f>
        <v xml:space="preserve">Services provided for retailer of last resort event </v>
      </c>
      <c r="E57" s="507" t="str">
        <f>TSS!E497</f>
        <v>DNSP may be required to provide a number of services when an ROLR event occurs. This includes preparing a list of affected sites, estimating reads for the ROLR event date, preparing final invoices and extracting customer data. - Business Hours</v>
      </c>
    </row>
    <row r="58" spans="2:5" ht="13.8" thickBot="1" x14ac:dyDescent="0.55000000000000004">
      <c r="D58" s="507" t="str">
        <f>TSS!D498</f>
        <v>Rectification of illegal connections service</v>
      </c>
      <c r="E58" s="507" t="str">
        <f>TSS!E498</f>
        <v>Includes work undertaken by the DNSP to investigate and rectify the fraudulent acquisition of energy at a premises; or intentional consumption of energy at those premises otherwise than in accordance with the energy laws</v>
      </c>
    </row>
    <row r="59" spans="2:5" ht="13.8" thickBot="1" x14ac:dyDescent="0.55000000000000004">
      <c r="D59" s="507" t="str">
        <f>TSS!D499</f>
        <v>Rearrangement and connection of network assets at customer request</v>
      </c>
      <c r="E59" s="507" t="str">
        <f>TSS!E499</f>
        <v>Includes relocation of assets (such as poles) that involves installing a new asset at customer or retailer request. - Business Hours</v>
      </c>
    </row>
    <row r="61" spans="2:5" s="139" customFormat="1" x14ac:dyDescent="0.35">
      <c r="B61" s="139" t="s">
        <v>32</v>
      </c>
    </row>
    <row r="62" spans="2:5" x14ac:dyDescent="0.5">
      <c r="B62" s="226" t="s">
        <v>548</v>
      </c>
    </row>
  </sheetData>
  <conditionalFormatting sqref="B2">
    <cfRule type="cellIs" dxfId="24" priority="1" operator="notEqual">
      <formula>"No Errors Found"</formula>
    </cfRule>
  </conditionalFormatting>
  <hyperlinks>
    <hyperlink ref="B3:D3" location="Cover!A1" display="Go to Cover Sheet"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689</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23" priority="1" operator="notEqual">
      <formula>"No Errors Found"</formula>
    </cfRule>
  </conditionalFormatting>
  <hyperlinks>
    <hyperlink ref="B3:D3" location="Cover!A1" display="Go to Cover Sheet"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O39"/>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0" defaultRowHeight="10.199999999999999" x14ac:dyDescent="0.35"/>
  <cols>
    <col min="1" max="3" width="2.796875" style="7" customWidth="1"/>
    <col min="4" max="4" width="43.796875" style="7" customWidth="1"/>
    <col min="5" max="9" width="10.796875" style="7" customWidth="1"/>
    <col min="10" max="15" width="10.796875" style="7" hidden="1" customWidth="1"/>
    <col min="16" max="16384" width="9.1328125" style="7" hidden="1"/>
  </cols>
  <sheetData>
    <row r="1" spans="2:7" ht="18.899999999999999" x14ac:dyDescent="0.35">
      <c r="B1" s="5" t="s">
        <v>191</v>
      </c>
    </row>
    <row r="2" spans="2:7" x14ac:dyDescent="0.35">
      <c r="B2" s="18" t="str">
        <f>Title_Msg</f>
        <v>No Errors Found</v>
      </c>
    </row>
    <row r="3" spans="2:7" ht="12.3" x14ac:dyDescent="0.35">
      <c r="B3" s="55" t="s">
        <v>51</v>
      </c>
      <c r="C3" s="55"/>
      <c r="D3" s="55"/>
      <c r="E3" s="16"/>
    </row>
    <row r="4" spans="2:7" ht="12.3" x14ac:dyDescent="0.35">
      <c r="B4" s="46" t="str">
        <f>Model_Name</f>
        <v>Power and Water Corporation (PWC) - Regulatory Proposal Tables and Charts</v>
      </c>
    </row>
    <row r="6" spans="2:7" s="139" customFormat="1" ht="12.9" x14ac:dyDescent="0.35">
      <c r="B6" s="139" t="str">
        <f>B1</f>
        <v>Corporate Chart Formats</v>
      </c>
    </row>
    <row r="7" spans="2:7" s="6" customFormat="1" ht="4.5" customHeight="1" x14ac:dyDescent="0.35"/>
    <row r="8" spans="2:7" s="162" customFormat="1" ht="14.4" x14ac:dyDescent="0.35">
      <c r="C8" s="162" t="s">
        <v>192</v>
      </c>
    </row>
    <row r="10" spans="2:7" ht="12.9" x14ac:dyDescent="0.35">
      <c r="D10" s="12" t="s">
        <v>373</v>
      </c>
      <c r="E10" s="91" t="s">
        <v>353</v>
      </c>
      <c r="G10" s="163"/>
    </row>
    <row r="11" spans="2:7" ht="14.4" x14ac:dyDescent="0.35">
      <c r="D11" s="12" t="s">
        <v>374</v>
      </c>
      <c r="E11" s="91" t="s">
        <v>354</v>
      </c>
      <c r="G11" s="164"/>
    </row>
    <row r="12" spans="2:7" ht="12.3" x14ac:dyDescent="0.35">
      <c r="D12" s="12" t="s">
        <v>193</v>
      </c>
      <c r="E12" s="91" t="s">
        <v>204</v>
      </c>
      <c r="G12" s="92"/>
    </row>
    <row r="13" spans="2:7" ht="12.3" x14ac:dyDescent="0.35">
      <c r="D13" s="12" t="s">
        <v>375</v>
      </c>
      <c r="E13" s="91" t="s">
        <v>376</v>
      </c>
      <c r="G13" s="165"/>
    </row>
    <row r="14" spans="2:7" x14ac:dyDescent="0.35">
      <c r="G14" s="165"/>
    </row>
    <row r="15" spans="2:7" ht="12.3" x14ac:dyDescent="0.35">
      <c r="D15" s="12" t="s">
        <v>355</v>
      </c>
      <c r="E15" s="91" t="s">
        <v>364</v>
      </c>
      <c r="G15" s="166"/>
    </row>
    <row r="16" spans="2:7" ht="12.3" x14ac:dyDescent="0.35">
      <c r="D16" s="12" t="s">
        <v>356</v>
      </c>
      <c r="E16" s="91" t="s">
        <v>365</v>
      </c>
      <c r="G16" s="167"/>
    </row>
    <row r="17" spans="3:7" ht="12.3" x14ac:dyDescent="0.35">
      <c r="D17" s="12" t="s">
        <v>357</v>
      </c>
      <c r="E17" s="91" t="s">
        <v>366</v>
      </c>
      <c r="G17" s="168"/>
    </row>
    <row r="18" spans="3:7" ht="12.3" x14ac:dyDescent="0.35">
      <c r="D18" s="12" t="s">
        <v>358</v>
      </c>
      <c r="E18" s="91" t="s">
        <v>367</v>
      </c>
      <c r="G18" s="169"/>
    </row>
    <row r="19" spans="3:7" ht="12.3" x14ac:dyDescent="0.35">
      <c r="D19" s="12" t="s">
        <v>359</v>
      </c>
      <c r="E19" s="91" t="s">
        <v>368</v>
      </c>
      <c r="G19" s="170"/>
    </row>
    <row r="20" spans="3:7" ht="12.3" x14ac:dyDescent="0.35">
      <c r="D20" s="12" t="s">
        <v>360</v>
      </c>
      <c r="E20" s="91" t="s">
        <v>369</v>
      </c>
      <c r="G20" s="171"/>
    </row>
    <row r="21" spans="3:7" ht="12.3" x14ac:dyDescent="0.35">
      <c r="D21" s="12" t="s">
        <v>361</v>
      </c>
      <c r="E21" s="91" t="s">
        <v>370</v>
      </c>
      <c r="G21" s="172"/>
    </row>
    <row r="22" spans="3:7" ht="12.3" x14ac:dyDescent="0.35">
      <c r="D22" s="12" t="s">
        <v>362</v>
      </c>
      <c r="E22" s="91" t="s">
        <v>371</v>
      </c>
      <c r="G22" s="173"/>
    </row>
    <row r="23" spans="3:7" ht="12.3" x14ac:dyDescent="0.35">
      <c r="D23" s="12" t="s">
        <v>363</v>
      </c>
      <c r="E23" s="91" t="s">
        <v>372</v>
      </c>
      <c r="G23" s="174"/>
    </row>
    <row r="25" spans="3:7" s="162" customFormat="1" ht="14.4" x14ac:dyDescent="0.35">
      <c r="C25" s="162" t="s">
        <v>194</v>
      </c>
    </row>
    <row r="27" spans="3:7" ht="12.3" x14ac:dyDescent="0.35">
      <c r="D27" s="12" t="s">
        <v>188</v>
      </c>
      <c r="E27" s="91" t="s">
        <v>189</v>
      </c>
    </row>
    <row r="28" spans="3:7" ht="12.3" x14ac:dyDescent="0.35">
      <c r="D28" s="12" t="s">
        <v>190</v>
      </c>
      <c r="E28" s="91" t="s">
        <v>212</v>
      </c>
    </row>
    <row r="29" spans="3:7" ht="12.3" x14ac:dyDescent="0.35">
      <c r="D29" s="12" t="s">
        <v>195</v>
      </c>
      <c r="E29" s="91" t="s">
        <v>213</v>
      </c>
    </row>
    <row r="30" spans="3:7" ht="12.3" x14ac:dyDescent="0.35">
      <c r="D30" s="12" t="s">
        <v>198</v>
      </c>
      <c r="E30" s="91" t="s">
        <v>199</v>
      </c>
    </row>
    <row r="31" spans="3:7" ht="12.3" x14ac:dyDescent="0.35">
      <c r="D31" s="12" t="s">
        <v>200</v>
      </c>
      <c r="E31" s="91" t="s">
        <v>201</v>
      </c>
    </row>
    <row r="32" spans="3:7" ht="12.3" x14ac:dyDescent="0.35">
      <c r="D32" s="12" t="s">
        <v>196</v>
      </c>
      <c r="E32" s="91" t="s">
        <v>197</v>
      </c>
    </row>
    <row r="33" spans="2:5" ht="12.3" x14ac:dyDescent="0.35">
      <c r="D33" s="12" t="s">
        <v>202</v>
      </c>
      <c r="E33" s="91" t="s">
        <v>203</v>
      </c>
    </row>
    <row r="34" spans="2:5" ht="12.3" x14ac:dyDescent="0.35">
      <c r="D34" s="12" t="s">
        <v>206</v>
      </c>
      <c r="E34" s="91" t="s">
        <v>205</v>
      </c>
    </row>
    <row r="35" spans="2:5" ht="12.3" x14ac:dyDescent="0.35">
      <c r="D35" s="12" t="s">
        <v>207</v>
      </c>
      <c r="E35" s="91" t="s">
        <v>208</v>
      </c>
    </row>
    <row r="36" spans="2:5" ht="12.3" x14ac:dyDescent="0.35">
      <c r="D36" s="12" t="s">
        <v>209</v>
      </c>
      <c r="E36" s="93">
        <v>0.2</v>
      </c>
    </row>
    <row r="37" spans="2:5" ht="12.3" x14ac:dyDescent="0.35">
      <c r="D37" s="12" t="s">
        <v>210</v>
      </c>
      <c r="E37" s="93" t="s">
        <v>211</v>
      </c>
    </row>
    <row r="39" spans="2:5" s="139" customFormat="1" ht="12.9" x14ac:dyDescent="0.35">
      <c r="B39" s="139" t="s">
        <v>32</v>
      </c>
    </row>
  </sheetData>
  <conditionalFormatting sqref="B2">
    <cfRule type="cellIs" dxfId="48" priority="1" operator="notEqual">
      <formula>"No Errors Found"</formula>
    </cfRule>
  </conditionalFormatting>
  <hyperlinks>
    <hyperlink ref="D26" location="Checks!A1" display="Checks!A1" xr:uid="{00000000-0004-0000-0200-000000000000}"/>
    <hyperlink ref="B3:D3" location="Cover!A1" display="Go to Cover Sheet" xr:uid="{00000000-0004-0000-0200-000001000000}"/>
    <hyperlink ref="C8" location="SC_General!A1" display="SC_General!A1" xr:uid="{00000000-0004-0000-0200-000002000000}"/>
    <hyperlink ref="C25" location="SC_General!A1" display="SC_General!A1" xr:uid="{00000000-0004-0000-0200-000003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dimension ref="A1:P71"/>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6" width="11.6640625" style="137" customWidth="1"/>
    <col min="7" max="10" width="10.1328125" style="137" customWidth="1"/>
    <col min="11" max="19" width="12.33203125" style="137" customWidth="1"/>
    <col min="20" max="16384" width="9.1328125" style="137"/>
  </cols>
  <sheetData>
    <row r="1" spans="1:9" ht="20.399999999999999" x14ac:dyDescent="0.5">
      <c r="A1" s="65">
        <f>IF(SUM($A6:$A70)&gt;0,1,0)</f>
        <v>0</v>
      </c>
      <c r="B1" s="136" t="s">
        <v>690</v>
      </c>
    </row>
    <row r="2" spans="1:9" s="104" customFormat="1" ht="10.199999999999999" x14ac:dyDescent="0.35">
      <c r="B2" s="105" t="str">
        <f>Title_Msg</f>
        <v>No Errors Found</v>
      </c>
    </row>
    <row r="3" spans="1:9" s="104" customFormat="1" ht="12.3" x14ac:dyDescent="0.35">
      <c r="B3" s="106" t="s">
        <v>51</v>
      </c>
      <c r="C3" s="106"/>
      <c r="D3" s="106"/>
      <c r="E3" s="107"/>
    </row>
    <row r="4" spans="1:9" s="104" customFormat="1" ht="12.3" x14ac:dyDescent="0.35">
      <c r="B4" s="108" t="str">
        <f>Model_Name</f>
        <v>Power and Water Corporation (PWC) - Regulatory Proposal Tables and Charts</v>
      </c>
    </row>
    <row r="6" spans="1:9" s="139" customFormat="1" x14ac:dyDescent="0.35">
      <c r="B6" s="139" t="s">
        <v>976</v>
      </c>
    </row>
    <row r="7" spans="1:9" ht="13.2" thickBot="1" x14ac:dyDescent="0.55000000000000004"/>
    <row r="8" spans="1:9" ht="13.2" thickBot="1" x14ac:dyDescent="0.55000000000000004">
      <c r="D8" s="723"/>
      <c r="E8" s="696" t="s">
        <v>977</v>
      </c>
      <c r="F8" s="230" t="s">
        <v>978</v>
      </c>
      <c r="G8" s="230" t="s">
        <v>978</v>
      </c>
      <c r="H8" s="230" t="s">
        <v>979</v>
      </c>
      <c r="I8" s="230" t="s">
        <v>1307</v>
      </c>
    </row>
    <row r="9" spans="1:9" ht="15.6" thickBot="1" x14ac:dyDescent="0.55000000000000004">
      <c r="D9" s="724"/>
      <c r="E9" s="698"/>
      <c r="F9" s="389" t="s">
        <v>980</v>
      </c>
      <c r="G9" s="389" t="s">
        <v>981</v>
      </c>
      <c r="H9" s="389" t="s">
        <v>1248</v>
      </c>
      <c r="I9" s="389" t="s">
        <v>1248</v>
      </c>
    </row>
    <row r="10" spans="1:9" ht="13.8" thickBot="1" x14ac:dyDescent="0.55000000000000004">
      <c r="D10" s="248" t="s">
        <v>982</v>
      </c>
      <c r="E10" s="400">
        <f>'[13]Output_Tariff_Schedules_No GST'!C8</f>
        <v>1116.3191025212582</v>
      </c>
      <c r="F10" s="401"/>
      <c r="G10" s="401"/>
      <c r="H10" s="401"/>
      <c r="I10" s="401"/>
    </row>
    <row r="11" spans="1:9" ht="26.1" thickBot="1" x14ac:dyDescent="0.55000000000000004">
      <c r="D11" s="390" t="s">
        <v>983</v>
      </c>
      <c r="E11" s="401"/>
      <c r="F11" s="402">
        <f>'[13]Output_Tariff_Schedules_No GST'!D9</f>
        <v>7.1561833650559903</v>
      </c>
      <c r="G11" s="402">
        <f>'[13]Output_Tariff_Schedules_No GST'!E9</f>
        <v>0</v>
      </c>
      <c r="H11" s="402"/>
      <c r="I11" s="402"/>
    </row>
    <row r="12" spans="1:9" ht="26.1" thickBot="1" x14ac:dyDescent="0.55000000000000004">
      <c r="D12" s="390" t="s">
        <v>984</v>
      </c>
      <c r="E12" s="401"/>
      <c r="F12" s="402"/>
      <c r="G12" s="402"/>
      <c r="H12" s="402">
        <f>'[13]Output_Tariff_Schedules_No GST'!F10</f>
        <v>3.2851393876953505</v>
      </c>
      <c r="I12" s="402"/>
    </row>
    <row r="13" spans="1:9" ht="13.8" thickBot="1" x14ac:dyDescent="0.55000000000000004">
      <c r="D13" s="390" t="s">
        <v>1308</v>
      </c>
      <c r="E13" s="401"/>
      <c r="F13" s="402"/>
      <c r="G13" s="402"/>
      <c r="H13" s="402"/>
      <c r="I13" s="402">
        <f>'[13]Output_Tariff_Schedules_No GST'!G11</f>
        <v>4</v>
      </c>
    </row>
    <row r="15" spans="1:9" s="139" customFormat="1" x14ac:dyDescent="0.35">
      <c r="B15" s="139" t="s">
        <v>985</v>
      </c>
    </row>
    <row r="16" spans="1:9" ht="13.2" thickBot="1" x14ac:dyDescent="0.55000000000000004"/>
    <row r="17" spans="2:9" ht="13.8" thickBot="1" x14ac:dyDescent="0.55000000000000004">
      <c r="D17" s="391"/>
      <c r="E17" s="696" t="s">
        <v>986</v>
      </c>
      <c r="F17" s="230" t="s">
        <v>978</v>
      </c>
      <c r="G17" s="230" t="s">
        <v>978</v>
      </c>
      <c r="H17" s="230" t="s">
        <v>979</v>
      </c>
      <c r="I17" s="230" t="s">
        <v>1307</v>
      </c>
    </row>
    <row r="18" spans="2:9" ht="15.6" thickBot="1" x14ac:dyDescent="0.55000000000000004">
      <c r="D18" s="388"/>
      <c r="E18" s="698"/>
      <c r="F18" s="389" t="s">
        <v>980</v>
      </c>
      <c r="G18" s="389" t="s">
        <v>981</v>
      </c>
      <c r="H18" s="389" t="s">
        <v>1248</v>
      </c>
      <c r="I18" s="389" t="s">
        <v>1248</v>
      </c>
    </row>
    <row r="19" spans="2:9" ht="13.8" thickBot="1" x14ac:dyDescent="0.55000000000000004">
      <c r="D19" s="248" t="s">
        <v>982</v>
      </c>
      <c r="E19" s="400">
        <f>'[13]Output_Tariff_Schedules_No GST'!C20</f>
        <v>1298.0454680479745</v>
      </c>
      <c r="F19" s="401"/>
      <c r="G19" s="401"/>
      <c r="H19" s="401"/>
      <c r="I19" s="402"/>
    </row>
    <row r="20" spans="2:9" ht="26.1" thickBot="1" x14ac:dyDescent="0.55000000000000004">
      <c r="D20" s="390" t="s">
        <v>983</v>
      </c>
      <c r="E20" s="401"/>
      <c r="F20" s="402">
        <f>'[13]Output_Tariff_Schedules_No GST'!D21</f>
        <v>8.2579999999999991</v>
      </c>
      <c r="G20" s="402">
        <f>'[13]Output_Tariff_Schedules_No GST'!E21</f>
        <v>0</v>
      </c>
      <c r="H20" s="402"/>
      <c r="I20" s="402"/>
    </row>
    <row r="21" spans="2:9" ht="26.1" thickBot="1" x14ac:dyDescent="0.55000000000000004">
      <c r="D21" s="390" t="s">
        <v>984</v>
      </c>
      <c r="E21" s="401"/>
      <c r="F21" s="402"/>
      <c r="G21" s="402"/>
      <c r="H21" s="402">
        <f>'[13]Output_Tariff_Schedules_No GST'!F22</f>
        <v>3.2850999999999999</v>
      </c>
      <c r="I21" s="402"/>
    </row>
    <row r="22" spans="2:9" ht="13.8" thickBot="1" x14ac:dyDescent="0.55000000000000004">
      <c r="D22" s="390" t="s">
        <v>1308</v>
      </c>
      <c r="E22" s="402"/>
      <c r="F22" s="402"/>
      <c r="G22" s="402"/>
      <c r="H22" s="402"/>
      <c r="I22" s="402">
        <f>'[13]Output_Tariff_Schedules_No GST'!G23</f>
        <v>4</v>
      </c>
    </row>
    <row r="24" spans="2:9" s="139" customFormat="1" x14ac:dyDescent="0.35">
      <c r="B24" s="139" t="s">
        <v>997</v>
      </c>
    </row>
    <row r="25" spans="2:9" ht="13.2" thickBot="1" x14ac:dyDescent="0.55000000000000004"/>
    <row r="26" spans="2:9" ht="13.2" thickBot="1" x14ac:dyDescent="0.55000000000000004">
      <c r="D26" s="392" t="s">
        <v>982</v>
      </c>
      <c r="E26" s="389" t="s">
        <v>1009</v>
      </c>
    </row>
    <row r="27" spans="2:9" ht="15.9" thickBot="1" x14ac:dyDescent="0.55000000000000004">
      <c r="D27" s="231" t="s">
        <v>1711</v>
      </c>
      <c r="E27" s="403">
        <f>'[13]Output_Tariff_Schedules_No GST'!F30</f>
        <v>64.041769951086621</v>
      </c>
      <c r="G27" s="204" t="s">
        <v>935</v>
      </c>
    </row>
    <row r="28" spans="2:9" ht="15.9" thickBot="1" x14ac:dyDescent="0.55000000000000004">
      <c r="D28" s="231" t="s">
        <v>1712</v>
      </c>
      <c r="E28" s="403">
        <f>'[13]Output_Tariff_Schedules_No GST'!F31</f>
        <v>135</v>
      </c>
      <c r="G28" s="204" t="s">
        <v>1723</v>
      </c>
    </row>
    <row r="29" spans="2:9" ht="15.9" thickBot="1" x14ac:dyDescent="0.55000000000000004">
      <c r="D29" s="231" t="s">
        <v>1715</v>
      </c>
      <c r="E29" s="403">
        <f>'[13]Output_Tariff_Schedules_No GST'!F32</f>
        <v>135</v>
      </c>
      <c r="G29" s="204" t="s">
        <v>1724</v>
      </c>
    </row>
    <row r="30" spans="2:9" ht="15.9" thickBot="1" x14ac:dyDescent="0.55000000000000004">
      <c r="D30" s="231" t="s">
        <v>1714</v>
      </c>
      <c r="E30" s="403">
        <f>'[13]Output_Tariff_Schedules_No GST'!F33</f>
        <v>650</v>
      </c>
      <c r="G30" s="204" t="s">
        <v>1725</v>
      </c>
    </row>
    <row r="31" spans="2:9" ht="15.9" thickBot="1" x14ac:dyDescent="0.55000000000000004">
      <c r="D31" s="231" t="s">
        <v>1713</v>
      </c>
      <c r="E31" s="403">
        <f>'[13]Output_Tariff_Schedules_No GST'!F34</f>
        <v>307.08327765560875</v>
      </c>
    </row>
    <row r="32" spans="2:9" ht="13.2" thickBot="1" x14ac:dyDescent="0.55000000000000004">
      <c r="D32" s="393" t="s">
        <v>987</v>
      </c>
      <c r="E32" s="389" t="s">
        <v>988</v>
      </c>
    </row>
    <row r="33" spans="4:5" ht="13.8" thickBot="1" x14ac:dyDescent="0.55000000000000004">
      <c r="D33" s="231" t="s">
        <v>1716</v>
      </c>
      <c r="E33" s="404">
        <f>'[13]Output_Tariff_Schedules_No GST'!F36</f>
        <v>10.104915273055934</v>
      </c>
    </row>
    <row r="34" spans="4:5" ht="13.8" thickBot="1" x14ac:dyDescent="0.55000000000000004">
      <c r="D34" s="231" t="s">
        <v>1717</v>
      </c>
      <c r="E34" s="404">
        <f>'[13]Output_Tariff_Schedules_No GST'!F37</f>
        <v>10.455</v>
      </c>
    </row>
    <row r="35" spans="4:5" ht="13.8" thickBot="1" x14ac:dyDescent="0.55000000000000004">
      <c r="D35" s="231" t="s">
        <v>989</v>
      </c>
      <c r="E35" s="404">
        <f>'[13]Output_Tariff_Schedules_No GST'!F38</f>
        <v>3.07569605206987</v>
      </c>
    </row>
    <row r="36" spans="4:5" ht="13.8" thickBot="1" x14ac:dyDescent="0.55000000000000004">
      <c r="D36" s="231" t="s">
        <v>1381</v>
      </c>
      <c r="E36" s="404">
        <f>'[13]Output_Tariff_Schedules_No GST'!F39</f>
        <v>3.07569605206987</v>
      </c>
    </row>
    <row r="37" spans="4:5" ht="13.2" thickBot="1" x14ac:dyDescent="0.55000000000000004">
      <c r="D37" s="393" t="s">
        <v>990</v>
      </c>
      <c r="E37" s="389" t="s">
        <v>991</v>
      </c>
    </row>
    <row r="38" spans="4:5" ht="13.8" thickBot="1" x14ac:dyDescent="0.55000000000000004">
      <c r="D38" s="231" t="s">
        <v>1382</v>
      </c>
      <c r="E38" s="404">
        <f>'[13]Output_Tariff_Schedules_No GST'!F41</f>
        <v>0.267530400000007</v>
      </c>
    </row>
    <row r="39" spans="4:5" ht="13.8" thickBot="1" x14ac:dyDescent="0.55000000000000004">
      <c r="D39" s="231" t="s">
        <v>1383</v>
      </c>
      <c r="E39" s="404">
        <f>'[13]Output_Tariff_Schedules_No GST'!F42</f>
        <v>0.61398839999999899</v>
      </c>
    </row>
    <row r="40" spans="4:5" ht="13.2" thickBot="1" x14ac:dyDescent="0.55000000000000004">
      <c r="D40" s="393" t="s">
        <v>992</v>
      </c>
      <c r="E40" s="389" t="s">
        <v>993</v>
      </c>
    </row>
    <row r="41" spans="4:5" ht="15.9" thickBot="1" x14ac:dyDescent="0.55000000000000004">
      <c r="D41" s="231" t="s">
        <v>1718</v>
      </c>
      <c r="E41" s="404">
        <f>'[13]Output_Tariff_Schedules_No GST'!F44</f>
        <v>20</v>
      </c>
    </row>
    <row r="42" spans="4:5" ht="15.9" thickBot="1" x14ac:dyDescent="0.55000000000000004">
      <c r="D42" s="231" t="s">
        <v>1719</v>
      </c>
      <c r="E42" s="404">
        <f>'[13]Output_Tariff_Schedules_No GST'!F45</f>
        <v>0</v>
      </c>
    </row>
    <row r="43" spans="4:5" ht="15.9" thickBot="1" x14ac:dyDescent="0.55000000000000004">
      <c r="D43" s="231" t="s">
        <v>1720</v>
      </c>
      <c r="E43" s="404">
        <f>'[13]Output_Tariff_Schedules_No GST'!F46</f>
        <v>9.4487162355571925</v>
      </c>
    </row>
    <row r="44" spans="4:5" ht="15.9" thickBot="1" x14ac:dyDescent="0.55000000000000004">
      <c r="D44" s="231" t="s">
        <v>1721</v>
      </c>
      <c r="E44" s="404">
        <f>'[13]Output_Tariff_Schedules_No GST'!F47</f>
        <v>0</v>
      </c>
    </row>
    <row r="45" spans="4:5" ht="13.2" thickBot="1" x14ac:dyDescent="0.55000000000000004">
      <c r="D45" s="393" t="s">
        <v>1654</v>
      </c>
      <c r="E45" s="389" t="s">
        <v>1655</v>
      </c>
    </row>
    <row r="46" spans="4:5" ht="13.8" thickBot="1" x14ac:dyDescent="0.55000000000000004">
      <c r="D46" s="231" t="s">
        <v>1722</v>
      </c>
      <c r="E46" s="404">
        <f>'[13]Output_Tariff_Schedules_No GST'!F49</f>
        <v>4</v>
      </c>
    </row>
    <row r="47" spans="4:5" ht="13.8" thickBot="1" x14ac:dyDescent="0.55000000000000004">
      <c r="D47" s="231" t="s">
        <v>996</v>
      </c>
      <c r="E47" s="404">
        <f>'[13]Output_Tariff_Schedules_No GST'!F50</f>
        <v>4</v>
      </c>
    </row>
    <row r="49" spans="2:16" s="139" customFormat="1" x14ac:dyDescent="0.35">
      <c r="B49" s="139" t="s">
        <v>998</v>
      </c>
    </row>
    <row r="50" spans="2:16" ht="13.2" thickBot="1" x14ac:dyDescent="0.55000000000000004"/>
    <row r="51" spans="2:16" ht="13.2" thickBot="1" x14ac:dyDescent="0.55000000000000004">
      <c r="D51" s="308" t="s">
        <v>1210</v>
      </c>
      <c r="E51" s="206" t="s">
        <v>236</v>
      </c>
      <c r="F51" s="206" t="s">
        <v>237</v>
      </c>
      <c r="G51" s="206" t="s">
        <v>238</v>
      </c>
      <c r="H51" s="206" t="s">
        <v>239</v>
      </c>
      <c r="I51" s="206" t="s">
        <v>240</v>
      </c>
      <c r="L51" s="397" t="s">
        <v>1007</v>
      </c>
      <c r="M51" s="397" t="s">
        <v>237</v>
      </c>
      <c r="N51" s="397" t="s">
        <v>238</v>
      </c>
      <c r="O51" s="397" t="s">
        <v>239</v>
      </c>
      <c r="P51" s="397" t="s">
        <v>1008</v>
      </c>
    </row>
    <row r="52" spans="2:16" ht="13.8" thickBot="1" x14ac:dyDescent="0.55000000000000004">
      <c r="D52" s="231" t="s">
        <v>1208</v>
      </c>
      <c r="E52" s="394">
        <f>'[7]Forecast revenues'!G48/L$52</f>
        <v>0.17235227712699</v>
      </c>
      <c r="F52" s="394">
        <f>'[7]Forecast revenues'!H48/M$52</f>
        <v>0.18937349701584208</v>
      </c>
      <c r="G52" s="394">
        <f>'[7]Forecast revenues'!I48/N$52</f>
        <v>0.2075071909901999</v>
      </c>
      <c r="H52" s="394">
        <f>'[7]Forecast revenues'!J48/O$52</f>
        <v>0.22737729931153552</v>
      </c>
      <c r="I52" s="394">
        <f>'[7]Forecast revenues'!K48/P$52</f>
        <v>0.24846935652520563</v>
      </c>
      <c r="K52" s="376" t="s">
        <v>1005</v>
      </c>
      <c r="L52" s="396">
        <v>366</v>
      </c>
      <c r="M52" s="396">
        <v>365</v>
      </c>
      <c r="N52" s="396">
        <v>365</v>
      </c>
      <c r="O52" s="396">
        <v>365</v>
      </c>
      <c r="P52" s="396">
        <v>366</v>
      </c>
    </row>
    <row r="53" spans="2:16" ht="13.8" thickBot="1" x14ac:dyDescent="0.55000000000000004">
      <c r="D53" s="231" t="s">
        <v>1209</v>
      </c>
      <c r="E53" s="394">
        <f>'[7]Forecast revenues'!G49/L$52</f>
        <v>0.18898937528157195</v>
      </c>
      <c r="F53" s="394">
        <f>'[7]Forecast revenues'!H49/M$52</f>
        <v>0.20765364689403373</v>
      </c>
      <c r="G53" s="394">
        <f>'[7]Forecast revenues'!I49/N$52</f>
        <v>0.22753777928200331</v>
      </c>
      <c r="H53" s="394">
        <f>'[7]Forecast revenues'!J49/O$52</f>
        <v>0.2493259414172764</v>
      </c>
      <c r="I53" s="394">
        <f>'[7]Forecast revenues'!K49/P$52</f>
        <v>0.27245400669533276</v>
      </c>
      <c r="L53" s="398" t="s">
        <v>1006</v>
      </c>
      <c r="P53" s="398" t="s">
        <v>1006</v>
      </c>
    </row>
    <row r="54" spans="2:16" ht="13.8" thickBot="1" x14ac:dyDescent="0.55000000000000004">
      <c r="D54" s="231" t="s">
        <v>906</v>
      </c>
      <c r="E54" s="394">
        <f>'[7]Forecast revenues'!G50/L$52</f>
        <v>0.36874313553065652</v>
      </c>
      <c r="F54" s="394">
        <f>'[7]Forecast revenues'!H50/M$52</f>
        <v>0.40515958500841748</v>
      </c>
      <c r="G54" s="394">
        <f>'[7]Forecast revenues'!I50/N$52</f>
        <v>0.44395614334997802</v>
      </c>
      <c r="H54" s="394">
        <f>'[7]Forecast revenues'!J50/O$52</f>
        <v>0.48646771423189067</v>
      </c>
      <c r="I54" s="394">
        <f>'[7]Forecast revenues'!K50/P$52</f>
        <v>0.53159361242951164</v>
      </c>
    </row>
    <row r="56" spans="2:16" s="139" customFormat="1" x14ac:dyDescent="0.35">
      <c r="B56" s="139" t="s">
        <v>1215</v>
      </c>
    </row>
    <row r="57" spans="2:16" ht="13.2" thickBot="1" x14ac:dyDescent="0.55000000000000004"/>
    <row r="58" spans="2:16" ht="25.9" customHeight="1" thickBot="1" x14ac:dyDescent="0.55000000000000004">
      <c r="D58" s="725" t="s">
        <v>999</v>
      </c>
      <c r="E58" s="721" t="s">
        <v>1000</v>
      </c>
      <c r="F58" s="722"/>
      <c r="G58" s="721" t="s">
        <v>1001</v>
      </c>
      <c r="H58" s="722"/>
      <c r="I58" s="721" t="s">
        <v>1709</v>
      </c>
      <c r="J58" s="722"/>
    </row>
    <row r="59" spans="2:16" ht="13.2" thickBot="1" x14ac:dyDescent="0.55000000000000004">
      <c r="D59" s="726"/>
      <c r="E59" s="609" t="s">
        <v>1002</v>
      </c>
      <c r="F59" s="609" t="s">
        <v>236</v>
      </c>
      <c r="G59" s="609" t="s">
        <v>258</v>
      </c>
      <c r="H59" s="609" t="s">
        <v>676</v>
      </c>
      <c r="I59" s="609" t="s">
        <v>1295</v>
      </c>
      <c r="J59" s="609" t="s">
        <v>676</v>
      </c>
    </row>
    <row r="60" spans="2:16" ht="27.3" thickBot="1" x14ac:dyDescent="0.55000000000000004">
      <c r="D60" s="611" t="s">
        <v>1748</v>
      </c>
      <c r="E60" s="395">
        <f>'[13]Output_Impact&lt;750'!$D$62</f>
        <v>1108.6599999999999</v>
      </c>
      <c r="F60" s="395">
        <f>'[13]Output_Impact&lt;750'!$F$62</f>
        <v>1092.6702585312205</v>
      </c>
      <c r="G60" s="395">
        <f>F60-E60</f>
        <v>-15.989741468779357</v>
      </c>
      <c r="H60" s="405">
        <f>G60/E60*100</f>
        <v>-1.4422583541193297</v>
      </c>
      <c r="I60" s="727">
        <v>-7.262640055881235</v>
      </c>
      <c r="J60" s="727">
        <v>-5.2643273405806994</v>
      </c>
    </row>
    <row r="61" spans="2:16" ht="27.3" thickBot="1" x14ac:dyDescent="0.55000000000000004">
      <c r="D61" s="611" t="s">
        <v>1747</v>
      </c>
      <c r="E61" s="395">
        <f>'[13]Output_Impact&lt;750'!$E$156</f>
        <v>1106.9007000000001</v>
      </c>
      <c r="F61" s="395">
        <f>'[13]Output_Impact&lt;750'!$F$156</f>
        <v>1083.2119086543562</v>
      </c>
      <c r="G61" s="395">
        <f>F61-E61</f>
        <v>-23.688791345643949</v>
      </c>
      <c r="H61" s="405">
        <f>G61/E61*100</f>
        <v>-2.1401008550851897</v>
      </c>
      <c r="I61" s="727"/>
      <c r="J61" s="727"/>
    </row>
    <row r="62" spans="2:16" ht="27.3" thickBot="1" x14ac:dyDescent="0.55000000000000004">
      <c r="D62" s="611" t="s">
        <v>1746</v>
      </c>
      <c r="E62" s="395">
        <f>'[13]Output_Impact&lt;750'!$D$75</f>
        <v>1831.135</v>
      </c>
      <c r="F62" s="395">
        <f>'[13]Output_Impact&lt;750'!$F$75</f>
        <v>1749.4897512798561</v>
      </c>
      <c r="G62" s="395">
        <f t="shared" ref="G62:G67" si="0">F62-E62</f>
        <v>-81.645248720143854</v>
      </c>
      <c r="H62" s="405">
        <f t="shared" ref="H62:H67" si="1">G62/E62*100</f>
        <v>-4.4587236178732779</v>
      </c>
      <c r="I62" s="727"/>
      <c r="J62" s="727"/>
    </row>
    <row r="63" spans="2:16" ht="27.3" thickBot="1" x14ac:dyDescent="0.55000000000000004">
      <c r="D63" s="611" t="s">
        <v>1745</v>
      </c>
      <c r="E63" s="395">
        <f>'[13]Output_Impact&lt;750'!$D$75</f>
        <v>1831.135</v>
      </c>
      <c r="F63" s="395">
        <f>'[13]Output_Impact&lt;750'!$G$169</f>
        <v>1534.7416035076872</v>
      </c>
      <c r="G63" s="395">
        <f t="shared" si="0"/>
        <v>-296.39339649231283</v>
      </c>
      <c r="H63" s="405">
        <f t="shared" si="1"/>
        <v>-16.18632140679485</v>
      </c>
      <c r="I63" s="727"/>
      <c r="J63" s="727"/>
    </row>
    <row r="64" spans="2:16" ht="29.4" thickBot="1" x14ac:dyDescent="0.55000000000000004">
      <c r="D64" s="611" t="s">
        <v>1744</v>
      </c>
      <c r="E64" s="395">
        <f>'[13]Output_Impact&lt;750'!$O$121</f>
        <v>4258.6337999999996</v>
      </c>
      <c r="F64" s="395">
        <f>'[13]Output_Impact&lt;750'!$Q$121</f>
        <v>4465.6499999999996</v>
      </c>
      <c r="G64" s="395">
        <f t="shared" si="0"/>
        <v>207.01620000000003</v>
      </c>
      <c r="H64" s="405">
        <f t="shared" si="1"/>
        <v>4.8610941847124787</v>
      </c>
      <c r="I64" s="727"/>
      <c r="J64" s="727"/>
    </row>
    <row r="65" spans="2:10" ht="29.4" thickBot="1" x14ac:dyDescent="0.55000000000000004">
      <c r="D65" s="611" t="s">
        <v>1743</v>
      </c>
      <c r="E65" s="395">
        <f>'[13]Output_Impact&lt;750'!$Q$215</f>
        <v>4258.6337999999996</v>
      </c>
      <c r="F65" s="395">
        <f>'[13]Output_Impact&lt;750'!$S$215</f>
        <v>3299.7426084942963</v>
      </c>
      <c r="G65" s="395">
        <f t="shared" si="0"/>
        <v>-958.89119150570332</v>
      </c>
      <c r="H65" s="405">
        <f t="shared" si="1"/>
        <v>-22.516404005099087</v>
      </c>
      <c r="I65" s="727"/>
      <c r="J65" s="727"/>
    </row>
    <row r="66" spans="2:10" ht="27.3" thickBot="1" x14ac:dyDescent="0.55000000000000004">
      <c r="D66" s="611" t="s">
        <v>1003</v>
      </c>
      <c r="E66" s="395">
        <f>'[13]Output_Impact&gt;750'!$S$150</f>
        <v>89481.446513541421</v>
      </c>
      <c r="F66" s="395">
        <f>'[13]Output_Impact&gt;750'!$T$150</f>
        <v>79723.12772837386</v>
      </c>
      <c r="G66" s="395">
        <f t="shared" si="0"/>
        <v>-9758.3187851675611</v>
      </c>
      <c r="H66" s="405">
        <f t="shared" si="1"/>
        <v>-10.90541018879351</v>
      </c>
      <c r="I66" s="727">
        <f>('[13]Output_Impact&gt;750'!$T$220-'[13]Output_Impact&gt;750'!$S$220)/1000000</f>
        <v>0.38496500642813741</v>
      </c>
      <c r="J66" s="727">
        <f>('[13]Output_Impact&gt;750'!$T$220/'[13]Output_Impact&gt;750'!$S$220-1)*100</f>
        <v>1.1457627984996943</v>
      </c>
    </row>
    <row r="67" spans="2:10" ht="27.3" thickBot="1" x14ac:dyDescent="0.55000000000000004">
      <c r="D67" s="611" t="s">
        <v>1742</v>
      </c>
      <c r="E67" s="395">
        <f>'[13]Output_Impact&gt;750'!$S$47</f>
        <v>405637.8764720097</v>
      </c>
      <c r="F67" s="395">
        <f>'[13]Output_Impact&gt;750'!$T$47</f>
        <v>456419.74301645427</v>
      </c>
      <c r="G67" s="395">
        <f t="shared" si="0"/>
        <v>50781.86654444458</v>
      </c>
      <c r="H67" s="405">
        <f t="shared" si="1"/>
        <v>12.519014986005306</v>
      </c>
      <c r="I67" s="727"/>
      <c r="J67" s="727"/>
    </row>
    <row r="68" spans="2:10" ht="38.65" customHeight="1" thickBot="1" x14ac:dyDescent="0.55000000000000004">
      <c r="D68" s="718" t="s">
        <v>1710</v>
      </c>
      <c r="E68" s="719"/>
      <c r="F68" s="719"/>
      <c r="G68" s="719"/>
      <c r="H68" s="719"/>
      <c r="I68" s="719"/>
      <c r="J68" s="720"/>
    </row>
    <row r="70" spans="2:10" s="139" customFormat="1" x14ac:dyDescent="0.35">
      <c r="B70" s="139" t="s">
        <v>32</v>
      </c>
    </row>
    <row r="71" spans="2:10" x14ac:dyDescent="0.5">
      <c r="B71" s="226" t="s">
        <v>548</v>
      </c>
    </row>
  </sheetData>
  <mergeCells count="12">
    <mergeCell ref="D68:J68"/>
    <mergeCell ref="G58:H58"/>
    <mergeCell ref="D8:D9"/>
    <mergeCell ref="E8:E9"/>
    <mergeCell ref="E17:E18"/>
    <mergeCell ref="D58:D59"/>
    <mergeCell ref="E58:F58"/>
    <mergeCell ref="I58:J58"/>
    <mergeCell ref="I60:I65"/>
    <mergeCell ref="J60:J65"/>
    <mergeCell ref="I66:I67"/>
    <mergeCell ref="J66:J67"/>
  </mergeCells>
  <conditionalFormatting sqref="B2">
    <cfRule type="cellIs" dxfId="22" priority="1" operator="notEqual">
      <formula>"No Errors Found"</formula>
    </cfRule>
  </conditionalFormatting>
  <hyperlinks>
    <hyperlink ref="B3:D3" location="Cover!A1" display="Go to Cover Sheet"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dimension ref="A1:E28"/>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IF(SUM($A6:$A28)&gt;0,1,0)</f>
        <v>0</v>
      </c>
      <c r="B1" s="136" t="s">
        <v>691</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547</v>
      </c>
    </row>
    <row r="7" spans="1:5" ht="13.2" thickBot="1" x14ac:dyDescent="0.55000000000000004"/>
    <row r="8" spans="1:5" ht="81.3" thickBot="1" x14ac:dyDescent="0.55000000000000004">
      <c r="D8" s="255" t="s">
        <v>692</v>
      </c>
      <c r="E8" s="239" t="s">
        <v>693</v>
      </c>
    </row>
    <row r="9" spans="1:5" ht="13.8" thickBot="1" x14ac:dyDescent="0.55000000000000004">
      <c r="D9" s="224" t="s">
        <v>694</v>
      </c>
      <c r="E9" s="216"/>
    </row>
    <row r="10" spans="1:5" ht="13.8" thickBot="1" x14ac:dyDescent="0.55000000000000004">
      <c r="D10" s="256" t="s">
        <v>695</v>
      </c>
      <c r="E10" s="257">
        <v>2</v>
      </c>
    </row>
    <row r="11" spans="1:5" ht="13.8" thickBot="1" x14ac:dyDescent="0.55000000000000004">
      <c r="D11" s="256" t="s">
        <v>696</v>
      </c>
      <c r="E11" s="257">
        <v>6</v>
      </c>
    </row>
    <row r="12" spans="1:5" ht="13.5" x14ac:dyDescent="0.5">
      <c r="D12" s="258" t="s">
        <v>697</v>
      </c>
      <c r="E12" s="259"/>
    </row>
    <row r="13" spans="1:5" ht="13.5" x14ac:dyDescent="0.5">
      <c r="D13" s="258" t="s">
        <v>698</v>
      </c>
      <c r="E13" s="259" t="s">
        <v>701</v>
      </c>
    </row>
    <row r="14" spans="1:5" ht="13.5" x14ac:dyDescent="0.5">
      <c r="D14" s="258" t="s">
        <v>699</v>
      </c>
      <c r="E14" s="259"/>
    </row>
    <row r="15" spans="1:5" ht="13.5" x14ac:dyDescent="0.5">
      <c r="D15" s="258" t="s">
        <v>700</v>
      </c>
      <c r="E15" s="259"/>
    </row>
    <row r="16" spans="1:5" x14ac:dyDescent="0.5">
      <c r="D16" s="260"/>
      <c r="E16" s="259" t="s">
        <v>702</v>
      </c>
    </row>
    <row r="17" spans="2:5" x14ac:dyDescent="0.5">
      <c r="D17" s="260"/>
      <c r="E17" s="259"/>
    </row>
    <row r="18" spans="2:5" x14ac:dyDescent="0.5">
      <c r="D18" s="260"/>
      <c r="E18" s="259"/>
    </row>
    <row r="19" spans="2:5" ht="13.2" thickBot="1" x14ac:dyDescent="0.55000000000000004">
      <c r="D19" s="261"/>
      <c r="E19" s="262">
        <v>8</v>
      </c>
    </row>
    <row r="20" spans="2:5" ht="13.8" thickBot="1" x14ac:dyDescent="0.55000000000000004">
      <c r="D20" s="256" t="s">
        <v>703</v>
      </c>
      <c r="E20" s="257">
        <v>6.1</v>
      </c>
    </row>
    <row r="21" spans="2:5" ht="13.8" thickBot="1" x14ac:dyDescent="0.55000000000000004">
      <c r="D21" s="256" t="s">
        <v>704</v>
      </c>
      <c r="E21" s="257">
        <v>3</v>
      </c>
    </row>
    <row r="22" spans="2:5" ht="13.8" thickBot="1" x14ac:dyDescent="0.55000000000000004">
      <c r="D22" s="256" t="s">
        <v>705</v>
      </c>
      <c r="E22" s="257">
        <v>12</v>
      </c>
    </row>
    <row r="23" spans="2:5" ht="13.8" thickBot="1" x14ac:dyDescent="0.55000000000000004">
      <c r="D23" s="256" t="s">
        <v>706</v>
      </c>
      <c r="E23" s="257">
        <v>10</v>
      </c>
    </row>
    <row r="24" spans="2:5" ht="13.8" thickBot="1" x14ac:dyDescent="0.55000000000000004">
      <c r="D24" s="256" t="s">
        <v>707</v>
      </c>
      <c r="E24" s="257">
        <v>9.1</v>
      </c>
    </row>
    <row r="25" spans="2:5" ht="13.8" thickBot="1" x14ac:dyDescent="0.55000000000000004">
      <c r="D25" s="256" t="s">
        <v>708</v>
      </c>
      <c r="E25" s="257">
        <v>9.1999999999999993</v>
      </c>
    </row>
    <row r="26" spans="2:5" ht="13.8" thickBot="1" x14ac:dyDescent="0.55000000000000004">
      <c r="D26" s="256" t="s">
        <v>709</v>
      </c>
      <c r="E26" s="257">
        <v>11</v>
      </c>
    </row>
    <row r="27" spans="2:5" x14ac:dyDescent="0.5">
      <c r="B27" s="226" t="s">
        <v>548</v>
      </c>
    </row>
    <row r="28" spans="2:5" s="139" customFormat="1" x14ac:dyDescent="0.35">
      <c r="B28" s="139" t="s">
        <v>32</v>
      </c>
    </row>
  </sheetData>
  <conditionalFormatting sqref="B2">
    <cfRule type="cellIs" dxfId="21" priority="1" operator="notEqual">
      <formula>"No Errors Found"</formula>
    </cfRule>
  </conditionalFormatting>
  <hyperlinks>
    <hyperlink ref="B3:D3" location="Cover!A1" display="Go to Cover Sheet"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710</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20" priority="1" operator="notEqual">
      <formula>"No Errors Found"</formula>
    </cfRule>
  </conditionalFormatting>
  <hyperlinks>
    <hyperlink ref="B3:D3" location="Cover!A1" display="Go to Cover Sheet"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dimension ref="A1:E9"/>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IF(SUM($A6:$A8)&gt;0,1,0)</f>
        <v>0</v>
      </c>
      <c r="B1" s="136" t="s">
        <v>711</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114</v>
      </c>
    </row>
    <row r="8" spans="1:5" s="139" customFormat="1" x14ac:dyDescent="0.35">
      <c r="B8" s="139" t="s">
        <v>32</v>
      </c>
    </row>
    <row r="9" spans="1:5" x14ac:dyDescent="0.5">
      <c r="B9" s="226" t="s">
        <v>548</v>
      </c>
    </row>
  </sheetData>
  <conditionalFormatting sqref="B2">
    <cfRule type="cellIs" dxfId="19" priority="1" operator="notEqual">
      <formula>"No Errors Found"</formula>
    </cfRule>
  </conditionalFormatting>
  <hyperlinks>
    <hyperlink ref="B3:D3" location="Cover!A1" display="Go to Cover Sheet"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E62"/>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IF(SUM($A6:$A62)&gt;0,1,0)</f>
        <v>0</v>
      </c>
      <c r="B1" s="136" t="s">
        <v>712</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713</v>
      </c>
    </row>
    <row r="7" spans="1:5" ht="13.2" thickBot="1" x14ac:dyDescent="0.55000000000000004"/>
    <row r="8" spans="1:5" ht="13.2" thickBot="1" x14ac:dyDescent="0.55000000000000004">
      <c r="D8" s="728" t="s">
        <v>713</v>
      </c>
      <c r="E8" s="728"/>
    </row>
    <row r="9" spans="1:5" ht="13.8" thickBot="1" x14ac:dyDescent="0.55000000000000004">
      <c r="D9" s="263" t="s">
        <v>714</v>
      </c>
      <c r="E9" s="264" t="s">
        <v>715</v>
      </c>
    </row>
    <row r="10" spans="1:5" ht="13.8" thickBot="1" x14ac:dyDescent="0.55000000000000004">
      <c r="D10" s="263" t="s">
        <v>716</v>
      </c>
      <c r="E10" s="264" t="s">
        <v>717</v>
      </c>
    </row>
    <row r="11" spans="1:5" ht="13.8" thickBot="1" x14ac:dyDescent="0.55000000000000004">
      <c r="D11" s="263" t="s">
        <v>718</v>
      </c>
      <c r="E11" s="264" t="s">
        <v>719</v>
      </c>
    </row>
    <row r="12" spans="1:5" ht="13.8" thickBot="1" x14ac:dyDescent="0.55000000000000004">
      <c r="D12" s="263" t="s">
        <v>720</v>
      </c>
      <c r="E12" s="264" t="s">
        <v>721</v>
      </c>
    </row>
    <row r="13" spans="1:5" ht="13.8" thickBot="1" x14ac:dyDescent="0.55000000000000004">
      <c r="D13" s="263" t="s">
        <v>722</v>
      </c>
      <c r="E13" s="264" t="s">
        <v>723</v>
      </c>
    </row>
    <row r="14" spans="1:5" ht="13.8" thickBot="1" x14ac:dyDescent="0.55000000000000004">
      <c r="D14" s="263" t="s">
        <v>724</v>
      </c>
      <c r="E14" s="264" t="s">
        <v>725</v>
      </c>
    </row>
    <row r="15" spans="1:5" ht="13.8" thickBot="1" x14ac:dyDescent="0.55000000000000004">
      <c r="D15" s="263" t="s">
        <v>726</v>
      </c>
      <c r="E15" s="264" t="s">
        <v>727</v>
      </c>
    </row>
    <row r="16" spans="1:5" ht="13.8" thickBot="1" x14ac:dyDescent="0.55000000000000004">
      <c r="D16" s="263" t="s">
        <v>728</v>
      </c>
      <c r="E16" s="264" t="s">
        <v>729</v>
      </c>
    </row>
    <row r="17" spans="2:5" ht="13.8" thickBot="1" x14ac:dyDescent="0.55000000000000004">
      <c r="D17" s="263" t="s">
        <v>730</v>
      </c>
      <c r="E17" s="264" t="s">
        <v>731</v>
      </c>
    </row>
    <row r="18" spans="2:5" ht="13.8" thickBot="1" x14ac:dyDescent="0.55000000000000004">
      <c r="D18" s="263" t="s">
        <v>732</v>
      </c>
      <c r="E18" s="264" t="s">
        <v>733</v>
      </c>
    </row>
    <row r="19" spans="2:5" ht="13.8" thickBot="1" x14ac:dyDescent="0.55000000000000004">
      <c r="D19" s="263" t="s">
        <v>734</v>
      </c>
      <c r="E19" s="264" t="s">
        <v>735</v>
      </c>
    </row>
    <row r="20" spans="2:5" ht="13.8" thickBot="1" x14ac:dyDescent="0.55000000000000004">
      <c r="D20" s="263" t="s">
        <v>736</v>
      </c>
      <c r="E20" s="264" t="s">
        <v>737</v>
      </c>
    </row>
    <row r="21" spans="2:5" ht="13.8" thickBot="1" x14ac:dyDescent="0.55000000000000004">
      <c r="D21" s="263" t="s">
        <v>738</v>
      </c>
      <c r="E21" s="264" t="s">
        <v>739</v>
      </c>
    </row>
    <row r="22" spans="2:5" ht="13.8" thickBot="1" x14ac:dyDescent="0.55000000000000004">
      <c r="D22" s="263" t="s">
        <v>740</v>
      </c>
      <c r="E22" s="264" t="s">
        <v>741</v>
      </c>
    </row>
    <row r="23" spans="2:5" ht="13.8" thickBot="1" x14ac:dyDescent="0.55000000000000004">
      <c r="D23" s="263" t="s">
        <v>742</v>
      </c>
      <c r="E23" s="264" t="s">
        <v>743</v>
      </c>
    </row>
    <row r="24" spans="2:5" ht="13.8" thickBot="1" x14ac:dyDescent="0.55000000000000004">
      <c r="D24" s="263" t="s">
        <v>744</v>
      </c>
      <c r="E24" s="264" t="s">
        <v>745</v>
      </c>
    </row>
    <row r="25" spans="2:5" ht="13.8" thickBot="1" x14ac:dyDescent="0.55000000000000004">
      <c r="D25" s="263" t="s">
        <v>746</v>
      </c>
      <c r="E25" s="264" t="s">
        <v>747</v>
      </c>
    </row>
    <row r="26" spans="2:5" ht="13.8" thickBot="1" x14ac:dyDescent="0.55000000000000004">
      <c r="D26" s="263" t="s">
        <v>748</v>
      </c>
      <c r="E26" s="264" t="s">
        <v>749</v>
      </c>
    </row>
    <row r="27" spans="2:5" ht="13.8" thickBot="1" x14ac:dyDescent="0.55000000000000004">
      <c r="B27" s="137" t="s">
        <v>548</v>
      </c>
      <c r="D27" s="263" t="s">
        <v>750</v>
      </c>
      <c r="E27" s="264" t="s">
        <v>751</v>
      </c>
    </row>
    <row r="28" spans="2:5" ht="13.8" thickBot="1" x14ac:dyDescent="0.55000000000000004">
      <c r="D28" s="263" t="s">
        <v>752</v>
      </c>
      <c r="E28" s="264" t="s">
        <v>753</v>
      </c>
    </row>
    <row r="29" spans="2:5" ht="13.8" thickBot="1" x14ac:dyDescent="0.55000000000000004">
      <c r="D29" s="263" t="s">
        <v>754</v>
      </c>
      <c r="E29" s="264" t="s">
        <v>755</v>
      </c>
    </row>
    <row r="30" spans="2:5" ht="13.8" thickBot="1" x14ac:dyDescent="0.55000000000000004">
      <c r="D30" s="263" t="s">
        <v>233</v>
      </c>
      <c r="E30" s="264" t="s">
        <v>756</v>
      </c>
    </row>
    <row r="31" spans="2:5" ht="13.8" thickBot="1" x14ac:dyDescent="0.55000000000000004">
      <c r="D31" s="263" t="s">
        <v>757</v>
      </c>
      <c r="E31" s="264" t="s">
        <v>78</v>
      </c>
    </row>
    <row r="32" spans="2:5" ht="13.8" thickBot="1" x14ac:dyDescent="0.55000000000000004">
      <c r="D32" s="263" t="s">
        <v>758</v>
      </c>
      <c r="E32" s="264" t="s">
        <v>759</v>
      </c>
    </row>
    <row r="33" spans="4:5" ht="13.8" thickBot="1" x14ac:dyDescent="0.55000000000000004">
      <c r="D33" s="263" t="s">
        <v>760</v>
      </c>
      <c r="E33" s="264" t="s">
        <v>761</v>
      </c>
    </row>
    <row r="34" spans="4:5" ht="13.8" thickBot="1" x14ac:dyDescent="0.55000000000000004">
      <c r="D34" s="263" t="s">
        <v>762</v>
      </c>
      <c r="E34" s="264" t="s">
        <v>763</v>
      </c>
    </row>
    <row r="35" spans="4:5" ht="13.8" thickBot="1" x14ac:dyDescent="0.55000000000000004">
      <c r="D35" s="263" t="s">
        <v>764</v>
      </c>
      <c r="E35" s="264" t="s">
        <v>765</v>
      </c>
    </row>
    <row r="36" spans="4:5" ht="13.8" thickBot="1" x14ac:dyDescent="0.55000000000000004">
      <c r="D36" s="263" t="s">
        <v>766</v>
      </c>
      <c r="E36" s="264" t="s">
        <v>767</v>
      </c>
    </row>
    <row r="37" spans="4:5" ht="13.8" thickBot="1" x14ac:dyDescent="0.55000000000000004">
      <c r="D37" s="263" t="s">
        <v>768</v>
      </c>
      <c r="E37" s="264" t="s">
        <v>769</v>
      </c>
    </row>
    <row r="38" spans="4:5" ht="13.8" thickBot="1" x14ac:dyDescent="0.55000000000000004">
      <c r="D38" s="263" t="s">
        <v>770</v>
      </c>
      <c r="E38" s="264" t="s">
        <v>771</v>
      </c>
    </row>
    <row r="39" spans="4:5" ht="13.8" thickBot="1" x14ac:dyDescent="0.55000000000000004">
      <c r="D39" s="263" t="s">
        <v>772</v>
      </c>
      <c r="E39" s="264" t="s">
        <v>773</v>
      </c>
    </row>
    <row r="40" spans="4:5" ht="13.8" thickBot="1" x14ac:dyDescent="0.55000000000000004">
      <c r="D40" s="263" t="s">
        <v>774</v>
      </c>
      <c r="E40" s="264" t="s">
        <v>775</v>
      </c>
    </row>
    <row r="41" spans="4:5" ht="13.8" thickBot="1" x14ac:dyDescent="0.55000000000000004">
      <c r="D41" s="263" t="s">
        <v>776</v>
      </c>
      <c r="E41" s="264" t="s">
        <v>777</v>
      </c>
    </row>
    <row r="42" spans="4:5" ht="13.8" thickBot="1" x14ac:dyDescent="0.55000000000000004">
      <c r="D42" s="263" t="s">
        <v>778</v>
      </c>
      <c r="E42" s="264" t="s">
        <v>779</v>
      </c>
    </row>
    <row r="43" spans="4:5" ht="13.8" thickBot="1" x14ac:dyDescent="0.55000000000000004">
      <c r="D43" s="263" t="s">
        <v>780</v>
      </c>
      <c r="E43" s="264" t="s">
        <v>781</v>
      </c>
    </row>
    <row r="44" spans="4:5" ht="13.8" thickBot="1" x14ac:dyDescent="0.55000000000000004">
      <c r="D44" s="263" t="s">
        <v>782</v>
      </c>
      <c r="E44" s="264" t="s">
        <v>783</v>
      </c>
    </row>
    <row r="45" spans="4:5" ht="13.8" thickBot="1" x14ac:dyDescent="0.55000000000000004">
      <c r="D45" s="263" t="s">
        <v>784</v>
      </c>
      <c r="E45" s="264" t="s">
        <v>785</v>
      </c>
    </row>
    <row r="46" spans="4:5" ht="13.8" thickBot="1" x14ac:dyDescent="0.55000000000000004">
      <c r="D46" s="263" t="s">
        <v>786</v>
      </c>
      <c r="E46" s="264" t="s">
        <v>787</v>
      </c>
    </row>
    <row r="47" spans="4:5" ht="13.8" thickBot="1" x14ac:dyDescent="0.55000000000000004">
      <c r="D47" s="263" t="s">
        <v>788</v>
      </c>
      <c r="E47" s="264" t="s">
        <v>789</v>
      </c>
    </row>
    <row r="48" spans="4:5" ht="13.8" thickBot="1" x14ac:dyDescent="0.55000000000000004">
      <c r="D48" s="263" t="s">
        <v>790</v>
      </c>
      <c r="E48" s="264" t="s">
        <v>791</v>
      </c>
    </row>
    <row r="49" spans="2:5" ht="13.8" thickBot="1" x14ac:dyDescent="0.55000000000000004">
      <c r="D49" s="263" t="s">
        <v>792</v>
      </c>
      <c r="E49" s="264" t="s">
        <v>793</v>
      </c>
    </row>
    <row r="50" spans="2:5" ht="13.8" thickBot="1" x14ac:dyDescent="0.55000000000000004">
      <c r="D50" s="263" t="s">
        <v>794</v>
      </c>
      <c r="E50" s="264" t="s">
        <v>795</v>
      </c>
    </row>
    <row r="51" spans="2:5" ht="13.8" thickBot="1" x14ac:dyDescent="0.55000000000000004">
      <c r="D51" s="263" t="s">
        <v>796</v>
      </c>
      <c r="E51" s="264" t="s">
        <v>326</v>
      </c>
    </row>
    <row r="52" spans="2:5" ht="13.8" thickBot="1" x14ac:dyDescent="0.55000000000000004">
      <c r="D52" s="263" t="s">
        <v>797</v>
      </c>
      <c r="E52" s="264" t="s">
        <v>798</v>
      </c>
    </row>
    <row r="53" spans="2:5" ht="13.8" thickBot="1" x14ac:dyDescent="0.55000000000000004">
      <c r="D53" s="263" t="s">
        <v>799</v>
      </c>
      <c r="E53" s="264" t="s">
        <v>800</v>
      </c>
    </row>
    <row r="54" spans="2:5" ht="13.8" thickBot="1" x14ac:dyDescent="0.55000000000000004">
      <c r="D54" s="263" t="s">
        <v>652</v>
      </c>
      <c r="E54" s="264" t="s">
        <v>801</v>
      </c>
    </row>
    <row r="55" spans="2:5" ht="13.8" thickBot="1" x14ac:dyDescent="0.55000000000000004">
      <c r="D55" s="263" t="s">
        <v>802</v>
      </c>
      <c r="E55" s="264" t="s">
        <v>803</v>
      </c>
    </row>
    <row r="56" spans="2:5" ht="13.8" thickBot="1" x14ac:dyDescent="0.55000000000000004">
      <c r="D56" s="263" t="s">
        <v>804</v>
      </c>
      <c r="E56" s="264" t="s">
        <v>805</v>
      </c>
    </row>
    <row r="57" spans="2:5" ht="13.8" thickBot="1" x14ac:dyDescent="0.55000000000000004">
      <c r="D57" s="263" t="s">
        <v>806</v>
      </c>
      <c r="E57" s="264" t="s">
        <v>807</v>
      </c>
    </row>
    <row r="58" spans="2:5" ht="13.8" thickBot="1" x14ac:dyDescent="0.55000000000000004">
      <c r="D58" s="263" t="s">
        <v>808</v>
      </c>
      <c r="E58" s="264" t="s">
        <v>809</v>
      </c>
    </row>
    <row r="59" spans="2:5" ht="13.8" thickBot="1" x14ac:dyDescent="0.55000000000000004">
      <c r="D59" s="263" t="s">
        <v>810</v>
      </c>
      <c r="E59" s="264" t="s">
        <v>811</v>
      </c>
    </row>
    <row r="60" spans="2:5" ht="13.8" thickBot="1" x14ac:dyDescent="0.55000000000000004">
      <c r="D60" s="263" t="s">
        <v>812</v>
      </c>
      <c r="E60" s="264" t="s">
        <v>813</v>
      </c>
    </row>
    <row r="62" spans="2:5" s="139" customFormat="1" x14ac:dyDescent="0.35">
      <c r="B62" s="139" t="s">
        <v>32</v>
      </c>
    </row>
  </sheetData>
  <mergeCells count="1">
    <mergeCell ref="D8:E8"/>
  </mergeCells>
  <conditionalFormatting sqref="B2">
    <cfRule type="cellIs" dxfId="18" priority="1" operator="notEqual">
      <formula>"No Errors Found"</formula>
    </cfRule>
  </conditionalFormatting>
  <hyperlinks>
    <hyperlink ref="B3:D3" location="Cover!A1" display="Go to Cover Sheet"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93"/>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IF(SUM($A6:$A93)&gt;0,1,0)</f>
        <v>0</v>
      </c>
      <c r="B1" s="136" t="s">
        <v>1015</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1289</v>
      </c>
    </row>
    <row r="43" spans="2:2" s="139" customFormat="1" x14ac:dyDescent="0.35">
      <c r="B43" s="139" t="s">
        <v>1288</v>
      </c>
    </row>
    <row r="61" spans="2:2" s="139" customFormat="1" x14ac:dyDescent="0.35">
      <c r="B61" s="139" t="s">
        <v>1287</v>
      </c>
    </row>
    <row r="84" spans="2:2" x14ac:dyDescent="0.5">
      <c r="B84" s="226" t="s">
        <v>548</v>
      </c>
    </row>
    <row r="93" spans="2:2" s="139" customFormat="1" x14ac:dyDescent="0.35">
      <c r="B93" s="139" t="s">
        <v>32</v>
      </c>
    </row>
  </sheetData>
  <conditionalFormatting sqref="B2">
    <cfRule type="cellIs" dxfId="17" priority="1" operator="notEqual">
      <formula>"No Errors Found"</formula>
    </cfRule>
  </conditionalFormatting>
  <hyperlinks>
    <hyperlink ref="B3:D3" location="Cover!A1" display="Go to Cover Sheet" xr:uid="{00000000-0004-0000-2200-00000000000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174"/>
  <sheetViews>
    <sheetView showGridLines="0" zoomScale="80" zoomScaleNormal="8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24" width="9.1328125" style="137" bestFit="1" customWidth="1"/>
    <col min="25" max="25" width="12.33203125" style="137" customWidth="1"/>
    <col min="26" max="26" width="11.33203125" style="137" bestFit="1" customWidth="1"/>
    <col min="27" max="27" width="15.1328125" style="137" customWidth="1"/>
    <col min="28" max="29" width="9.1328125" style="137" bestFit="1" customWidth="1"/>
    <col min="30" max="16384" width="9.1328125" style="137"/>
  </cols>
  <sheetData>
    <row r="1" spans="1:5" ht="20.399999999999999" x14ac:dyDescent="0.5">
      <c r="A1" s="65">
        <f>IF(SUM($A6:$A173)&gt;0,1,0)</f>
        <v>0</v>
      </c>
      <c r="B1" s="136" t="s">
        <v>1016</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1026</v>
      </c>
    </row>
    <row r="7" spans="1:5" ht="13.2" thickBot="1" x14ac:dyDescent="0.55000000000000004"/>
    <row r="8" spans="1:5" ht="13.2" thickBot="1" x14ac:dyDescent="0.55000000000000004">
      <c r="D8" s="229" t="s">
        <v>245</v>
      </c>
      <c r="E8" s="230" t="s">
        <v>437</v>
      </c>
    </row>
    <row r="9" spans="1:5" ht="13.2" thickBot="1" x14ac:dyDescent="0.55000000000000004">
      <c r="D9" s="246" t="s">
        <v>97</v>
      </c>
      <c r="E9" s="247"/>
    </row>
    <row r="10" spans="1:5" ht="13.8" thickBot="1" x14ac:dyDescent="0.55000000000000004">
      <c r="D10" s="231" t="s">
        <v>640</v>
      </c>
      <c r="E10" s="372" t="s">
        <v>641</v>
      </c>
    </row>
    <row r="11" spans="1:5" ht="13.8" thickBot="1" x14ac:dyDescent="0.55000000000000004">
      <c r="D11" s="231" t="s">
        <v>642</v>
      </c>
      <c r="E11" s="372" t="s">
        <v>1740</v>
      </c>
    </row>
    <row r="12" spans="1:5" ht="13.8" thickBot="1" x14ac:dyDescent="0.55000000000000004">
      <c r="D12" s="231" t="s">
        <v>643</v>
      </c>
      <c r="E12" s="372" t="s">
        <v>1741</v>
      </c>
    </row>
    <row r="13" spans="1:5" ht="13.8" thickBot="1" x14ac:dyDescent="0.55000000000000004">
      <c r="D13" s="231" t="s">
        <v>644</v>
      </c>
      <c r="E13" s="372" t="s">
        <v>645</v>
      </c>
    </row>
    <row r="14" spans="1:5" ht="13.8" thickBot="1" x14ac:dyDescent="0.55000000000000004">
      <c r="D14" s="231" t="s">
        <v>646</v>
      </c>
      <c r="E14" s="372" t="s">
        <v>647</v>
      </c>
    </row>
    <row r="15" spans="1:5" ht="13.8" thickBot="1" x14ac:dyDescent="0.55000000000000004">
      <c r="D15" s="231" t="s">
        <v>648</v>
      </c>
      <c r="E15" s="372" t="s">
        <v>649</v>
      </c>
    </row>
    <row r="16" spans="1:5" ht="13.8" thickBot="1" x14ac:dyDescent="0.55000000000000004">
      <c r="D16" s="231" t="s">
        <v>650</v>
      </c>
      <c r="E16" s="372" t="s">
        <v>651</v>
      </c>
    </row>
    <row r="17" spans="2:5" ht="13.8" thickBot="1" x14ac:dyDescent="0.55000000000000004">
      <c r="D17" s="231" t="s">
        <v>652</v>
      </c>
      <c r="E17" s="372" t="s">
        <v>653</v>
      </c>
    </row>
    <row r="18" spans="2:5" ht="13.8" thickBot="1" x14ac:dyDescent="0.55000000000000004">
      <c r="D18" s="231" t="s">
        <v>654</v>
      </c>
      <c r="E18" s="372" t="s">
        <v>655</v>
      </c>
    </row>
    <row r="19" spans="2:5" ht="13.8" thickBot="1" x14ac:dyDescent="0.55000000000000004">
      <c r="D19" s="231" t="s">
        <v>656</v>
      </c>
      <c r="E19" s="372" t="s">
        <v>936</v>
      </c>
    </row>
    <row r="20" spans="2:5" ht="13.8" thickBot="1" x14ac:dyDescent="0.55000000000000004">
      <c r="D20" s="231" t="s">
        <v>657</v>
      </c>
      <c r="E20" s="372" t="s">
        <v>937</v>
      </c>
    </row>
    <row r="21" spans="2:5" ht="13.8" thickBot="1" x14ac:dyDescent="0.55000000000000004">
      <c r="D21" s="231" t="s">
        <v>658</v>
      </c>
      <c r="E21" s="372" t="s">
        <v>938</v>
      </c>
    </row>
    <row r="22" spans="2:5" ht="13.8" thickBot="1" x14ac:dyDescent="0.55000000000000004">
      <c r="D22" s="231" t="s">
        <v>659</v>
      </c>
      <c r="E22" s="372" t="s">
        <v>939</v>
      </c>
    </row>
    <row r="23" spans="2:5" ht="13.8" thickBot="1" x14ac:dyDescent="0.55000000000000004">
      <c r="D23" s="231" t="s">
        <v>660</v>
      </c>
      <c r="E23" s="372" t="s">
        <v>940</v>
      </c>
    </row>
    <row r="24" spans="2:5" ht="13.2" thickBot="1" x14ac:dyDescent="0.55000000000000004">
      <c r="D24" s="246" t="s">
        <v>637</v>
      </c>
      <c r="E24" s="250"/>
    </row>
    <row r="25" spans="2:5" ht="13.8" thickBot="1" x14ac:dyDescent="0.55000000000000004">
      <c r="D25" s="231" t="s">
        <v>662</v>
      </c>
      <c r="E25" s="372" t="s">
        <v>663</v>
      </c>
    </row>
    <row r="26" spans="2:5" ht="13.8" thickBot="1" x14ac:dyDescent="0.55000000000000004">
      <c r="D26" s="231" t="s">
        <v>664</v>
      </c>
      <c r="E26" s="372" t="s">
        <v>665</v>
      </c>
    </row>
    <row r="27" spans="2:5" ht="13.8" thickBot="1" x14ac:dyDescent="0.55000000000000004">
      <c r="D27" s="231" t="s">
        <v>666</v>
      </c>
      <c r="E27" s="372" t="s">
        <v>667</v>
      </c>
    </row>
    <row r="28" spans="2:5" ht="13.8" thickBot="1" x14ac:dyDescent="0.55000000000000004">
      <c r="D28" s="231" t="s">
        <v>668</v>
      </c>
      <c r="E28" s="372" t="s">
        <v>669</v>
      </c>
    </row>
    <row r="29" spans="2:5" ht="13.8" thickBot="1" x14ac:dyDescent="0.55000000000000004">
      <c r="D29" s="231" t="s">
        <v>670</v>
      </c>
      <c r="E29" s="372" t="s">
        <v>671</v>
      </c>
    </row>
    <row r="30" spans="2:5" ht="13.8" thickBot="1" x14ac:dyDescent="0.55000000000000004">
      <c r="D30" s="231" t="s">
        <v>672</v>
      </c>
      <c r="E30" s="372" t="s">
        <v>673</v>
      </c>
    </row>
    <row r="32" spans="2:5" s="139" customFormat="1" x14ac:dyDescent="0.35">
      <c r="B32" s="139" t="s">
        <v>1027</v>
      </c>
    </row>
    <row r="33" spans="2:7" ht="13.2" thickBot="1" x14ac:dyDescent="0.55000000000000004"/>
    <row r="34" spans="2:7" ht="64.8" thickBot="1" x14ac:dyDescent="0.55000000000000004">
      <c r="D34" s="146" t="s">
        <v>1028</v>
      </c>
      <c r="E34" s="410" t="s">
        <v>1029</v>
      </c>
    </row>
    <row r="35" spans="2:7" ht="13.8" thickBot="1" x14ac:dyDescent="0.55000000000000004">
      <c r="D35" s="149" t="s">
        <v>1030</v>
      </c>
      <c r="E35" s="372" t="s">
        <v>1031</v>
      </c>
    </row>
    <row r="36" spans="2:7" ht="27.3" thickBot="1" x14ac:dyDescent="0.55000000000000004">
      <c r="D36" s="149" t="s">
        <v>1032</v>
      </c>
      <c r="E36" s="372" t="s">
        <v>1033</v>
      </c>
    </row>
    <row r="37" spans="2:7" ht="27.3" thickBot="1" x14ac:dyDescent="0.55000000000000004">
      <c r="D37" s="149" t="s">
        <v>1034</v>
      </c>
      <c r="E37" s="372" t="s">
        <v>1035</v>
      </c>
    </row>
    <row r="38" spans="2:7" ht="13.8" thickBot="1" x14ac:dyDescent="0.55000000000000004">
      <c r="D38" s="149" t="s">
        <v>643</v>
      </c>
      <c r="E38" s="372" t="s">
        <v>643</v>
      </c>
    </row>
    <row r="39" spans="2:7" ht="27.3" thickBot="1" x14ac:dyDescent="0.55000000000000004">
      <c r="D39" s="149" t="s">
        <v>1036</v>
      </c>
      <c r="E39" s="372" t="s">
        <v>1037</v>
      </c>
    </row>
    <row r="40" spans="2:7" ht="13.8" thickBot="1" x14ac:dyDescent="0.55000000000000004">
      <c r="D40" s="149" t="s">
        <v>1038</v>
      </c>
      <c r="E40" s="372" t="s">
        <v>1039</v>
      </c>
    </row>
    <row r="41" spans="2:7" ht="13.8" thickBot="1" x14ac:dyDescent="0.55000000000000004">
      <c r="D41" s="149" t="s">
        <v>102</v>
      </c>
      <c r="E41" s="372" t="s">
        <v>1040</v>
      </c>
    </row>
    <row r="42" spans="2:7" ht="13.8" thickBot="1" x14ac:dyDescent="0.55000000000000004">
      <c r="D42" s="149" t="s">
        <v>1021</v>
      </c>
      <c r="E42" s="372" t="s">
        <v>646</v>
      </c>
    </row>
    <row r="43" spans="2:7" ht="13.8" thickBot="1" x14ac:dyDescent="0.55000000000000004">
      <c r="D43" s="149" t="s">
        <v>1041</v>
      </c>
      <c r="E43" s="372" t="s">
        <v>1042</v>
      </c>
    </row>
    <row r="44" spans="2:7" ht="13.8" thickBot="1" x14ac:dyDescent="0.55000000000000004">
      <c r="D44" s="149" t="s">
        <v>1043</v>
      </c>
      <c r="E44" s="372" t="s">
        <v>656</v>
      </c>
    </row>
    <row r="46" spans="2:7" s="139" customFormat="1" x14ac:dyDescent="0.35">
      <c r="B46" s="139" t="s">
        <v>1044</v>
      </c>
    </row>
    <row r="47" spans="2:7" ht="13.2" thickBot="1" x14ac:dyDescent="0.55000000000000004"/>
    <row r="48" spans="2:7" ht="39" thickBot="1" x14ac:dyDescent="0.55000000000000004">
      <c r="D48" s="420" t="s">
        <v>1045</v>
      </c>
      <c r="E48" s="410" t="s">
        <v>1046</v>
      </c>
      <c r="F48" s="410" t="s">
        <v>1047</v>
      </c>
      <c r="G48" s="410" t="s">
        <v>1048</v>
      </c>
    </row>
    <row r="49" spans="4:7" ht="13.8" thickBot="1" x14ac:dyDescent="0.55000000000000004">
      <c r="D49" s="149" t="s">
        <v>640</v>
      </c>
      <c r="E49" s="417">
        <f>[11]Summary_RAB!E12</f>
        <v>247158.38494764885</v>
      </c>
      <c r="F49" s="417">
        <f>[11]Summary_RAB!F12</f>
        <v>0</v>
      </c>
      <c r="G49" s="417">
        <f>[11]Summary_RAB!G12</f>
        <v>247158.38494764885</v>
      </c>
    </row>
    <row r="50" spans="4:7" ht="13.8" thickBot="1" x14ac:dyDescent="0.55000000000000004">
      <c r="D50" s="149" t="s">
        <v>1018</v>
      </c>
      <c r="E50" s="417">
        <f>[11]Summary_RAB!E13</f>
        <v>279837.42055917799</v>
      </c>
      <c r="F50" s="417">
        <f>[11]Summary_RAB!F13</f>
        <v>-68250.340298162453</v>
      </c>
      <c r="G50" s="417">
        <f>[11]Summary_RAB!G13</f>
        <v>211587.08026101554</v>
      </c>
    </row>
    <row r="51" spans="4:7" ht="13.8" thickBot="1" x14ac:dyDescent="0.55000000000000004">
      <c r="D51" s="149" t="s">
        <v>1019</v>
      </c>
      <c r="E51" s="417">
        <f>[11]Summary_RAB!E14</f>
        <v>167025.89930043949</v>
      </c>
      <c r="F51" s="417">
        <f>[11]Summary_RAB!F14</f>
        <v>0</v>
      </c>
      <c r="G51" s="417">
        <f>[11]Summary_RAB!G14</f>
        <v>167025.89930043949</v>
      </c>
    </row>
    <row r="52" spans="4:7" ht="13.8" thickBot="1" x14ac:dyDescent="0.55000000000000004">
      <c r="D52" s="149" t="s">
        <v>1020</v>
      </c>
      <c r="E52" s="417">
        <f>[11]Summary_RAB!E15</f>
        <v>165.32667886669623</v>
      </c>
      <c r="F52" s="417">
        <f>[11]Summary_RAB!F15</f>
        <v>25.61432421086019</v>
      </c>
      <c r="G52" s="417">
        <f>[11]Summary_RAB!G15</f>
        <v>190.94100307755642</v>
      </c>
    </row>
    <row r="53" spans="4:7" ht="13.8" thickBot="1" x14ac:dyDescent="0.55000000000000004">
      <c r="D53" s="149" t="s">
        <v>1021</v>
      </c>
      <c r="E53" s="417">
        <f>[11]Summary_RAB!E16</f>
        <v>80297.330765413644</v>
      </c>
      <c r="F53" s="417">
        <f>[11]Summary_RAB!F16</f>
        <v>0</v>
      </c>
      <c r="G53" s="417">
        <f>[11]Summary_RAB!G16</f>
        <v>80297.330765413644</v>
      </c>
    </row>
    <row r="54" spans="4:7" ht="13.8" thickBot="1" x14ac:dyDescent="0.55000000000000004">
      <c r="D54" s="149" t="s">
        <v>1022</v>
      </c>
      <c r="E54" s="417">
        <f>[11]Summary_RAB!E17</f>
        <v>14454.66068104192</v>
      </c>
      <c r="F54" s="417">
        <f>[11]Summary_RAB!F17</f>
        <v>0</v>
      </c>
      <c r="G54" s="417">
        <f>[11]Summary_RAB!G17</f>
        <v>14454.66068104192</v>
      </c>
    </row>
    <row r="55" spans="4:7" ht="13.8" thickBot="1" x14ac:dyDescent="0.55000000000000004">
      <c r="D55" s="149" t="s">
        <v>650</v>
      </c>
      <c r="E55" s="417">
        <f>[11]Summary_RAB!E18</f>
        <v>8390.3020321881413</v>
      </c>
      <c r="F55" s="417">
        <f>[11]Summary_RAB!F18</f>
        <v>0</v>
      </c>
      <c r="G55" s="417">
        <f>[11]Summary_RAB!G18</f>
        <v>8390.3020321881413</v>
      </c>
    </row>
    <row r="56" spans="4:7" ht="13.8" thickBot="1" x14ac:dyDescent="0.55000000000000004">
      <c r="D56" s="149" t="s">
        <v>652</v>
      </c>
      <c r="E56" s="417">
        <f>[11]Summary_RAB!E19</f>
        <v>2126.0573650090364</v>
      </c>
      <c r="F56" s="417">
        <f>[11]Summary_RAB!F19</f>
        <v>0</v>
      </c>
      <c r="G56" s="417">
        <f>[11]Summary_RAB!G19</f>
        <v>2126.0573650090364</v>
      </c>
    </row>
    <row r="57" spans="4:7" ht="13.8" thickBot="1" x14ac:dyDescent="0.55000000000000004">
      <c r="D57" s="149" t="s">
        <v>654</v>
      </c>
      <c r="E57" s="417">
        <f>[11]Summary_RAB!E20</f>
        <v>7235.6595534338549</v>
      </c>
      <c r="F57" s="417">
        <f>[11]Summary_RAB!F20</f>
        <v>0</v>
      </c>
      <c r="G57" s="417">
        <f>[11]Summary_RAB!G20</f>
        <v>7235.6595534338549</v>
      </c>
    </row>
    <row r="58" spans="4:7" ht="13.8" thickBot="1" x14ac:dyDescent="0.55000000000000004">
      <c r="D58" s="149" t="s">
        <v>1023</v>
      </c>
      <c r="E58" s="417">
        <f>[11]Summary_RAB!E21</f>
        <v>33025</v>
      </c>
      <c r="F58" s="417">
        <f>[11]Summary_RAB!F21</f>
        <v>0</v>
      </c>
      <c r="G58" s="417">
        <f>[11]Summary_RAB!G21</f>
        <v>33025</v>
      </c>
    </row>
    <row r="59" spans="4:7" ht="13.8" thickBot="1" x14ac:dyDescent="0.55000000000000004">
      <c r="D59" s="149" t="s">
        <v>657</v>
      </c>
      <c r="E59" s="417">
        <f>[11]Summary_RAB!E22</f>
        <v>903.11269775714277</v>
      </c>
      <c r="F59" s="417">
        <f>[11]Summary_RAB!F22</f>
        <v>0</v>
      </c>
      <c r="G59" s="417">
        <f>[11]Summary_RAB!G22</f>
        <v>903.11269775714277</v>
      </c>
    </row>
    <row r="60" spans="4:7" ht="13.8" thickBot="1" x14ac:dyDescent="0.55000000000000004">
      <c r="D60" s="149" t="s">
        <v>107</v>
      </c>
      <c r="E60" s="417">
        <f>[11]Summary_RAB!E23</f>
        <v>703.79206895000004</v>
      </c>
      <c r="F60" s="417">
        <f>[11]Summary_RAB!F23</f>
        <v>0</v>
      </c>
      <c r="G60" s="417">
        <f>[11]Summary_RAB!G23</f>
        <v>703.79206895000004</v>
      </c>
    </row>
    <row r="61" spans="4:7" ht="13.8" thickBot="1" x14ac:dyDescent="0.55000000000000004">
      <c r="D61" s="149" t="s">
        <v>108</v>
      </c>
      <c r="E61" s="417">
        <f>[11]Summary_RAB!E24</f>
        <v>43.694539999999996</v>
      </c>
      <c r="F61" s="417">
        <f>[11]Summary_RAB!F24</f>
        <v>0</v>
      </c>
      <c r="G61" s="417">
        <f>[11]Summary_RAB!G24</f>
        <v>43.694539999999996</v>
      </c>
    </row>
    <row r="62" spans="4:7" ht="13.8" thickBot="1" x14ac:dyDescent="0.55000000000000004">
      <c r="D62" s="149" t="s">
        <v>1024</v>
      </c>
      <c r="E62" s="417">
        <f>[11]Summary_RAB!E25</f>
        <v>7205.3953999153564</v>
      </c>
      <c r="F62" s="417">
        <f>[11]Summary_RAB!F25</f>
        <v>0</v>
      </c>
      <c r="G62" s="417">
        <f>[11]Summary_RAB!G25</f>
        <v>7205.3953999153564</v>
      </c>
    </row>
    <row r="63" spans="4:7" ht="13.8" thickBot="1" x14ac:dyDescent="0.55000000000000004">
      <c r="D63" s="149" t="s">
        <v>662</v>
      </c>
      <c r="E63" s="417">
        <f>[11]Summary_RAB!E26</f>
        <v>4080.2493072798488</v>
      </c>
      <c r="F63" s="417">
        <f>[11]Summary_RAB!F26</f>
        <v>0</v>
      </c>
      <c r="G63" s="417">
        <f>[11]Summary_RAB!G26</f>
        <v>4080.2493072798488</v>
      </c>
    </row>
    <row r="64" spans="4:7" ht="13.8" thickBot="1" x14ac:dyDescent="0.55000000000000004">
      <c r="D64" s="149" t="s">
        <v>664</v>
      </c>
      <c r="E64" s="417">
        <f>[11]Summary_RAB!E27</f>
        <v>3530.5159118669058</v>
      </c>
      <c r="F64" s="417">
        <f>[11]Summary_RAB!F27</f>
        <v>0</v>
      </c>
      <c r="G64" s="417">
        <f>[11]Summary_RAB!G27</f>
        <v>3530.5159118669058</v>
      </c>
    </row>
    <row r="65" spans="1:25" ht="13.8" thickBot="1" x14ac:dyDescent="0.55000000000000004">
      <c r="D65" s="149" t="s">
        <v>666</v>
      </c>
      <c r="E65" s="417">
        <f>[11]Summary_RAB!E28</f>
        <v>0</v>
      </c>
      <c r="F65" s="417">
        <f>[11]Summary_RAB!F28</f>
        <v>0</v>
      </c>
      <c r="G65" s="417">
        <f>[11]Summary_RAB!G28</f>
        <v>0</v>
      </c>
    </row>
    <row r="66" spans="1:25" ht="13.8" thickBot="1" x14ac:dyDescent="0.55000000000000004">
      <c r="D66" s="149" t="s">
        <v>907</v>
      </c>
      <c r="E66" s="417">
        <f>[11]Summary_RAB!E29</f>
        <v>0</v>
      </c>
      <c r="F66" s="417">
        <f>[11]Summary_RAB!F29</f>
        <v>0</v>
      </c>
      <c r="G66" s="417">
        <f>[11]Summary_RAB!G29</f>
        <v>0</v>
      </c>
    </row>
    <row r="67" spans="1:25" ht="13.8" thickBot="1" x14ac:dyDescent="0.55000000000000004">
      <c r="D67" s="149" t="s">
        <v>1025</v>
      </c>
      <c r="E67" s="417">
        <f>[11]Summary_RAB!E30</f>
        <v>0</v>
      </c>
      <c r="F67" s="417">
        <f>[11]Summary_RAB!F30</f>
        <v>0</v>
      </c>
      <c r="G67" s="417">
        <f>[11]Summary_RAB!G30</f>
        <v>0</v>
      </c>
    </row>
    <row r="68" spans="1:25" ht="27.3" thickBot="1" x14ac:dyDescent="0.55000000000000004">
      <c r="D68" s="149" t="s">
        <v>1050</v>
      </c>
      <c r="E68" s="417">
        <f>[11]Summary_RAB!E31</f>
        <v>0</v>
      </c>
      <c r="F68" s="417">
        <f>[11]Summary_RAB!F31</f>
        <v>0</v>
      </c>
      <c r="G68" s="417">
        <f>[11]Summary_RAB!G31</f>
        <v>0</v>
      </c>
    </row>
    <row r="69" spans="1:25" ht="13.2" thickBot="1" x14ac:dyDescent="0.55000000000000004">
      <c r="D69" s="154" t="s">
        <v>1051</v>
      </c>
      <c r="E69" s="418">
        <f>SUM(E49:E68)</f>
        <v>856182.80180898902</v>
      </c>
      <c r="F69" s="418">
        <f>SUM(F49:F68)</f>
        <v>-68224.725973951587</v>
      </c>
      <c r="G69" s="418">
        <f>SUM(G49:G68)</f>
        <v>787958.07583503739</v>
      </c>
    </row>
    <row r="71" spans="1:25" x14ac:dyDescent="0.5">
      <c r="A71" s="70">
        <f>IF(SUM(E71:I71)&lt;&gt;0,1,0)</f>
        <v>0</v>
      </c>
      <c r="D71" s="12" t="s">
        <v>116</v>
      </c>
      <c r="E71" s="70">
        <f>IF(ROUND([11]Summary_RAB!E33-E69,2)&lt;&gt;0,1,0)</f>
        <v>0</v>
      </c>
      <c r="F71" s="70">
        <f>IF(ROUND([11]Summary_RAB!F33-F69,2)&lt;&gt;0,1,0)</f>
        <v>0</v>
      </c>
      <c r="G71" s="70">
        <f>IF(ROUND([11]Summary_RAB!G33-G69,2)&lt;&gt;0,1,0)</f>
        <v>0</v>
      </c>
    </row>
    <row r="73" spans="1:25" s="139" customFormat="1" x14ac:dyDescent="0.35">
      <c r="B73" s="139" t="s">
        <v>1078</v>
      </c>
    </row>
    <row r="74" spans="1:25" ht="13.2" thickBot="1" x14ac:dyDescent="0.55000000000000004"/>
    <row r="75" spans="1:25" ht="39.75" customHeight="1" thickBot="1" x14ac:dyDescent="0.55000000000000004">
      <c r="D75" s="420" t="s">
        <v>1045</v>
      </c>
      <c r="E75" s="738" t="s">
        <v>1052</v>
      </c>
      <c r="F75" s="739"/>
      <c r="G75" s="739"/>
      <c r="H75" s="739"/>
      <c r="I75" s="739"/>
      <c r="J75" s="739"/>
      <c r="K75" s="739"/>
      <c r="L75" s="739"/>
      <c r="M75" s="740"/>
      <c r="N75" s="738" t="s">
        <v>1053</v>
      </c>
      <c r="O75" s="739"/>
      <c r="P75" s="739"/>
      <c r="Q75" s="739"/>
      <c r="R75" s="739"/>
      <c r="S75" s="739"/>
      <c r="T75" s="739"/>
      <c r="U75" s="739"/>
      <c r="V75" s="739"/>
      <c r="W75" s="739"/>
      <c r="X75" s="739"/>
      <c r="Y75" s="410"/>
    </row>
    <row r="76" spans="1:25" ht="105.6" thickBot="1" x14ac:dyDescent="0.55000000000000004">
      <c r="D76" s="420" t="s">
        <v>1054</v>
      </c>
      <c r="E76" s="421" t="s">
        <v>640</v>
      </c>
      <c r="F76" s="421" t="s">
        <v>1018</v>
      </c>
      <c r="G76" s="421" t="s">
        <v>1019</v>
      </c>
      <c r="H76" s="421" t="s">
        <v>1020</v>
      </c>
      <c r="I76" s="421" t="s">
        <v>1021</v>
      </c>
      <c r="J76" s="421" t="s">
        <v>1022</v>
      </c>
      <c r="K76" s="421" t="s">
        <v>650</v>
      </c>
      <c r="L76" s="421" t="s">
        <v>652</v>
      </c>
      <c r="M76" s="421" t="s">
        <v>654</v>
      </c>
      <c r="N76" s="421" t="s">
        <v>1023</v>
      </c>
      <c r="O76" s="421" t="s">
        <v>657</v>
      </c>
      <c r="P76" s="421" t="s">
        <v>107</v>
      </c>
      <c r="Q76" s="421" t="s">
        <v>108</v>
      </c>
      <c r="R76" s="421" t="s">
        <v>1024</v>
      </c>
      <c r="S76" s="421" t="s">
        <v>662</v>
      </c>
      <c r="T76" s="421" t="s">
        <v>664</v>
      </c>
      <c r="U76" s="421" t="s">
        <v>666</v>
      </c>
      <c r="V76" s="421" t="s">
        <v>907</v>
      </c>
      <c r="W76" s="421" t="s">
        <v>1025</v>
      </c>
      <c r="X76" s="421" t="s">
        <v>1050</v>
      </c>
      <c r="Y76" s="421" t="s">
        <v>1055</v>
      </c>
    </row>
    <row r="77" spans="1:25" ht="13.8" thickBot="1" x14ac:dyDescent="0.55000000000000004">
      <c r="D77" s="149" t="s">
        <v>1056</v>
      </c>
      <c r="E77" s="417">
        <f>[11]Summary_RAB!E71</f>
        <v>54643.790214463828</v>
      </c>
      <c r="F77" s="417">
        <f>[11]Summary_RAB!F71</f>
        <v>0</v>
      </c>
      <c r="G77" s="417">
        <f>[11]Summary_RAB!G71</f>
        <v>0</v>
      </c>
      <c r="H77" s="417">
        <f>[11]Summary_RAB!H71</f>
        <v>0</v>
      </c>
      <c r="I77" s="417">
        <f>[11]Summary_RAB!I71</f>
        <v>257.42818891170435</v>
      </c>
      <c r="J77" s="417">
        <f>[11]Summary_RAB!J71</f>
        <v>956.21962067608752</v>
      </c>
      <c r="K77" s="417">
        <f>[11]Summary_RAB!K71</f>
        <v>0</v>
      </c>
      <c r="L77" s="417">
        <f>[11]Summary_RAB!L71</f>
        <v>229.26628090349072</v>
      </c>
      <c r="M77" s="417">
        <f>[11]Summary_RAB!M71</f>
        <v>1556.1888714793022</v>
      </c>
      <c r="N77" s="417">
        <f>[11]Summary_RAB!N71</f>
        <v>0</v>
      </c>
      <c r="O77" s="417">
        <f>[11]Summary_RAB!O71</f>
        <v>0</v>
      </c>
      <c r="P77" s="417">
        <f>[11]Summary_RAB!P71</f>
        <v>0</v>
      </c>
      <c r="Q77" s="417">
        <f>[11]Summary_RAB!Q71</f>
        <v>0</v>
      </c>
      <c r="R77" s="417">
        <f>[11]Summary_RAB!R71</f>
        <v>0</v>
      </c>
      <c r="S77" s="417">
        <f>[11]Summary_RAB!T71</f>
        <v>0</v>
      </c>
      <c r="T77" s="417">
        <f>[11]Summary_RAB!U71</f>
        <v>0</v>
      </c>
      <c r="U77" s="417">
        <f>[11]Summary_RAB!V71</f>
        <v>0</v>
      </c>
      <c r="V77" s="417">
        <f>[11]Summary_RAB!W71</f>
        <v>0</v>
      </c>
      <c r="W77" s="417">
        <f>[11]Summary_RAB!X71</f>
        <v>0</v>
      </c>
      <c r="X77" s="417">
        <f>[11]Summary_RAB!Y71</f>
        <v>0</v>
      </c>
      <c r="Y77" s="418">
        <f>SUM(E77:X77)</f>
        <v>57642.893176434409</v>
      </c>
    </row>
    <row r="78" spans="1:25" ht="40.799999999999997" thickBot="1" x14ac:dyDescent="0.55000000000000004">
      <c r="D78" s="149" t="s">
        <v>1057</v>
      </c>
      <c r="E78" s="417">
        <f>[11]Summary_RAB!E72</f>
        <v>6855.9421626069679</v>
      </c>
      <c r="F78" s="417">
        <f>[11]Summary_RAB!F72</f>
        <v>0</v>
      </c>
      <c r="G78" s="417">
        <f>[11]Summary_RAB!G72</f>
        <v>0</v>
      </c>
      <c r="H78" s="417">
        <f>[11]Summary_RAB!H72</f>
        <v>0</v>
      </c>
      <c r="I78" s="417">
        <f>[11]Summary_RAB!I72</f>
        <v>0</v>
      </c>
      <c r="J78" s="417">
        <f>[11]Summary_RAB!J72</f>
        <v>0</v>
      </c>
      <c r="K78" s="417">
        <f>[11]Summary_RAB!K72</f>
        <v>5421.9749902721405</v>
      </c>
      <c r="L78" s="417">
        <f>[11]Summary_RAB!L72</f>
        <v>0</v>
      </c>
      <c r="M78" s="417">
        <f>[11]Summary_RAB!M72</f>
        <v>0</v>
      </c>
      <c r="N78" s="417">
        <f>[11]Summary_RAB!N72</f>
        <v>0</v>
      </c>
      <c r="O78" s="417">
        <f>[11]Summary_RAB!O72</f>
        <v>0</v>
      </c>
      <c r="P78" s="417">
        <f>[11]Summary_RAB!P72</f>
        <v>0</v>
      </c>
      <c r="Q78" s="417">
        <f>[11]Summary_RAB!Q72</f>
        <v>0</v>
      </c>
      <c r="R78" s="417">
        <f>[11]Summary_RAB!R72</f>
        <v>0</v>
      </c>
      <c r="S78" s="417">
        <f>[11]Summary_RAB!T72</f>
        <v>0</v>
      </c>
      <c r="T78" s="417">
        <f>[11]Summary_RAB!U72</f>
        <v>0</v>
      </c>
      <c r="U78" s="417">
        <f>[11]Summary_RAB!V72</f>
        <v>0</v>
      </c>
      <c r="V78" s="417">
        <f>[11]Summary_RAB!W72</f>
        <v>0</v>
      </c>
      <c r="W78" s="417">
        <f>[11]Summary_RAB!X72</f>
        <v>0</v>
      </c>
      <c r="X78" s="417">
        <f>[11]Summary_RAB!Y72</f>
        <v>0</v>
      </c>
      <c r="Y78" s="418">
        <f t="shared" ref="Y78:Y97" si="0">SUM(E78:X78)</f>
        <v>12277.917152879108</v>
      </c>
    </row>
    <row r="79" spans="1:25" ht="13.8" thickBot="1" x14ac:dyDescent="0.55000000000000004">
      <c r="D79" s="149" t="s">
        <v>1058</v>
      </c>
      <c r="E79" s="417">
        <f>[11]Summary_RAB!E73</f>
        <v>22269.471120163595</v>
      </c>
      <c r="F79" s="417">
        <f>[11]Summary_RAB!F73</f>
        <v>0</v>
      </c>
      <c r="G79" s="417">
        <f>[11]Summary_RAB!G73</f>
        <v>0</v>
      </c>
      <c r="H79" s="417">
        <f>[11]Summary_RAB!H73</f>
        <v>0</v>
      </c>
      <c r="I79" s="417">
        <f>[11]Summary_RAB!I73</f>
        <v>0</v>
      </c>
      <c r="J79" s="417">
        <f>[11]Summary_RAB!J73</f>
        <v>0</v>
      </c>
      <c r="K79" s="417">
        <f>[11]Summary_RAB!K73</f>
        <v>0</v>
      </c>
      <c r="L79" s="417">
        <f>[11]Summary_RAB!L73</f>
        <v>22.744799999999994</v>
      </c>
      <c r="M79" s="417">
        <f>[11]Summary_RAB!M73</f>
        <v>0</v>
      </c>
      <c r="N79" s="417">
        <f>[11]Summary_RAB!N73</f>
        <v>0</v>
      </c>
      <c r="O79" s="417">
        <f>[11]Summary_RAB!O73</f>
        <v>0</v>
      </c>
      <c r="P79" s="417">
        <f>[11]Summary_RAB!P73</f>
        <v>0</v>
      </c>
      <c r="Q79" s="417">
        <f>[11]Summary_RAB!Q73</f>
        <v>0</v>
      </c>
      <c r="R79" s="417">
        <f>[11]Summary_RAB!R73</f>
        <v>0</v>
      </c>
      <c r="S79" s="417">
        <f>[11]Summary_RAB!T73</f>
        <v>0</v>
      </c>
      <c r="T79" s="417">
        <f>[11]Summary_RAB!U73</f>
        <v>0</v>
      </c>
      <c r="U79" s="417">
        <f>[11]Summary_RAB!V73</f>
        <v>0</v>
      </c>
      <c r="V79" s="417">
        <f>[11]Summary_RAB!W73</f>
        <v>0</v>
      </c>
      <c r="W79" s="417">
        <f>[11]Summary_RAB!X73</f>
        <v>0</v>
      </c>
      <c r="X79" s="417">
        <f>[11]Summary_RAB!Y73</f>
        <v>0</v>
      </c>
      <c r="Y79" s="418">
        <f t="shared" si="0"/>
        <v>22292.215920163595</v>
      </c>
    </row>
    <row r="80" spans="1:25" ht="13.8" thickBot="1" x14ac:dyDescent="0.55000000000000004">
      <c r="D80" s="149" t="s">
        <v>1059</v>
      </c>
      <c r="E80" s="417">
        <f>[11]Summary_RAB!E74</f>
        <v>16389.526618442007</v>
      </c>
      <c r="F80" s="417">
        <f>[11]Summary_RAB!F74</f>
        <v>0</v>
      </c>
      <c r="G80" s="417">
        <f>[11]Summary_RAB!G74</f>
        <v>0</v>
      </c>
      <c r="H80" s="417">
        <f>[11]Summary_RAB!H74</f>
        <v>0</v>
      </c>
      <c r="I80" s="417">
        <f>[11]Summary_RAB!I74</f>
        <v>0</v>
      </c>
      <c r="J80" s="417">
        <f>[11]Summary_RAB!J74</f>
        <v>439.7850477991505</v>
      </c>
      <c r="K80" s="417">
        <f>[11]Summary_RAB!K74</f>
        <v>0</v>
      </c>
      <c r="L80" s="417">
        <f>[11]Summary_RAB!L74</f>
        <v>45.913322587268993</v>
      </c>
      <c r="M80" s="417">
        <f>[11]Summary_RAB!M74</f>
        <v>310.45870718685831</v>
      </c>
      <c r="N80" s="417">
        <f>[11]Summary_RAB!N74</f>
        <v>0</v>
      </c>
      <c r="O80" s="417">
        <f>[11]Summary_RAB!O74</f>
        <v>0</v>
      </c>
      <c r="P80" s="417">
        <f>[11]Summary_RAB!P74</f>
        <v>0</v>
      </c>
      <c r="Q80" s="417">
        <f>[11]Summary_RAB!Q74</f>
        <v>0</v>
      </c>
      <c r="R80" s="417">
        <f>[11]Summary_RAB!R74</f>
        <v>0</v>
      </c>
      <c r="S80" s="417">
        <f>[11]Summary_RAB!T74</f>
        <v>0</v>
      </c>
      <c r="T80" s="417">
        <f>[11]Summary_RAB!U74</f>
        <v>0</v>
      </c>
      <c r="U80" s="417">
        <f>[11]Summary_RAB!V74</f>
        <v>0</v>
      </c>
      <c r="V80" s="417">
        <f>[11]Summary_RAB!W74</f>
        <v>0</v>
      </c>
      <c r="W80" s="417">
        <f>[11]Summary_RAB!X74</f>
        <v>0</v>
      </c>
      <c r="X80" s="417">
        <f>[11]Summary_RAB!Y74</f>
        <v>0</v>
      </c>
      <c r="Y80" s="418">
        <f t="shared" si="0"/>
        <v>17185.683696015283</v>
      </c>
    </row>
    <row r="81" spans="4:25" ht="40.799999999999997" thickBot="1" x14ac:dyDescent="0.55000000000000004">
      <c r="D81" s="149" t="s">
        <v>1060</v>
      </c>
      <c r="E81" s="417">
        <f>[11]Summary_RAB!E75</f>
        <v>6690.1496678561844</v>
      </c>
      <c r="F81" s="417">
        <f>[11]Summary_RAB!F75</f>
        <v>0</v>
      </c>
      <c r="G81" s="417">
        <f>[11]Summary_RAB!G75</f>
        <v>0</v>
      </c>
      <c r="H81" s="417">
        <f>[11]Summary_RAB!H75</f>
        <v>0</v>
      </c>
      <c r="I81" s="417">
        <f>[11]Summary_RAB!I75</f>
        <v>0</v>
      </c>
      <c r="J81" s="417">
        <f>[11]Summary_RAB!J75</f>
        <v>0</v>
      </c>
      <c r="K81" s="417">
        <f>[11]Summary_RAB!K75</f>
        <v>2810.3290319160042</v>
      </c>
      <c r="L81" s="417">
        <f>[11]Summary_RAB!L75</f>
        <v>0</v>
      </c>
      <c r="M81" s="417">
        <f>[11]Summary_RAB!M75</f>
        <v>0</v>
      </c>
      <c r="N81" s="417">
        <f>[11]Summary_RAB!N75</f>
        <v>0</v>
      </c>
      <c r="O81" s="417">
        <f>[11]Summary_RAB!O75</f>
        <v>0</v>
      </c>
      <c r="P81" s="417">
        <f>[11]Summary_RAB!P75</f>
        <v>0</v>
      </c>
      <c r="Q81" s="417">
        <f>[11]Summary_RAB!Q75</f>
        <v>0</v>
      </c>
      <c r="R81" s="417">
        <f>[11]Summary_RAB!R75</f>
        <v>0</v>
      </c>
      <c r="S81" s="417">
        <f>[11]Summary_RAB!T75</f>
        <v>0</v>
      </c>
      <c r="T81" s="417">
        <f>[11]Summary_RAB!U75</f>
        <v>0</v>
      </c>
      <c r="U81" s="417">
        <f>[11]Summary_RAB!V75</f>
        <v>0</v>
      </c>
      <c r="V81" s="417">
        <f>[11]Summary_RAB!W75</f>
        <v>0</v>
      </c>
      <c r="W81" s="417">
        <f>[11]Summary_RAB!X75</f>
        <v>0</v>
      </c>
      <c r="X81" s="417">
        <f>[11]Summary_RAB!Y75</f>
        <v>0</v>
      </c>
      <c r="Y81" s="418">
        <f t="shared" si="0"/>
        <v>9500.4786997721894</v>
      </c>
    </row>
    <row r="82" spans="4:25" ht="27.3" thickBot="1" x14ac:dyDescent="0.55000000000000004">
      <c r="D82" s="149" t="s">
        <v>1061</v>
      </c>
      <c r="E82" s="417">
        <f>[11]Summary_RAB!E76</f>
        <v>5099.5761305911992</v>
      </c>
      <c r="F82" s="417">
        <f>[11]Summary_RAB!F76</f>
        <v>0</v>
      </c>
      <c r="G82" s="417">
        <f>[11]Summary_RAB!G76</f>
        <v>0</v>
      </c>
      <c r="H82" s="417">
        <f>[11]Summary_RAB!H76</f>
        <v>0</v>
      </c>
      <c r="I82" s="417">
        <f>[11]Summary_RAB!I76</f>
        <v>0</v>
      </c>
      <c r="J82" s="417">
        <f>[11]Summary_RAB!J76</f>
        <v>0</v>
      </c>
      <c r="K82" s="417">
        <f>[11]Summary_RAB!K76</f>
        <v>0</v>
      </c>
      <c r="L82" s="417">
        <f>[11]Summary_RAB!L76</f>
        <v>26.851499999999998</v>
      </c>
      <c r="M82" s="417">
        <f>[11]Summary_RAB!M76</f>
        <v>19.796400000000002</v>
      </c>
      <c r="N82" s="417">
        <f>[11]Summary_RAB!N76</f>
        <v>0</v>
      </c>
      <c r="O82" s="417">
        <f>[11]Summary_RAB!O76</f>
        <v>0</v>
      </c>
      <c r="P82" s="417">
        <f>[11]Summary_RAB!P76</f>
        <v>0</v>
      </c>
      <c r="Q82" s="417">
        <f>[11]Summary_RAB!Q76</f>
        <v>0</v>
      </c>
      <c r="R82" s="417">
        <f>[11]Summary_RAB!R76</f>
        <v>0</v>
      </c>
      <c r="S82" s="417">
        <f>[11]Summary_RAB!T76</f>
        <v>0</v>
      </c>
      <c r="T82" s="417">
        <f>[11]Summary_RAB!U76</f>
        <v>0</v>
      </c>
      <c r="U82" s="417">
        <f>[11]Summary_RAB!V76</f>
        <v>0</v>
      </c>
      <c r="V82" s="417">
        <f>[11]Summary_RAB!W76</f>
        <v>0</v>
      </c>
      <c r="W82" s="417">
        <f>[11]Summary_RAB!X76</f>
        <v>0</v>
      </c>
      <c r="X82" s="417">
        <f>[11]Summary_RAB!Y76</f>
        <v>0</v>
      </c>
      <c r="Y82" s="418">
        <f t="shared" si="0"/>
        <v>5146.2240305911992</v>
      </c>
    </row>
    <row r="83" spans="4:25" ht="13.8" thickBot="1" x14ac:dyDescent="0.55000000000000004">
      <c r="D83" s="149" t="s">
        <v>1062</v>
      </c>
      <c r="E83" s="417">
        <f>[11]Summary_RAB!E77</f>
        <v>0</v>
      </c>
      <c r="F83" s="417">
        <f>[11]Summary_RAB!F77</f>
        <v>0</v>
      </c>
      <c r="G83" s="417">
        <f>[11]Summary_RAB!G77</f>
        <v>109085.92472532151</v>
      </c>
      <c r="H83" s="417">
        <f>[11]Summary_RAB!H77</f>
        <v>0</v>
      </c>
      <c r="I83" s="417">
        <f>[11]Summary_RAB!I77</f>
        <v>0</v>
      </c>
      <c r="J83" s="417">
        <f>[11]Summary_RAB!J77</f>
        <v>0</v>
      </c>
      <c r="K83" s="417">
        <f>[11]Summary_RAB!K77</f>
        <v>0</v>
      </c>
      <c r="L83" s="417">
        <f>[11]Summary_RAB!L77</f>
        <v>0</v>
      </c>
      <c r="M83" s="417">
        <f>[11]Summary_RAB!M77</f>
        <v>0</v>
      </c>
      <c r="N83" s="417">
        <f>[11]Summary_RAB!N77</f>
        <v>0</v>
      </c>
      <c r="O83" s="417">
        <f>[11]Summary_RAB!O77</f>
        <v>0</v>
      </c>
      <c r="P83" s="417">
        <f>[11]Summary_RAB!P77</f>
        <v>0</v>
      </c>
      <c r="Q83" s="417">
        <f>[11]Summary_RAB!Q77</f>
        <v>0</v>
      </c>
      <c r="R83" s="417">
        <f>[11]Summary_RAB!R77</f>
        <v>0</v>
      </c>
      <c r="S83" s="417">
        <f>[11]Summary_RAB!T77</f>
        <v>0</v>
      </c>
      <c r="T83" s="417">
        <f>[11]Summary_RAB!U77</f>
        <v>0</v>
      </c>
      <c r="U83" s="417">
        <f>[11]Summary_RAB!V77</f>
        <v>0</v>
      </c>
      <c r="V83" s="417">
        <f>[11]Summary_RAB!W77</f>
        <v>0</v>
      </c>
      <c r="W83" s="417">
        <f>[11]Summary_RAB!X77</f>
        <v>0</v>
      </c>
      <c r="X83" s="417">
        <f>[11]Summary_RAB!Y77</f>
        <v>0</v>
      </c>
      <c r="Y83" s="418">
        <f t="shared" si="0"/>
        <v>109085.92472532151</v>
      </c>
    </row>
    <row r="84" spans="4:25" ht="13.8" thickBot="1" x14ac:dyDescent="0.55000000000000004">
      <c r="D84" s="149" t="s">
        <v>1063</v>
      </c>
      <c r="E84" s="417">
        <f>[11]Summary_RAB!E78</f>
        <v>0</v>
      </c>
      <c r="F84" s="417">
        <f>[11]Summary_RAB!F78</f>
        <v>0</v>
      </c>
      <c r="G84" s="417">
        <f>[11]Summary_RAB!G78</f>
        <v>26743.510746367996</v>
      </c>
      <c r="H84" s="417">
        <f>[11]Summary_RAB!H78</f>
        <v>0</v>
      </c>
      <c r="I84" s="417">
        <f>[11]Summary_RAB!I78</f>
        <v>0</v>
      </c>
      <c r="J84" s="417">
        <f>[11]Summary_RAB!J78</f>
        <v>0</v>
      </c>
      <c r="K84" s="417">
        <f>[11]Summary_RAB!K78</f>
        <v>0</v>
      </c>
      <c r="L84" s="417">
        <f>[11]Summary_RAB!L78</f>
        <v>0</v>
      </c>
      <c r="M84" s="417">
        <f>[11]Summary_RAB!M78</f>
        <v>0</v>
      </c>
      <c r="N84" s="417">
        <f>[11]Summary_RAB!N78</f>
        <v>0</v>
      </c>
      <c r="O84" s="417">
        <f>[11]Summary_RAB!O78</f>
        <v>0</v>
      </c>
      <c r="P84" s="417">
        <f>[11]Summary_RAB!P78</f>
        <v>0</v>
      </c>
      <c r="Q84" s="417">
        <f>[11]Summary_RAB!Q78</f>
        <v>0</v>
      </c>
      <c r="R84" s="417">
        <f>[11]Summary_RAB!R78</f>
        <v>0</v>
      </c>
      <c r="S84" s="417">
        <f>[11]Summary_RAB!T78</f>
        <v>0</v>
      </c>
      <c r="T84" s="417">
        <f>[11]Summary_RAB!U78</f>
        <v>0</v>
      </c>
      <c r="U84" s="417">
        <f>[11]Summary_RAB!V78</f>
        <v>0</v>
      </c>
      <c r="V84" s="417">
        <f>[11]Summary_RAB!W78</f>
        <v>0</v>
      </c>
      <c r="W84" s="417">
        <f>[11]Summary_RAB!X78</f>
        <v>0</v>
      </c>
      <c r="X84" s="417">
        <f>[11]Summary_RAB!Y78</f>
        <v>0</v>
      </c>
      <c r="Y84" s="418">
        <f t="shared" si="0"/>
        <v>26743.510746367996</v>
      </c>
    </row>
    <row r="85" spans="4:25" ht="13.8" thickBot="1" x14ac:dyDescent="0.55000000000000004">
      <c r="D85" s="149" t="s">
        <v>1064</v>
      </c>
      <c r="E85" s="417">
        <f>[11]Summary_RAB!E79</f>
        <v>0</v>
      </c>
      <c r="F85" s="417">
        <f>[11]Summary_RAB!F79</f>
        <v>0</v>
      </c>
      <c r="G85" s="417">
        <f>[11]Summary_RAB!G79</f>
        <v>0</v>
      </c>
      <c r="H85" s="417">
        <f>[11]Summary_RAB!H79</f>
        <v>0</v>
      </c>
      <c r="I85" s="417">
        <f>[11]Summary_RAB!I79</f>
        <v>77650.555103047998</v>
      </c>
      <c r="J85" s="417">
        <f>[11]Summary_RAB!J79</f>
        <v>0</v>
      </c>
      <c r="K85" s="417">
        <f>[11]Summary_RAB!K79</f>
        <v>0</v>
      </c>
      <c r="L85" s="417">
        <f>[11]Summary_RAB!L79</f>
        <v>0</v>
      </c>
      <c r="M85" s="417">
        <f>[11]Summary_RAB!M79</f>
        <v>0</v>
      </c>
      <c r="N85" s="417">
        <f>[11]Summary_RAB!N79</f>
        <v>0</v>
      </c>
      <c r="O85" s="417">
        <f>[11]Summary_RAB!O79</f>
        <v>0</v>
      </c>
      <c r="P85" s="417">
        <f>[11]Summary_RAB!P79</f>
        <v>0</v>
      </c>
      <c r="Q85" s="417">
        <f>[11]Summary_RAB!Q79</f>
        <v>0</v>
      </c>
      <c r="R85" s="417">
        <f>[11]Summary_RAB!R79</f>
        <v>0</v>
      </c>
      <c r="S85" s="417">
        <f>[11]Summary_RAB!T79</f>
        <v>0</v>
      </c>
      <c r="T85" s="417">
        <f>[11]Summary_RAB!U79</f>
        <v>0</v>
      </c>
      <c r="U85" s="417">
        <f>[11]Summary_RAB!V79</f>
        <v>0</v>
      </c>
      <c r="V85" s="417">
        <f>[11]Summary_RAB!W79</f>
        <v>0</v>
      </c>
      <c r="W85" s="417">
        <f>[11]Summary_RAB!X79</f>
        <v>0</v>
      </c>
      <c r="X85" s="417">
        <f>[11]Summary_RAB!Y79</f>
        <v>0</v>
      </c>
      <c r="Y85" s="418">
        <f t="shared" si="0"/>
        <v>77650.555103047998</v>
      </c>
    </row>
    <row r="86" spans="4:25" ht="13.8" thickBot="1" x14ac:dyDescent="0.55000000000000004">
      <c r="D86" s="149" t="s">
        <v>1065</v>
      </c>
      <c r="E86" s="417">
        <f>[11]Summary_RAB!E80</f>
        <v>0</v>
      </c>
      <c r="F86" s="417">
        <f>[11]Summary_RAB!F80</f>
        <v>164228.87077390985</v>
      </c>
      <c r="G86" s="417">
        <f>[11]Summary_RAB!G80</f>
        <v>0</v>
      </c>
      <c r="H86" s="417">
        <f>[11]Summary_RAB!H80</f>
        <v>0</v>
      </c>
      <c r="I86" s="417">
        <f>[11]Summary_RAB!I80</f>
        <v>0</v>
      </c>
      <c r="J86" s="417">
        <f>[11]Summary_RAB!J80</f>
        <v>0</v>
      </c>
      <c r="K86" s="417">
        <f>[11]Summary_RAB!K80</f>
        <v>0</v>
      </c>
      <c r="L86" s="417">
        <f>[11]Summary_RAB!L80</f>
        <v>0</v>
      </c>
      <c r="M86" s="417">
        <f>[11]Summary_RAB!M80</f>
        <v>0</v>
      </c>
      <c r="N86" s="417">
        <f>[11]Summary_RAB!N80</f>
        <v>0</v>
      </c>
      <c r="O86" s="417">
        <f>[11]Summary_RAB!O80</f>
        <v>0</v>
      </c>
      <c r="P86" s="417">
        <f>[11]Summary_RAB!P80</f>
        <v>0</v>
      </c>
      <c r="Q86" s="417">
        <f>[11]Summary_RAB!Q80</f>
        <v>0</v>
      </c>
      <c r="R86" s="417">
        <f>[11]Summary_RAB!R80</f>
        <v>0</v>
      </c>
      <c r="S86" s="417">
        <f>[11]Summary_RAB!T80</f>
        <v>0</v>
      </c>
      <c r="T86" s="417">
        <f>[11]Summary_RAB!U80</f>
        <v>0</v>
      </c>
      <c r="U86" s="417">
        <f>[11]Summary_RAB!V80</f>
        <v>0</v>
      </c>
      <c r="V86" s="417">
        <f>[11]Summary_RAB!W80</f>
        <v>0</v>
      </c>
      <c r="W86" s="417">
        <f>[11]Summary_RAB!X80</f>
        <v>0</v>
      </c>
      <c r="X86" s="417">
        <f>[11]Summary_RAB!Y80</f>
        <v>0</v>
      </c>
      <c r="Y86" s="418">
        <f t="shared" si="0"/>
        <v>164228.87077390985</v>
      </c>
    </row>
    <row r="87" spans="4:25" ht="27.3" thickBot="1" x14ac:dyDescent="0.55000000000000004">
      <c r="D87" s="149" t="s">
        <v>1066</v>
      </c>
      <c r="E87" s="417">
        <f>[11]Summary_RAB!E81</f>
        <v>0</v>
      </c>
      <c r="F87" s="417">
        <f>[11]Summary_RAB!F81</f>
        <v>91961.690832459106</v>
      </c>
      <c r="G87" s="417">
        <f>[11]Summary_RAB!G81</f>
        <v>0</v>
      </c>
      <c r="H87" s="417">
        <f>[11]Summary_RAB!H81</f>
        <v>0</v>
      </c>
      <c r="I87" s="417">
        <f>[11]Summary_RAB!I81</f>
        <v>0</v>
      </c>
      <c r="J87" s="417">
        <f>[11]Summary_RAB!J81</f>
        <v>0</v>
      </c>
      <c r="K87" s="417">
        <f>[11]Summary_RAB!K81</f>
        <v>0</v>
      </c>
      <c r="L87" s="417">
        <f>[11]Summary_RAB!L81</f>
        <v>0</v>
      </c>
      <c r="M87" s="417">
        <f>[11]Summary_RAB!M81</f>
        <v>0</v>
      </c>
      <c r="N87" s="417">
        <f>[11]Summary_RAB!N81</f>
        <v>0</v>
      </c>
      <c r="O87" s="417">
        <f>[11]Summary_RAB!O81</f>
        <v>0</v>
      </c>
      <c r="P87" s="417">
        <f>[11]Summary_RAB!P81</f>
        <v>0</v>
      </c>
      <c r="Q87" s="417">
        <f>[11]Summary_RAB!Q81</f>
        <v>0</v>
      </c>
      <c r="R87" s="417">
        <f>[11]Summary_RAB!R81</f>
        <v>0</v>
      </c>
      <c r="S87" s="417">
        <f>[11]Summary_RAB!T81</f>
        <v>0</v>
      </c>
      <c r="T87" s="417">
        <f>[11]Summary_RAB!U81</f>
        <v>0</v>
      </c>
      <c r="U87" s="417">
        <f>[11]Summary_RAB!V81</f>
        <v>0</v>
      </c>
      <c r="V87" s="417">
        <f>[11]Summary_RAB!W81</f>
        <v>0</v>
      </c>
      <c r="W87" s="417">
        <f>[11]Summary_RAB!X81</f>
        <v>0</v>
      </c>
      <c r="X87" s="417">
        <f>[11]Summary_RAB!Y81</f>
        <v>0</v>
      </c>
      <c r="Y87" s="418">
        <f t="shared" si="0"/>
        <v>91961.690832459106</v>
      </c>
    </row>
    <row r="88" spans="4:25" ht="13.8" thickBot="1" x14ac:dyDescent="0.55000000000000004">
      <c r="D88" s="149" t="s">
        <v>1067</v>
      </c>
      <c r="E88" s="417">
        <f>[11]Summary_RAB!E82</f>
        <v>0</v>
      </c>
      <c r="F88" s="417">
        <f>[11]Summary_RAB!F82</f>
        <v>8101.5848836660007</v>
      </c>
      <c r="G88" s="417">
        <f>[11]Summary_RAB!G82</f>
        <v>4106.2226087500003</v>
      </c>
      <c r="H88" s="417">
        <f>[11]Summary_RAB!H82</f>
        <v>0</v>
      </c>
      <c r="I88" s="417">
        <f>[11]Summary_RAB!I82</f>
        <v>0</v>
      </c>
      <c r="J88" s="417">
        <f>[11]Summary_RAB!J82</f>
        <v>0</v>
      </c>
      <c r="K88" s="417">
        <f>[11]Summary_RAB!K82</f>
        <v>0</v>
      </c>
      <c r="L88" s="417">
        <f>[11]Summary_RAB!L82</f>
        <v>0</v>
      </c>
      <c r="M88" s="417">
        <f>[11]Summary_RAB!M82</f>
        <v>0</v>
      </c>
      <c r="N88" s="417">
        <f>[11]Summary_RAB!N82</f>
        <v>0</v>
      </c>
      <c r="O88" s="417">
        <f>[11]Summary_RAB!O82</f>
        <v>0</v>
      </c>
      <c r="P88" s="417">
        <f>[11]Summary_RAB!P82</f>
        <v>0</v>
      </c>
      <c r="Q88" s="417">
        <f>[11]Summary_RAB!Q82</f>
        <v>0</v>
      </c>
      <c r="R88" s="417">
        <f>[11]Summary_RAB!R82</f>
        <v>0</v>
      </c>
      <c r="S88" s="417">
        <f>[11]Summary_RAB!T82</f>
        <v>0</v>
      </c>
      <c r="T88" s="417">
        <f>[11]Summary_RAB!U82</f>
        <v>0</v>
      </c>
      <c r="U88" s="417">
        <f>[11]Summary_RAB!V82</f>
        <v>0</v>
      </c>
      <c r="V88" s="417">
        <f>[11]Summary_RAB!W82</f>
        <v>0</v>
      </c>
      <c r="W88" s="417">
        <f>[11]Summary_RAB!X82</f>
        <v>0</v>
      </c>
      <c r="X88" s="417">
        <f>[11]Summary_RAB!Y82</f>
        <v>0</v>
      </c>
      <c r="Y88" s="418">
        <f t="shared" si="0"/>
        <v>12207.807492416001</v>
      </c>
    </row>
    <row r="89" spans="4:25" ht="13.8" thickBot="1" x14ac:dyDescent="0.55000000000000004">
      <c r="D89" s="149" t="s">
        <v>1068</v>
      </c>
      <c r="E89" s="417">
        <f>[11]Summary_RAB!E83</f>
        <v>4413.5314285714276</v>
      </c>
      <c r="F89" s="417">
        <f>[11]Summary_RAB!F83</f>
        <v>3048.3005381840953</v>
      </c>
      <c r="G89" s="417">
        <f>[11]Summary_RAB!G83</f>
        <v>0</v>
      </c>
      <c r="H89" s="417">
        <f>[11]Summary_RAB!H83</f>
        <v>0</v>
      </c>
      <c r="I89" s="417">
        <f>[11]Summary_RAB!I83</f>
        <v>0</v>
      </c>
      <c r="J89" s="417">
        <f>[11]Summary_RAB!J83</f>
        <v>10068.112624546347</v>
      </c>
      <c r="K89" s="417">
        <f>[11]Summary_RAB!K83</f>
        <v>0</v>
      </c>
      <c r="L89" s="417">
        <f>[11]Summary_RAB!L83</f>
        <v>0</v>
      </c>
      <c r="M89" s="417">
        <f>[11]Summary_RAB!M83</f>
        <v>0</v>
      </c>
      <c r="N89" s="417">
        <f>[11]Summary_RAB!N83</f>
        <v>0</v>
      </c>
      <c r="O89" s="417">
        <f>[11]Summary_RAB!O83</f>
        <v>0</v>
      </c>
      <c r="P89" s="417">
        <f>[11]Summary_RAB!P83</f>
        <v>0</v>
      </c>
      <c r="Q89" s="417">
        <f>[11]Summary_RAB!Q83</f>
        <v>0</v>
      </c>
      <c r="R89" s="417">
        <f>[11]Summary_RAB!R83</f>
        <v>0</v>
      </c>
      <c r="S89" s="417">
        <f>[11]Summary_RAB!T83</f>
        <v>0</v>
      </c>
      <c r="T89" s="417">
        <f>[11]Summary_RAB!U83</f>
        <v>224.01724519999996</v>
      </c>
      <c r="U89" s="417">
        <f>[11]Summary_RAB!V83</f>
        <v>0</v>
      </c>
      <c r="V89" s="417">
        <f>[11]Summary_RAB!W83</f>
        <v>0</v>
      </c>
      <c r="W89" s="417">
        <f>[11]Summary_RAB!X83</f>
        <v>0</v>
      </c>
      <c r="X89" s="417">
        <f>[11]Summary_RAB!Y83</f>
        <v>0</v>
      </c>
      <c r="Y89" s="418">
        <f t="shared" si="0"/>
        <v>17753.961836501872</v>
      </c>
    </row>
    <row r="90" spans="4:25" ht="13.8" thickBot="1" x14ac:dyDescent="0.55000000000000004">
      <c r="D90" s="149" t="s">
        <v>1069</v>
      </c>
      <c r="E90" s="417">
        <f>[11]Summary_RAB!E84</f>
        <v>0</v>
      </c>
      <c r="F90" s="417">
        <f>[11]Summary_RAB!F84</f>
        <v>0</v>
      </c>
      <c r="G90" s="417">
        <f>[11]Summary_RAB!G84</f>
        <v>0</v>
      </c>
      <c r="H90" s="417">
        <f>[11]Summary_RAB!H84</f>
        <v>0</v>
      </c>
      <c r="I90" s="417">
        <f>[11]Summary_RAB!I84</f>
        <v>0</v>
      </c>
      <c r="J90" s="417">
        <f>[11]Summary_RAB!J84</f>
        <v>0</v>
      </c>
      <c r="K90" s="417">
        <f>[11]Summary_RAB!K84</f>
        <v>0</v>
      </c>
      <c r="L90" s="417">
        <f>[11]Summary_RAB!L84</f>
        <v>81.409151518277142</v>
      </c>
      <c r="M90" s="417">
        <f>[11]Summary_RAB!M84</f>
        <v>1314.183384767699</v>
      </c>
      <c r="N90" s="417">
        <f>[11]Summary_RAB!N84</f>
        <v>0</v>
      </c>
      <c r="O90" s="417">
        <f>[11]Summary_RAB!O84</f>
        <v>0</v>
      </c>
      <c r="P90" s="417">
        <f>[11]Summary_RAB!P84</f>
        <v>0</v>
      </c>
      <c r="Q90" s="417">
        <f>[11]Summary_RAB!Q84</f>
        <v>0</v>
      </c>
      <c r="R90" s="417">
        <f>[11]Summary_RAB!R84</f>
        <v>0</v>
      </c>
      <c r="S90" s="417">
        <f>[11]Summary_RAB!T84</f>
        <v>0</v>
      </c>
      <c r="T90" s="417">
        <f>[11]Summary_RAB!U84</f>
        <v>0</v>
      </c>
      <c r="U90" s="417">
        <f>[11]Summary_RAB!V84</f>
        <v>0</v>
      </c>
      <c r="V90" s="417">
        <f>[11]Summary_RAB!W84</f>
        <v>0</v>
      </c>
      <c r="W90" s="417">
        <f>[11]Summary_RAB!X84</f>
        <v>0</v>
      </c>
      <c r="X90" s="417">
        <f>[11]Summary_RAB!Y84</f>
        <v>0</v>
      </c>
      <c r="Y90" s="418">
        <f t="shared" si="0"/>
        <v>1395.5925362859762</v>
      </c>
    </row>
    <row r="91" spans="4:25" ht="13.8" thickBot="1" x14ac:dyDescent="0.55000000000000004">
      <c r="D91" s="149" t="s">
        <v>1070</v>
      </c>
      <c r="E91" s="417">
        <f>[11]Summary_RAB!E85</f>
        <v>0</v>
      </c>
      <c r="F91" s="417">
        <f>[11]Summary_RAB!F85</f>
        <v>0</v>
      </c>
      <c r="G91" s="417">
        <f>[11]Summary_RAB!G85</f>
        <v>0</v>
      </c>
      <c r="H91" s="417">
        <f>[11]Summary_RAB!H85</f>
        <v>165.32667886669623</v>
      </c>
      <c r="I91" s="417">
        <f>[11]Summary_RAB!I85</f>
        <v>0</v>
      </c>
      <c r="J91" s="417">
        <f>[11]Summary_RAB!J85</f>
        <v>0</v>
      </c>
      <c r="K91" s="417">
        <f>[11]Summary_RAB!K85</f>
        <v>0</v>
      </c>
      <c r="L91" s="417">
        <f>[11]Summary_RAB!L85</f>
        <v>0</v>
      </c>
      <c r="M91" s="417">
        <f>[11]Summary_RAB!M85</f>
        <v>0</v>
      </c>
      <c r="N91" s="417">
        <f>[11]Summary_RAB!N85</f>
        <v>0</v>
      </c>
      <c r="O91" s="417">
        <f>[11]Summary_RAB!O85</f>
        <v>0</v>
      </c>
      <c r="P91" s="417">
        <f>[11]Summary_RAB!P85</f>
        <v>0</v>
      </c>
      <c r="Q91" s="417">
        <f>[11]Summary_RAB!Q85</f>
        <v>0</v>
      </c>
      <c r="R91" s="417">
        <f>[11]Summary_RAB!R85</f>
        <v>0</v>
      </c>
      <c r="S91" s="417">
        <f>[11]Summary_RAB!T85</f>
        <v>0</v>
      </c>
      <c r="T91" s="417">
        <f>[11]Summary_RAB!U85</f>
        <v>0</v>
      </c>
      <c r="U91" s="417">
        <f>[11]Summary_RAB!V85</f>
        <v>0</v>
      </c>
      <c r="V91" s="417">
        <f>[11]Summary_RAB!W85</f>
        <v>0</v>
      </c>
      <c r="W91" s="417">
        <f>[11]Summary_RAB!X85</f>
        <v>0</v>
      </c>
      <c r="X91" s="417">
        <f>[11]Summary_RAB!Y85</f>
        <v>0</v>
      </c>
      <c r="Y91" s="418">
        <f t="shared" si="0"/>
        <v>165.32667886669623</v>
      </c>
    </row>
    <row r="92" spans="4:25" ht="13.8" thickBot="1" x14ac:dyDescent="0.55000000000000004">
      <c r="D92" s="149" t="s">
        <v>1071</v>
      </c>
      <c r="E92" s="417">
        <f>[11]Summary_RAB!E86</f>
        <v>0</v>
      </c>
      <c r="F92" s="417">
        <f>[11]Summary_RAB!F86</f>
        <v>0</v>
      </c>
      <c r="G92" s="417">
        <f>[11]Summary_RAB!G86</f>
        <v>0</v>
      </c>
      <c r="H92" s="417">
        <f>[11]Summary_RAB!H86</f>
        <v>0</v>
      </c>
      <c r="I92" s="417">
        <f>[11]Summary_RAB!I86</f>
        <v>0</v>
      </c>
      <c r="J92" s="417">
        <f>[11]Summary_RAB!J86</f>
        <v>0</v>
      </c>
      <c r="K92" s="417">
        <f>[11]Summary_RAB!K86</f>
        <v>0</v>
      </c>
      <c r="L92" s="417">
        <f>[11]Summary_RAB!L86</f>
        <v>0</v>
      </c>
      <c r="M92" s="417">
        <f>[11]Summary_RAB!M86</f>
        <v>0</v>
      </c>
      <c r="N92" s="417">
        <f>[11]Summary_RAB!N86</f>
        <v>0</v>
      </c>
      <c r="O92" s="417">
        <f>[11]Summary_RAB!O86</f>
        <v>0</v>
      </c>
      <c r="P92" s="417">
        <f>[11]Summary_RAB!P86</f>
        <v>0</v>
      </c>
      <c r="Q92" s="417">
        <f>[11]Summary_RAB!Q86</f>
        <v>0</v>
      </c>
      <c r="R92" s="417">
        <f>[11]Summary_RAB!R86</f>
        <v>0</v>
      </c>
      <c r="S92" s="417">
        <f>[11]Summary_RAB!T86</f>
        <v>4079.1039372798487</v>
      </c>
      <c r="T92" s="417">
        <f>[11]Summary_RAB!U86</f>
        <v>3306.4986666669056</v>
      </c>
      <c r="U92" s="417">
        <f>[11]Summary_RAB!V86</f>
        <v>0</v>
      </c>
      <c r="V92" s="417">
        <f>[11]Summary_RAB!W86</f>
        <v>0</v>
      </c>
      <c r="W92" s="417">
        <f>[11]Summary_RAB!X86</f>
        <v>0</v>
      </c>
      <c r="X92" s="417">
        <f>[11]Summary_RAB!Y86</f>
        <v>0</v>
      </c>
      <c r="Y92" s="418">
        <f t="shared" si="0"/>
        <v>7385.6026039467542</v>
      </c>
    </row>
    <row r="93" spans="4:25" ht="13.8" thickBot="1" x14ac:dyDescent="0.55000000000000004">
      <c r="D93" s="149" t="s">
        <v>1072</v>
      </c>
      <c r="E93" s="417">
        <f>[11]Summary_RAB!E87</f>
        <v>7222.1501211937084</v>
      </c>
      <c r="F93" s="417">
        <f>[11]Summary_RAB!F87</f>
        <v>608.56118090625</v>
      </c>
      <c r="G93" s="417">
        <f>[11]Summary_RAB!G87</f>
        <v>0</v>
      </c>
      <c r="H93" s="417">
        <f>[11]Summary_RAB!H87</f>
        <v>0</v>
      </c>
      <c r="I93" s="417">
        <f>[11]Summary_RAB!I87</f>
        <v>237.23729221108778</v>
      </c>
      <c r="J93" s="417">
        <f>[11]Summary_RAB!J87</f>
        <v>64.7665580203535</v>
      </c>
      <c r="K93" s="417">
        <f>[11]Summary_RAB!K87</f>
        <v>0</v>
      </c>
      <c r="L93" s="417">
        <f>[11]Summary_RAB!L87</f>
        <v>0</v>
      </c>
      <c r="M93" s="417">
        <f>[11]Summary_RAB!M87</f>
        <v>0</v>
      </c>
      <c r="N93" s="417">
        <f>[11]Summary_RAB!N87</f>
        <v>0</v>
      </c>
      <c r="O93" s="417">
        <f>[11]Summary_RAB!O87</f>
        <v>0</v>
      </c>
      <c r="P93" s="417">
        <f>[11]Summary_RAB!P87</f>
        <v>0</v>
      </c>
      <c r="Q93" s="417">
        <f>[11]Summary_RAB!Q87</f>
        <v>0</v>
      </c>
      <c r="R93" s="417">
        <f>[11]Summary_RAB!R87</f>
        <v>0</v>
      </c>
      <c r="S93" s="417">
        <f>[11]Summary_RAB!T87</f>
        <v>0</v>
      </c>
      <c r="T93" s="417">
        <f>[11]Summary_RAB!U87</f>
        <v>0</v>
      </c>
      <c r="U93" s="417">
        <f>[11]Summary_RAB!V87</f>
        <v>0</v>
      </c>
      <c r="V93" s="417">
        <f>[11]Summary_RAB!W87</f>
        <v>0</v>
      </c>
      <c r="W93" s="417">
        <f>[11]Summary_RAB!X87</f>
        <v>0</v>
      </c>
      <c r="X93" s="417">
        <f>[11]Summary_RAB!Y87</f>
        <v>0</v>
      </c>
      <c r="Y93" s="418">
        <f t="shared" si="0"/>
        <v>8132.7151523314005</v>
      </c>
    </row>
    <row r="94" spans="4:25" ht="13.8" thickBot="1" x14ac:dyDescent="0.55000000000000004">
      <c r="D94" s="149" t="s">
        <v>1073</v>
      </c>
      <c r="E94" s="417">
        <f>[11]Summary_RAB!E88</f>
        <v>0</v>
      </c>
      <c r="F94" s="417">
        <f>[11]Summary_RAB!F88</f>
        <v>0</v>
      </c>
      <c r="G94" s="417">
        <f>[11]Summary_RAB!G88</f>
        <v>0</v>
      </c>
      <c r="H94" s="417">
        <f>[11]Summary_RAB!H88</f>
        <v>0</v>
      </c>
      <c r="I94" s="417">
        <f>[11]Summary_RAB!I88</f>
        <v>0</v>
      </c>
      <c r="J94" s="417">
        <f>[11]Summary_RAB!J88</f>
        <v>0</v>
      </c>
      <c r="K94" s="417">
        <f>[11]Summary_RAB!K88</f>
        <v>0</v>
      </c>
      <c r="L94" s="417">
        <f>[11]Summary_RAB!L88</f>
        <v>0</v>
      </c>
      <c r="M94" s="417">
        <f>[11]Summary_RAB!M88</f>
        <v>0</v>
      </c>
      <c r="N94" s="417">
        <f>[11]Summary_RAB!N88</f>
        <v>33025</v>
      </c>
      <c r="O94" s="417">
        <f>[11]Summary_RAB!O88</f>
        <v>0</v>
      </c>
      <c r="P94" s="417">
        <f>[11]Summary_RAB!P88</f>
        <v>0</v>
      </c>
      <c r="Q94" s="417">
        <f>[11]Summary_RAB!Q88</f>
        <v>0</v>
      </c>
      <c r="R94" s="417">
        <f>[11]Summary_RAB!R88</f>
        <v>0</v>
      </c>
      <c r="S94" s="417">
        <f>[11]Summary_RAB!T88</f>
        <v>0</v>
      </c>
      <c r="T94" s="417">
        <f>[11]Summary_RAB!U88</f>
        <v>0</v>
      </c>
      <c r="U94" s="417">
        <f>[11]Summary_RAB!V88</f>
        <v>0</v>
      </c>
      <c r="V94" s="417">
        <f>[11]Summary_RAB!W88</f>
        <v>0</v>
      </c>
      <c r="W94" s="417">
        <f>[11]Summary_RAB!X88</f>
        <v>0</v>
      </c>
      <c r="X94" s="417">
        <f>[11]Summary_RAB!Y88</f>
        <v>0</v>
      </c>
      <c r="Y94" s="418">
        <f t="shared" si="0"/>
        <v>33025</v>
      </c>
    </row>
    <row r="95" spans="4:25" ht="13.8" thickBot="1" x14ac:dyDescent="0.55000000000000004">
      <c r="D95" s="149" t="s">
        <v>1074</v>
      </c>
      <c r="E95" s="417">
        <f>[11]Summary_RAB!E89</f>
        <v>440.96957376</v>
      </c>
      <c r="F95" s="417">
        <f>[11]Summary_RAB!F89</f>
        <v>0</v>
      </c>
      <c r="G95" s="417">
        <f>[11]Summary_RAB!G89</f>
        <v>0</v>
      </c>
      <c r="H95" s="417">
        <f>[11]Summary_RAB!H89</f>
        <v>0</v>
      </c>
      <c r="I95" s="417">
        <f>[11]Summary_RAB!I89</f>
        <v>0</v>
      </c>
      <c r="J95" s="417">
        <f>[11]Summary_RAB!J89</f>
        <v>0</v>
      </c>
      <c r="K95" s="417">
        <f>[11]Summary_RAB!K89</f>
        <v>0</v>
      </c>
      <c r="L95" s="417">
        <f>[11]Summary_RAB!L89</f>
        <v>0</v>
      </c>
      <c r="M95" s="417">
        <f>[11]Summary_RAB!M89</f>
        <v>0</v>
      </c>
      <c r="N95" s="417">
        <f>[11]Summary_RAB!N89</f>
        <v>0</v>
      </c>
      <c r="O95" s="417">
        <f>[11]Summary_RAB!O89</f>
        <v>0</v>
      </c>
      <c r="P95" s="417">
        <f>[11]Summary_RAB!P89</f>
        <v>335.77289895000001</v>
      </c>
      <c r="Q95" s="417">
        <f>[11]Summary_RAB!Q89</f>
        <v>0</v>
      </c>
      <c r="R95" s="417">
        <f>[11]Summary_RAB!R89</f>
        <v>2189.7745435158322</v>
      </c>
      <c r="S95" s="417">
        <f>[11]Summary_RAB!T89</f>
        <v>0</v>
      </c>
      <c r="T95" s="417">
        <f>[11]Summary_RAB!U89</f>
        <v>0</v>
      </c>
      <c r="U95" s="417">
        <f>[11]Summary_RAB!V89</f>
        <v>0</v>
      </c>
      <c r="V95" s="417">
        <f>[11]Summary_RAB!W89</f>
        <v>0</v>
      </c>
      <c r="W95" s="417">
        <f>[11]Summary_RAB!X89</f>
        <v>0</v>
      </c>
      <c r="X95" s="417">
        <f>[11]Summary_RAB!Y89</f>
        <v>0</v>
      </c>
      <c r="Y95" s="418">
        <f t="shared" si="0"/>
        <v>2966.5170162258323</v>
      </c>
    </row>
    <row r="96" spans="4:25" ht="13.8" thickBot="1" x14ac:dyDescent="0.55000000000000004">
      <c r="D96" s="149" t="s">
        <v>1075</v>
      </c>
      <c r="E96" s="417">
        <f>[11]Summary_RAB!E90</f>
        <v>0</v>
      </c>
      <c r="F96" s="417">
        <f>[11]Summary_RAB!F90</f>
        <v>129.40881205285714</v>
      </c>
      <c r="G96" s="417">
        <f>[11]Summary_RAB!G90</f>
        <v>0</v>
      </c>
      <c r="H96" s="417">
        <f>[11]Summary_RAB!H90</f>
        <v>0</v>
      </c>
      <c r="I96" s="417">
        <f>[11]Summary_RAB!I90</f>
        <v>92.585851242857146</v>
      </c>
      <c r="J96" s="417">
        <f>[11]Summary_RAB!J90</f>
        <v>0</v>
      </c>
      <c r="K96" s="417">
        <f>[11]Summary_RAB!K90</f>
        <v>0</v>
      </c>
      <c r="L96" s="417">
        <f>[11]Summary_RAB!L90</f>
        <v>0</v>
      </c>
      <c r="M96" s="417">
        <f>[11]Summary_RAB!M90</f>
        <v>0</v>
      </c>
      <c r="N96" s="417">
        <f>[11]Summary_RAB!N90</f>
        <v>0</v>
      </c>
      <c r="O96" s="417">
        <f>[11]Summary_RAB!O90</f>
        <v>19.750627757142858</v>
      </c>
      <c r="P96" s="417">
        <f>[11]Summary_RAB!P90</f>
        <v>0</v>
      </c>
      <c r="Q96" s="417">
        <f>[11]Summary_RAB!Q90</f>
        <v>0</v>
      </c>
      <c r="R96" s="417">
        <f>[11]Summary_RAB!R90</f>
        <v>2282.6761963995245</v>
      </c>
      <c r="S96" s="417">
        <f>[11]Summary_RAB!T90</f>
        <v>0</v>
      </c>
      <c r="T96" s="417">
        <f>[11]Summary_RAB!U90</f>
        <v>0</v>
      </c>
      <c r="U96" s="417">
        <f>[11]Summary_RAB!V90</f>
        <v>0</v>
      </c>
      <c r="V96" s="417">
        <f>[11]Summary_RAB!W90</f>
        <v>0</v>
      </c>
      <c r="W96" s="417">
        <f>[11]Summary_RAB!X90</f>
        <v>0</v>
      </c>
      <c r="X96" s="417">
        <f>[11]Summary_RAB!Y90</f>
        <v>0</v>
      </c>
      <c r="Y96" s="418">
        <f t="shared" si="0"/>
        <v>2524.4214874523818</v>
      </c>
    </row>
    <row r="97" spans="1:25" ht="13.8" thickBot="1" x14ac:dyDescent="0.55000000000000004">
      <c r="D97" s="149" t="s">
        <v>1076</v>
      </c>
      <c r="E97" s="417">
        <f>[11]Summary_RAB!E91</f>
        <v>123133.27791000003</v>
      </c>
      <c r="F97" s="417">
        <f>[11]Summary_RAB!F91</f>
        <v>11759.003537999997</v>
      </c>
      <c r="G97" s="417">
        <f>[11]Summary_RAB!G91</f>
        <v>27090.241219999996</v>
      </c>
      <c r="H97" s="417">
        <f>[11]Summary_RAB!H91</f>
        <v>0</v>
      </c>
      <c r="I97" s="417">
        <f>[11]Summary_RAB!I91</f>
        <v>2059.5243300000006</v>
      </c>
      <c r="J97" s="417">
        <f>[11]Summary_RAB!J91</f>
        <v>2925.7768299999993</v>
      </c>
      <c r="K97" s="417">
        <f>[11]Summary_RAB!K91</f>
        <v>157.99801000000002</v>
      </c>
      <c r="L97" s="417">
        <f>[11]Summary_RAB!L91</f>
        <v>1719.8723100000002</v>
      </c>
      <c r="M97" s="417">
        <f>[11]Summary_RAB!M91</f>
        <v>4035.0321899999999</v>
      </c>
      <c r="N97" s="417">
        <f>[11]Summary_RAB!N91</f>
        <v>0</v>
      </c>
      <c r="O97" s="417">
        <f>[11]Summary_RAB!O91</f>
        <v>883.3620699999999</v>
      </c>
      <c r="P97" s="417">
        <f>[11]Summary_RAB!P91</f>
        <v>368.01916999999997</v>
      </c>
      <c r="Q97" s="417">
        <f>[11]Summary_RAB!Q91</f>
        <v>43.694539999999996</v>
      </c>
      <c r="R97" s="417">
        <f>[11]Summary_RAB!R91</f>
        <v>2732.9446599999997</v>
      </c>
      <c r="S97" s="417">
        <f>[11]Summary_RAB!T91</f>
        <v>1.14537</v>
      </c>
      <c r="T97" s="417">
        <f>[11]Summary_RAB!U91</f>
        <v>0</v>
      </c>
      <c r="U97" s="417">
        <f>[11]Summary_RAB!V91</f>
        <v>0</v>
      </c>
      <c r="V97" s="417">
        <f>[11]Summary_RAB!W91</f>
        <v>0</v>
      </c>
      <c r="W97" s="417">
        <f>[11]Summary_RAB!X91</f>
        <v>0</v>
      </c>
      <c r="X97" s="417">
        <f>[11]Summary_RAB!Y91</f>
        <v>0</v>
      </c>
      <c r="Y97" s="418">
        <f t="shared" si="0"/>
        <v>176909.89214800007</v>
      </c>
    </row>
    <row r="98" spans="1:25" ht="13.2" thickBot="1" x14ac:dyDescent="0.55000000000000004">
      <c r="D98" s="154" t="s">
        <v>1077</v>
      </c>
      <c r="E98" s="418">
        <f>SUM(E77:E97)</f>
        <v>247158.38494764894</v>
      </c>
      <c r="F98" s="418">
        <f t="shared" ref="F98:R98" si="1">SUM(F77:F97)</f>
        <v>279837.42055917816</v>
      </c>
      <c r="G98" s="418">
        <f t="shared" si="1"/>
        <v>167025.89930043949</v>
      </c>
      <c r="H98" s="418">
        <f t="shared" si="1"/>
        <v>165.32667886669623</v>
      </c>
      <c r="I98" s="418">
        <f t="shared" si="1"/>
        <v>80297.33076541363</v>
      </c>
      <c r="J98" s="418">
        <f t="shared" si="1"/>
        <v>14454.660681041938</v>
      </c>
      <c r="K98" s="418">
        <f t="shared" si="1"/>
        <v>8390.3020321881449</v>
      </c>
      <c r="L98" s="418">
        <f t="shared" si="1"/>
        <v>2126.0573650090369</v>
      </c>
      <c r="M98" s="418">
        <f t="shared" si="1"/>
        <v>7235.6595534338594</v>
      </c>
      <c r="N98" s="418">
        <f t="shared" si="1"/>
        <v>33025</v>
      </c>
      <c r="O98" s="418">
        <f t="shared" si="1"/>
        <v>903.11269775714277</v>
      </c>
      <c r="P98" s="418">
        <f t="shared" si="1"/>
        <v>703.79206894999993</v>
      </c>
      <c r="Q98" s="418">
        <f t="shared" si="1"/>
        <v>43.694539999999996</v>
      </c>
      <c r="R98" s="418">
        <f t="shared" si="1"/>
        <v>7205.3953999153564</v>
      </c>
      <c r="S98" s="418">
        <f>SUM(S77:S97)</f>
        <v>4080.2493072798488</v>
      </c>
      <c r="T98" s="418">
        <f>SUM(T77:T97)</f>
        <v>3530.5159118669058</v>
      </c>
      <c r="U98" s="418">
        <f t="shared" ref="U98:Y98" si="2">SUM(U77:U97)</f>
        <v>0</v>
      </c>
      <c r="V98" s="418">
        <f t="shared" si="2"/>
        <v>0</v>
      </c>
      <c r="W98" s="418">
        <f t="shared" si="2"/>
        <v>0</v>
      </c>
      <c r="X98" s="418">
        <f t="shared" si="2"/>
        <v>0</v>
      </c>
      <c r="Y98" s="418">
        <f t="shared" si="2"/>
        <v>856182.80180898926</v>
      </c>
    </row>
    <row r="100" spans="1:25" x14ac:dyDescent="0.5">
      <c r="A100" s="70">
        <f>IF(SUM(E100:I100)&lt;&gt;0,1,0)</f>
        <v>0</v>
      </c>
      <c r="D100" s="12" t="s">
        <v>116</v>
      </c>
      <c r="E100" s="70">
        <f>IF(ROUND([11]Summary_RAB!E92-E98,2)&lt;&gt;0,1,0)</f>
        <v>0</v>
      </c>
      <c r="F100" s="70">
        <f>IF(ROUND([11]Summary_RAB!F92-F98,2)&lt;&gt;0,1,0)</f>
        <v>0</v>
      </c>
      <c r="G100" s="70">
        <f>IF(ROUND([11]Summary_RAB!G92-G98,2)&lt;&gt;0,1,0)</f>
        <v>0</v>
      </c>
      <c r="H100" s="70">
        <f>IF(ROUND([11]Summary_RAB!H92-H98,2)&lt;&gt;0,1,0)</f>
        <v>0</v>
      </c>
      <c r="I100" s="70">
        <f>IF(ROUND([11]Summary_RAB!I92-I98,2)&lt;&gt;0,1,0)</f>
        <v>0</v>
      </c>
      <c r="J100" s="70">
        <f>IF(ROUND([11]Summary_RAB!J92-J98,2)&lt;&gt;0,1,0)</f>
        <v>0</v>
      </c>
      <c r="K100" s="70">
        <f>IF(ROUND([11]Summary_RAB!K92-K98,2)&lt;&gt;0,1,0)</f>
        <v>0</v>
      </c>
      <c r="L100" s="70">
        <f>IF(ROUND([11]Summary_RAB!L92-L98,2)&lt;&gt;0,1,0)</f>
        <v>0</v>
      </c>
      <c r="M100" s="70">
        <f>IF(ROUND([11]Summary_RAB!M92-M98,2)&lt;&gt;0,1,0)</f>
        <v>0</v>
      </c>
      <c r="N100" s="70">
        <f>IF(ROUND([11]Summary_RAB!N92-N98,2)&lt;&gt;0,1,0)</f>
        <v>0</v>
      </c>
      <c r="O100" s="70">
        <f>IF(ROUND([11]Summary_RAB!O92-O98,2)&lt;&gt;0,1,0)</f>
        <v>0</v>
      </c>
      <c r="P100" s="70">
        <f>IF(ROUND([11]Summary_RAB!P92-P98,2)&lt;&gt;0,1,0)</f>
        <v>0</v>
      </c>
      <c r="Q100" s="70">
        <f>IF(ROUND([11]Summary_RAB!Q92-Q98,2)&lt;&gt;0,1,0)</f>
        <v>0</v>
      </c>
      <c r="R100" s="70">
        <f>IF(ROUND([11]Summary_RAB!R92-R98,2)&lt;&gt;0,1,0)</f>
        <v>0</v>
      </c>
      <c r="S100" s="70">
        <f>IF(ROUND([11]Summary_RAB!T92-S98,2)&lt;&gt;0,1,0)</f>
        <v>0</v>
      </c>
      <c r="T100" s="70">
        <f>IF(ROUND([11]Summary_RAB!U92-T98,2)&lt;&gt;0,1,0)</f>
        <v>0</v>
      </c>
      <c r="U100" s="70">
        <f>IF(ROUND([11]Summary_RAB!V92-U98,2)&lt;&gt;0,1,0)</f>
        <v>0</v>
      </c>
      <c r="V100" s="70">
        <f>IF(ROUND([11]Summary_RAB!W92-V98,2)&lt;&gt;0,1,0)</f>
        <v>0</v>
      </c>
      <c r="W100" s="70">
        <f>IF(ROUND([11]Summary_RAB!X92-W98,2)&lt;&gt;0,1,0)</f>
        <v>0</v>
      </c>
      <c r="X100" s="70">
        <f>IF(ROUND([11]Summary_RAB!Y92-X98,2)&lt;&gt;0,1,0)</f>
        <v>0</v>
      </c>
      <c r="Y100" s="70">
        <f>IF(ROUND([11]Summary_RAB!AA92-Y98,2)&lt;&gt;0,1,0)</f>
        <v>0</v>
      </c>
    </row>
    <row r="102" spans="1:25" s="139" customFormat="1" x14ac:dyDescent="0.35">
      <c r="B102" s="139" t="s">
        <v>1079</v>
      </c>
    </row>
    <row r="103" spans="1:25" ht="13.2" thickBot="1" x14ac:dyDescent="0.55000000000000004"/>
    <row r="104" spans="1:25" ht="26.1" thickBot="1" x14ac:dyDescent="0.55000000000000004">
      <c r="D104" s="156" t="s">
        <v>310</v>
      </c>
      <c r="E104" s="141" t="s">
        <v>312</v>
      </c>
      <c r="F104" s="141" t="s">
        <v>311</v>
      </c>
    </row>
    <row r="105" spans="1:25" ht="13.8" thickBot="1" x14ac:dyDescent="0.55000000000000004">
      <c r="D105" s="149" t="s">
        <v>640</v>
      </c>
      <c r="E105" s="416">
        <f>[11]Summary_Lives!E11</f>
        <v>14.333050159795743</v>
      </c>
      <c r="F105" s="416">
        <f>[11]Summary_Lives!F11</f>
        <v>41.237742225214127</v>
      </c>
    </row>
    <row r="106" spans="1:25" ht="13.8" thickBot="1" x14ac:dyDescent="0.55000000000000004">
      <c r="D106" s="149" t="s">
        <v>1018</v>
      </c>
      <c r="E106" s="416">
        <f>[11]Summary_Lives!E12</f>
        <v>32.318176573036325</v>
      </c>
      <c r="F106" s="416">
        <f>[11]Summary_Lives!F12</f>
        <v>55.968548473454156</v>
      </c>
    </row>
    <row r="107" spans="1:25" ht="13.8" thickBot="1" x14ac:dyDescent="0.55000000000000004">
      <c r="D107" s="149" t="s">
        <v>1019</v>
      </c>
      <c r="E107" s="416">
        <f>[11]Summary_Lives!E13</f>
        <v>31.239381985728773</v>
      </c>
      <c r="F107" s="416">
        <f>[11]Summary_Lives!F13</f>
        <v>56.550712395018699</v>
      </c>
    </row>
    <row r="108" spans="1:25" ht="13.8" thickBot="1" x14ac:dyDescent="0.55000000000000004">
      <c r="D108" s="149" t="s">
        <v>1020</v>
      </c>
      <c r="E108" s="416">
        <f>[11]Summary_Lives!E14</f>
        <v>32.32830835487627</v>
      </c>
      <c r="F108" s="416">
        <f>[11]Summary_Lives!F14</f>
        <v>55.987813124703322</v>
      </c>
    </row>
    <row r="109" spans="1:25" ht="13.8" thickBot="1" x14ac:dyDescent="0.55000000000000004">
      <c r="D109" s="149" t="s">
        <v>1021</v>
      </c>
      <c r="E109" s="416">
        <f>[11]Summary_Lives!E15</f>
        <v>22.440598993079398</v>
      </c>
      <c r="F109" s="416">
        <f>[11]Summary_Lives!F15</f>
        <v>44.997098934224852</v>
      </c>
    </row>
    <row r="110" spans="1:25" ht="13.8" thickBot="1" x14ac:dyDescent="0.55000000000000004">
      <c r="D110" s="149" t="s">
        <v>1022</v>
      </c>
      <c r="E110" s="416">
        <f>[11]Summary_Lives!E16</f>
        <v>30.941957708691557</v>
      </c>
      <c r="F110" s="416">
        <f>[11]Summary_Lives!F16</f>
        <v>54.680003773458026</v>
      </c>
    </row>
    <row r="111" spans="1:25" ht="13.8" thickBot="1" x14ac:dyDescent="0.55000000000000004">
      <c r="D111" s="149" t="s">
        <v>650</v>
      </c>
      <c r="E111" s="416">
        <f>[11]Summary_Lives!E17</f>
        <v>15.021734092109323</v>
      </c>
      <c r="F111" s="416">
        <f>[11]Summary_Lives!F17</f>
        <v>41.443603374535435</v>
      </c>
    </row>
    <row r="112" spans="1:25" ht="13.8" thickBot="1" x14ac:dyDescent="0.55000000000000004">
      <c r="D112" s="149" t="s">
        <v>652</v>
      </c>
      <c r="E112" s="416">
        <f>[11]Summary_Lives!E18</f>
        <v>1.3523808128497912</v>
      </c>
      <c r="F112" s="416">
        <f>[11]Summary_Lives!F18</f>
        <v>14.026832175016196</v>
      </c>
    </row>
    <row r="113" spans="2:7" ht="13.8" thickBot="1" x14ac:dyDescent="0.55000000000000004">
      <c r="D113" s="149" t="s">
        <v>654</v>
      </c>
      <c r="E113" s="416">
        <f>[11]Summary_Lives!E19</f>
        <v>1.7747214769326392</v>
      </c>
      <c r="F113" s="416">
        <f>[11]Summary_Lives!F19</f>
        <v>14.683517286099157</v>
      </c>
    </row>
    <row r="114" spans="2:7" ht="13.8" thickBot="1" x14ac:dyDescent="0.55000000000000004">
      <c r="D114" s="149" t="s">
        <v>1023</v>
      </c>
      <c r="E114" s="416" t="str">
        <f>[11]Summary_Lives!E20</f>
        <v>n/a</v>
      </c>
      <c r="F114" s="416" t="str">
        <f>[11]Summary_Lives!F20</f>
        <v>n/a</v>
      </c>
    </row>
    <row r="115" spans="2:7" ht="13.8" thickBot="1" x14ac:dyDescent="0.55000000000000004">
      <c r="D115" s="149" t="s">
        <v>657</v>
      </c>
      <c r="E115" s="416">
        <f>[11]Summary_Lives!E21</f>
        <v>10.419045370531833</v>
      </c>
      <c r="F115" s="416">
        <f>[11]Summary_Lives!F21</f>
        <v>14.329364770087121</v>
      </c>
    </row>
    <row r="116" spans="2:7" ht="13.8" thickBot="1" x14ac:dyDescent="0.55000000000000004">
      <c r="D116" s="149" t="s">
        <v>107</v>
      </c>
      <c r="E116" s="416">
        <f>[11]Summary_Lives!E22</f>
        <v>7.3625194657983073</v>
      </c>
      <c r="F116" s="416">
        <f>[11]Summary_Lives!F22</f>
        <v>11.840927129908023</v>
      </c>
    </row>
    <row r="117" spans="2:7" ht="13.8" thickBot="1" x14ac:dyDescent="0.55000000000000004">
      <c r="D117" s="149" t="s">
        <v>108</v>
      </c>
      <c r="E117" s="416">
        <f>[11]Summary_Lives!E23</f>
        <v>10.419045370531833</v>
      </c>
      <c r="F117" s="416">
        <f>[11]Summary_Lives!F23</f>
        <v>14.329364770087121</v>
      </c>
    </row>
    <row r="118" spans="2:7" ht="13.8" thickBot="1" x14ac:dyDescent="0.55000000000000004">
      <c r="D118" s="149" t="s">
        <v>1024</v>
      </c>
      <c r="E118" s="416">
        <f>[11]Summary_Lives!E24</f>
        <v>9.4901438673803469</v>
      </c>
      <c r="F118" s="416">
        <f>[11]Summary_Lives!F24</f>
        <v>13.573109617503151</v>
      </c>
    </row>
    <row r="119" spans="2:7" ht="13.8" thickBot="1" x14ac:dyDescent="0.55000000000000004">
      <c r="D119" s="149" t="s">
        <v>662</v>
      </c>
      <c r="E119" s="416">
        <f>[11]Summary_Lives!E25</f>
        <v>7.0987237631701809</v>
      </c>
      <c r="F119" s="416">
        <f>[11]Summary_Lives!F25</f>
        <v>22.142424354842618</v>
      </c>
    </row>
    <row r="120" spans="2:7" ht="13.8" thickBot="1" x14ac:dyDescent="0.55000000000000004">
      <c r="D120" s="149" t="s">
        <v>664</v>
      </c>
      <c r="E120" s="416">
        <f>[11]Summary_Lives!E26</f>
        <v>7.0987237631701809</v>
      </c>
      <c r="F120" s="416">
        <f>[11]Summary_Lives!F26</f>
        <v>15</v>
      </c>
    </row>
    <row r="121" spans="2:7" ht="13.8" thickBot="1" x14ac:dyDescent="0.55000000000000004">
      <c r="D121" s="149" t="s">
        <v>666</v>
      </c>
      <c r="E121" s="416">
        <f>[11]Summary_Lives!E27</f>
        <v>0</v>
      </c>
      <c r="F121" s="416">
        <f>[11]Summary_Lives!F27</f>
        <v>15</v>
      </c>
    </row>
    <row r="122" spans="2:7" ht="13.8" thickBot="1" x14ac:dyDescent="0.55000000000000004">
      <c r="D122" s="149" t="s">
        <v>907</v>
      </c>
      <c r="E122" s="416">
        <f>[11]Summary_Lives!E28</f>
        <v>0</v>
      </c>
      <c r="F122" s="416">
        <f>[11]Summary_Lives!F28</f>
        <v>15</v>
      </c>
    </row>
    <row r="123" spans="2:7" ht="13.8" thickBot="1" x14ac:dyDescent="0.55000000000000004">
      <c r="D123" s="149" t="s">
        <v>1025</v>
      </c>
      <c r="E123" s="416">
        <f>[11]Summary_Lives!E29</f>
        <v>0</v>
      </c>
      <c r="F123" s="416">
        <f>[11]Summary_Lives!F29</f>
        <v>15</v>
      </c>
    </row>
    <row r="124" spans="2:7" ht="27.3" thickBot="1" x14ac:dyDescent="0.55000000000000004">
      <c r="D124" s="149" t="s">
        <v>1050</v>
      </c>
      <c r="E124" s="416">
        <f>[11]Summary_Lives!E30</f>
        <v>0</v>
      </c>
      <c r="F124" s="416">
        <f>[11]Summary_Lives!F30</f>
        <v>10</v>
      </c>
    </row>
    <row r="126" spans="2:7" s="139" customFormat="1" x14ac:dyDescent="0.35">
      <c r="B126" s="139" t="s">
        <v>1286</v>
      </c>
    </row>
    <row r="127" spans="2:7" ht="13.2" thickBot="1" x14ac:dyDescent="0.55000000000000004"/>
    <row r="128" spans="2:7" ht="39" thickBot="1" x14ac:dyDescent="0.55000000000000004">
      <c r="D128" s="156" t="s">
        <v>1080</v>
      </c>
      <c r="E128" s="156" t="s">
        <v>1081</v>
      </c>
      <c r="F128" s="156" t="s">
        <v>1082</v>
      </c>
      <c r="G128" s="156" t="s">
        <v>1083</v>
      </c>
    </row>
    <row r="129" spans="2:7" ht="13.8" thickBot="1" x14ac:dyDescent="0.55000000000000004">
      <c r="D129" s="149" t="s">
        <v>1030</v>
      </c>
      <c r="E129" s="177">
        <v>42.446353819705671</v>
      </c>
      <c r="F129" s="177">
        <v>24.472745436879421</v>
      </c>
      <c r="G129" s="177">
        <f>MAX(E129-F129,1)</f>
        <v>17.973608382826249</v>
      </c>
    </row>
    <row r="130" spans="2:7" ht="27.3" thickBot="1" x14ac:dyDescent="0.55000000000000004">
      <c r="D130" s="149" t="s">
        <v>1032</v>
      </c>
      <c r="E130" s="177">
        <v>41.742344582603906</v>
      </c>
      <c r="F130" s="177">
        <v>27.842034315830343</v>
      </c>
      <c r="G130" s="177">
        <f t="shared" ref="G130:G137" si="3">MAX(E130-F130,1)</f>
        <v>13.900310266773563</v>
      </c>
    </row>
    <row r="131" spans="2:7" ht="27.3" thickBot="1" x14ac:dyDescent="0.55000000000000004">
      <c r="D131" s="149" t="s">
        <v>1034</v>
      </c>
      <c r="E131" s="177">
        <v>13.355742986043412</v>
      </c>
      <c r="F131" s="177">
        <v>28.948523240841634</v>
      </c>
      <c r="G131" s="177">
        <f t="shared" si="3"/>
        <v>1</v>
      </c>
    </row>
    <row r="132" spans="2:7" ht="13.8" thickBot="1" x14ac:dyDescent="0.55000000000000004">
      <c r="D132" s="149" t="s">
        <v>643</v>
      </c>
      <c r="E132" s="177">
        <v>56.564899691219829</v>
      </c>
      <c r="F132" s="177">
        <v>25.352962972797343</v>
      </c>
      <c r="G132" s="177">
        <f t="shared" si="3"/>
        <v>31.211936718422486</v>
      </c>
    </row>
    <row r="133" spans="2:7" ht="27.3" thickBot="1" x14ac:dyDescent="0.55000000000000004">
      <c r="D133" s="149" t="s">
        <v>1036</v>
      </c>
      <c r="E133" s="177">
        <v>11.840927129908023</v>
      </c>
      <c r="F133" s="177">
        <v>4.4784076641097155</v>
      </c>
      <c r="G133" s="177">
        <f t="shared" si="3"/>
        <v>7.3625194657983073</v>
      </c>
    </row>
    <row r="134" spans="2:7" ht="13.8" thickBot="1" x14ac:dyDescent="0.55000000000000004">
      <c r="D134" s="149" t="s">
        <v>1038</v>
      </c>
      <c r="E134" s="177">
        <v>14.329364770087119</v>
      </c>
      <c r="F134" s="177">
        <v>3.9103193995552852</v>
      </c>
      <c r="G134" s="177">
        <f t="shared" si="3"/>
        <v>10.419045370531833</v>
      </c>
    </row>
    <row r="135" spans="2:7" ht="13.8" thickBot="1" x14ac:dyDescent="0.55000000000000004">
      <c r="D135" s="149" t="s">
        <v>102</v>
      </c>
      <c r="E135" s="177">
        <v>22.142424354842618</v>
      </c>
      <c r="F135" s="177">
        <v>15.043700591672437</v>
      </c>
      <c r="G135" s="177">
        <f t="shared" si="3"/>
        <v>7.0987237631701809</v>
      </c>
    </row>
    <row r="136" spans="2:7" ht="13.8" thickBot="1" x14ac:dyDescent="0.55000000000000004">
      <c r="D136" s="149" t="s">
        <v>1021</v>
      </c>
      <c r="E136" s="177">
        <v>44.999999999997186</v>
      </c>
      <c r="F136" s="177">
        <v>22.574816113082974</v>
      </c>
      <c r="G136" s="177">
        <f t="shared" si="3"/>
        <v>22.425183886914212</v>
      </c>
    </row>
    <row r="137" spans="2:7" ht="13.8" thickBot="1" x14ac:dyDescent="0.55000000000000004">
      <c r="D137" s="149" t="s">
        <v>1041</v>
      </c>
      <c r="E137" s="177">
        <v>55.987813124703315</v>
      </c>
      <c r="F137" s="177">
        <v>23.659504769827048</v>
      </c>
      <c r="G137" s="177">
        <f t="shared" si="3"/>
        <v>32.32830835487627</v>
      </c>
    </row>
    <row r="138" spans="2:7" ht="13.8" thickBot="1" x14ac:dyDescent="0.55000000000000004">
      <c r="D138" s="149" t="s">
        <v>1043</v>
      </c>
      <c r="E138" s="177" t="str">
        <f>NA</f>
        <v>N/A</v>
      </c>
      <c r="F138" s="177" t="str">
        <f>NA</f>
        <v>N/A</v>
      </c>
      <c r="G138" s="177" t="str">
        <f>NA</f>
        <v>N/A</v>
      </c>
    </row>
    <row r="140" spans="2:7" x14ac:dyDescent="0.5">
      <c r="D140" s="204" t="s">
        <v>935</v>
      </c>
    </row>
    <row r="141" spans="2:7" x14ac:dyDescent="0.5">
      <c r="D141" s="204" t="s">
        <v>1084</v>
      </c>
    </row>
    <row r="143" spans="2:7" s="139" customFormat="1" x14ac:dyDescent="0.35">
      <c r="B143" s="139" t="s">
        <v>1091</v>
      </c>
    </row>
    <row r="144" spans="2:7" ht="13.2" thickBot="1" x14ac:dyDescent="0.55000000000000004"/>
    <row r="145" spans="4:28" ht="39.75" customHeight="1" thickBot="1" x14ac:dyDescent="0.55000000000000004">
      <c r="D145" s="419" t="s">
        <v>1085</v>
      </c>
      <c r="E145" s="738" t="s">
        <v>1052</v>
      </c>
      <c r="F145" s="739"/>
      <c r="G145" s="739"/>
      <c r="H145" s="739"/>
      <c r="I145" s="739"/>
      <c r="J145" s="739"/>
      <c r="K145" s="739"/>
      <c r="L145" s="739"/>
      <c r="M145" s="740"/>
      <c r="N145" s="738" t="s">
        <v>1086</v>
      </c>
      <c r="O145" s="739"/>
      <c r="P145" s="739"/>
      <c r="Q145" s="739"/>
      <c r="R145" s="739"/>
      <c r="S145" s="739"/>
      <c r="T145" s="739"/>
      <c r="U145" s="739"/>
      <c r="V145" s="739"/>
      <c r="W145" s="739"/>
      <c r="X145" s="740"/>
      <c r="Y145" s="741" t="s">
        <v>112</v>
      </c>
      <c r="Z145" s="738" t="s">
        <v>1285</v>
      </c>
      <c r="AA145" s="739"/>
      <c r="AB145" s="740"/>
    </row>
    <row r="146" spans="4:28" ht="105.6" thickBot="1" x14ac:dyDescent="0.55000000000000004">
      <c r="D146" s="409" t="s">
        <v>1087</v>
      </c>
      <c r="E146" s="423" t="s">
        <v>640</v>
      </c>
      <c r="F146" s="423" t="s">
        <v>1018</v>
      </c>
      <c r="G146" s="423" t="s">
        <v>1019</v>
      </c>
      <c r="H146" s="423" t="s">
        <v>1020</v>
      </c>
      <c r="I146" s="423" t="s">
        <v>1021</v>
      </c>
      <c r="J146" s="423" t="s">
        <v>1022</v>
      </c>
      <c r="K146" s="423" t="s">
        <v>650</v>
      </c>
      <c r="L146" s="423" t="s">
        <v>652</v>
      </c>
      <c r="M146" s="423" t="s">
        <v>654</v>
      </c>
      <c r="N146" s="423" t="s">
        <v>1023</v>
      </c>
      <c r="O146" s="423" t="s">
        <v>657</v>
      </c>
      <c r="P146" s="423" t="s">
        <v>107</v>
      </c>
      <c r="Q146" s="423" t="s">
        <v>108</v>
      </c>
      <c r="R146" s="423" t="s">
        <v>1024</v>
      </c>
      <c r="S146" s="421" t="s">
        <v>662</v>
      </c>
      <c r="T146" s="421" t="s">
        <v>664</v>
      </c>
      <c r="U146" s="421" t="s">
        <v>666</v>
      </c>
      <c r="V146" s="421" t="s">
        <v>907</v>
      </c>
      <c r="W146" s="421" t="s">
        <v>1025</v>
      </c>
      <c r="X146" s="421" t="s">
        <v>1050</v>
      </c>
      <c r="Y146" s="742"/>
      <c r="Z146" s="423" t="s">
        <v>1088</v>
      </c>
      <c r="AA146" s="423" t="s">
        <v>1089</v>
      </c>
      <c r="AB146" s="423" t="s">
        <v>1090</v>
      </c>
    </row>
    <row r="147" spans="4:28" ht="13.8" thickBot="1" x14ac:dyDescent="0.55000000000000004">
      <c r="D147" s="149" t="s">
        <v>1030</v>
      </c>
      <c r="E147" s="417">
        <f>[11]Summary_Lives!E68</f>
        <v>28711.252870226912</v>
      </c>
      <c r="F147" s="417">
        <f>[11]Summary_Lives!F68</f>
        <v>0</v>
      </c>
      <c r="G147" s="417">
        <f>[11]Summary_Lives!G68</f>
        <v>0</v>
      </c>
      <c r="H147" s="417">
        <f>[11]Summary_Lives!H68</f>
        <v>0</v>
      </c>
      <c r="I147" s="417">
        <f>[11]Summary_Lives!I68</f>
        <v>0</v>
      </c>
      <c r="J147" s="417">
        <f>[11]Summary_Lives!J68</f>
        <v>1396.0046684752381</v>
      </c>
      <c r="K147" s="417">
        <f>[11]Summary_Lives!K68</f>
        <v>2810.3290319160042</v>
      </c>
      <c r="L147" s="417">
        <f>[11]Summary_Lives!L68</f>
        <v>26.851499999999998</v>
      </c>
      <c r="M147" s="417">
        <f>[11]Summary_Lives!M68</f>
        <v>330.25510718685831</v>
      </c>
      <c r="N147" s="417">
        <f>[11]Summary_Lives!N68</f>
        <v>0</v>
      </c>
      <c r="O147" s="417">
        <f>[11]Summary_Lives!O68</f>
        <v>0</v>
      </c>
      <c r="P147" s="417">
        <f>[11]Summary_Lives!P68</f>
        <v>0</v>
      </c>
      <c r="Q147" s="417">
        <f>[11]Summary_Lives!Q68</f>
        <v>0</v>
      </c>
      <c r="R147" s="417">
        <f>[11]Summary_Lives!R68</f>
        <v>0</v>
      </c>
      <c r="S147" s="417">
        <f>[11]Summary_Lives!S68</f>
        <v>0</v>
      </c>
      <c r="T147" s="417">
        <f>[11]Summary_Lives!T68</f>
        <v>0</v>
      </c>
      <c r="U147" s="417">
        <f>[11]Summary_Lives!U68</f>
        <v>0</v>
      </c>
      <c r="V147" s="417">
        <f>[11]Summary_Lives!V68</f>
        <v>0</v>
      </c>
      <c r="W147" s="417">
        <f>[11]Summary_Lives!W68</f>
        <v>0</v>
      </c>
      <c r="X147" s="417">
        <f>[11]Summary_Lives!X68</f>
        <v>0</v>
      </c>
      <c r="Y147" s="418">
        <f t="shared" ref="Y147:Y156" si="4">SUM(E147:X147)</f>
        <v>33274.693177805006</v>
      </c>
      <c r="Z147" s="422">
        <f>[11]Summary_Lives!AB68</f>
        <v>42.446353819705671</v>
      </c>
      <c r="AA147" s="422">
        <f>[11]Summary_Lives!AC68</f>
        <v>24.472745436879421</v>
      </c>
      <c r="AB147" s="422">
        <f>[11]Summary_Lives!AD68</f>
        <v>17.973608382826249</v>
      </c>
    </row>
    <row r="148" spans="4:28" ht="27.3" thickBot="1" x14ac:dyDescent="0.55000000000000004">
      <c r="D148" s="149" t="s">
        <v>1032</v>
      </c>
      <c r="E148" s="417">
        <f>[11]Summary_Lives!E69</f>
        <v>206736.68891248366</v>
      </c>
      <c r="F148" s="417">
        <f>[11]Summary_Lives!F69</f>
        <v>0</v>
      </c>
      <c r="G148" s="417">
        <f>[11]Summary_Lives!G69</f>
        <v>0</v>
      </c>
      <c r="H148" s="417">
        <f>[11]Summary_Lives!H69</f>
        <v>0</v>
      </c>
      <c r="I148" s="417">
        <f>[11]Summary_Lives!I69</f>
        <v>0</v>
      </c>
      <c r="J148" s="417">
        <f>[11]Summary_Lives!J69</f>
        <v>0</v>
      </c>
      <c r="K148" s="417">
        <f>[11]Summary_Lives!K69</f>
        <v>5421.9749902721405</v>
      </c>
      <c r="L148" s="417">
        <f>[11]Summary_Lives!L69</f>
        <v>22.744799999999994</v>
      </c>
      <c r="M148" s="417">
        <f>[11]Summary_Lives!M69</f>
        <v>0</v>
      </c>
      <c r="N148" s="417">
        <f>[11]Summary_Lives!N69</f>
        <v>0</v>
      </c>
      <c r="O148" s="417">
        <f>[11]Summary_Lives!O69</f>
        <v>0</v>
      </c>
      <c r="P148" s="417">
        <f>[11]Summary_Lives!P69</f>
        <v>0</v>
      </c>
      <c r="Q148" s="417">
        <f>[11]Summary_Lives!Q69</f>
        <v>0</v>
      </c>
      <c r="R148" s="417">
        <f>[11]Summary_Lives!R69</f>
        <v>0</v>
      </c>
      <c r="S148" s="417">
        <f>[11]Summary_Lives!S69</f>
        <v>0</v>
      </c>
      <c r="T148" s="417">
        <f>[11]Summary_Lives!T69</f>
        <v>0</v>
      </c>
      <c r="U148" s="417">
        <f>[11]Summary_Lives!U69</f>
        <v>0</v>
      </c>
      <c r="V148" s="417">
        <f>[11]Summary_Lives!V69</f>
        <v>0</v>
      </c>
      <c r="W148" s="417">
        <f>[11]Summary_Lives!W69</f>
        <v>0</v>
      </c>
      <c r="X148" s="417">
        <f>[11]Summary_Lives!X69</f>
        <v>0</v>
      </c>
      <c r="Y148" s="418">
        <f t="shared" si="4"/>
        <v>212181.40870275578</v>
      </c>
      <c r="Z148" s="422">
        <f>[11]Summary_Lives!AB69</f>
        <v>41.742344582603906</v>
      </c>
      <c r="AA148" s="422">
        <f>[11]Summary_Lives!AC69</f>
        <v>27.842034315830343</v>
      </c>
      <c r="AB148" s="422">
        <f>[11]Summary_Lives!AD69</f>
        <v>13.900310266773563</v>
      </c>
    </row>
    <row r="149" spans="4:28" ht="27.3" thickBot="1" x14ac:dyDescent="0.55000000000000004">
      <c r="D149" s="149" t="s">
        <v>1034</v>
      </c>
      <c r="E149" s="417">
        <f>[11]Summary_Lives!E70</f>
        <v>6855.9421626069679</v>
      </c>
      <c r="F149" s="417">
        <f>[11]Summary_Lives!F70</f>
        <v>0</v>
      </c>
      <c r="G149" s="417">
        <f>[11]Summary_Lives!G70</f>
        <v>0</v>
      </c>
      <c r="H149" s="417">
        <f>[11]Summary_Lives!H70</f>
        <v>0</v>
      </c>
      <c r="I149" s="417">
        <f>[11]Summary_Lives!I70</f>
        <v>0</v>
      </c>
      <c r="J149" s="417">
        <f>[11]Summary_Lives!J70</f>
        <v>0</v>
      </c>
      <c r="K149" s="417">
        <f>[11]Summary_Lives!K70</f>
        <v>157.99801000000002</v>
      </c>
      <c r="L149" s="417">
        <f>[11]Summary_Lives!L70</f>
        <v>2076.4610650090372</v>
      </c>
      <c r="M149" s="417">
        <f>[11]Summary_Lives!M70</f>
        <v>6905.404446247001</v>
      </c>
      <c r="N149" s="417">
        <f>[11]Summary_Lives!N70</f>
        <v>0</v>
      </c>
      <c r="O149" s="417">
        <f>[11]Summary_Lives!O70</f>
        <v>0</v>
      </c>
      <c r="P149" s="417">
        <f>[11]Summary_Lives!P70</f>
        <v>0</v>
      </c>
      <c r="Q149" s="417">
        <f>[11]Summary_Lives!Q70</f>
        <v>0</v>
      </c>
      <c r="R149" s="417">
        <f>[11]Summary_Lives!R70</f>
        <v>0</v>
      </c>
      <c r="S149" s="417">
        <f>[11]Summary_Lives!S70</f>
        <v>0</v>
      </c>
      <c r="T149" s="417">
        <f>[11]Summary_Lives!T70</f>
        <v>0</v>
      </c>
      <c r="U149" s="417">
        <f>[11]Summary_Lives!U70</f>
        <v>0</v>
      </c>
      <c r="V149" s="417">
        <f>[11]Summary_Lives!V70</f>
        <v>0</v>
      </c>
      <c r="W149" s="417">
        <f>[11]Summary_Lives!W70</f>
        <v>0</v>
      </c>
      <c r="X149" s="417">
        <f>[11]Summary_Lives!X70</f>
        <v>0</v>
      </c>
      <c r="Y149" s="418">
        <f t="shared" si="4"/>
        <v>15995.805683863007</v>
      </c>
      <c r="Z149" s="422">
        <f>[11]Summary_Lives!AB70</f>
        <v>13.355742986043412</v>
      </c>
      <c r="AA149" s="422">
        <f>[11]Summary_Lives!AC70</f>
        <v>28.948523240841634</v>
      </c>
      <c r="AB149" s="422">
        <f>[11]Summary_Lives!AD70</f>
        <v>1</v>
      </c>
    </row>
    <row r="150" spans="4:28" ht="13.8" thickBot="1" x14ac:dyDescent="0.55000000000000004">
      <c r="D150" s="149" t="s">
        <v>643</v>
      </c>
      <c r="E150" s="417">
        <f>[11]Summary_Lives!E71</f>
        <v>0</v>
      </c>
      <c r="F150" s="417">
        <f>[11]Summary_Lives!F71</f>
        <v>0</v>
      </c>
      <c r="G150" s="417">
        <f>[11]Summary_Lives!G71</f>
        <v>162919.6766916895</v>
      </c>
      <c r="H150" s="417">
        <f>[11]Summary_Lives!H71</f>
        <v>0</v>
      </c>
      <c r="I150" s="417">
        <f>[11]Summary_Lives!I71</f>
        <v>0</v>
      </c>
      <c r="J150" s="417">
        <f>[11]Summary_Lives!J71</f>
        <v>0</v>
      </c>
      <c r="K150" s="417">
        <f>[11]Summary_Lives!K71</f>
        <v>0</v>
      </c>
      <c r="L150" s="417">
        <f>[11]Summary_Lives!L71</f>
        <v>0</v>
      </c>
      <c r="M150" s="417">
        <f>[11]Summary_Lives!M71</f>
        <v>0</v>
      </c>
      <c r="N150" s="417">
        <f>[11]Summary_Lives!N71</f>
        <v>0</v>
      </c>
      <c r="O150" s="417">
        <f>[11]Summary_Lives!O71</f>
        <v>0</v>
      </c>
      <c r="P150" s="417">
        <f>[11]Summary_Lives!P71</f>
        <v>0</v>
      </c>
      <c r="Q150" s="417">
        <f>[11]Summary_Lives!Q71</f>
        <v>0</v>
      </c>
      <c r="R150" s="417">
        <f>[11]Summary_Lives!R71</f>
        <v>0</v>
      </c>
      <c r="S150" s="417">
        <f>[11]Summary_Lives!S71</f>
        <v>0</v>
      </c>
      <c r="T150" s="417">
        <f>[11]Summary_Lives!T71</f>
        <v>0</v>
      </c>
      <c r="U150" s="417">
        <f>[11]Summary_Lives!U71</f>
        <v>0</v>
      </c>
      <c r="V150" s="417">
        <f>[11]Summary_Lives!V71</f>
        <v>0</v>
      </c>
      <c r="W150" s="417">
        <f>[11]Summary_Lives!W71</f>
        <v>0</v>
      </c>
      <c r="X150" s="417">
        <f>[11]Summary_Lives!X71</f>
        <v>0</v>
      </c>
      <c r="Y150" s="418">
        <f t="shared" si="4"/>
        <v>162919.6766916895</v>
      </c>
      <c r="Z150" s="422">
        <f>[11]Summary_Lives!AB71</f>
        <v>56.564899691219829</v>
      </c>
      <c r="AA150" s="422">
        <f>[11]Summary_Lives!AC71</f>
        <v>25.352962972797343</v>
      </c>
      <c r="AB150" s="422">
        <f>[11]Summary_Lives!AD71</f>
        <v>31.211936718422486</v>
      </c>
    </row>
    <row r="151" spans="4:28" ht="27.3" thickBot="1" x14ac:dyDescent="0.55000000000000004">
      <c r="D151" s="149" t="s">
        <v>1036</v>
      </c>
      <c r="E151" s="417">
        <f>[11]Summary_Lives!E72</f>
        <v>440.96957376</v>
      </c>
      <c r="F151" s="417">
        <f>[11]Summary_Lives!F72</f>
        <v>0</v>
      </c>
      <c r="G151" s="417">
        <f>[11]Summary_Lives!G72</f>
        <v>0</v>
      </c>
      <c r="H151" s="417">
        <f>[11]Summary_Lives!H72</f>
        <v>0</v>
      </c>
      <c r="I151" s="417">
        <f>[11]Summary_Lives!I72</f>
        <v>0</v>
      </c>
      <c r="J151" s="417">
        <f>[11]Summary_Lives!J72</f>
        <v>0</v>
      </c>
      <c r="K151" s="417">
        <f>[11]Summary_Lives!K72</f>
        <v>0</v>
      </c>
      <c r="L151" s="417">
        <f>[11]Summary_Lives!L72</f>
        <v>0</v>
      </c>
      <c r="M151" s="417">
        <f>[11]Summary_Lives!M72</f>
        <v>0</v>
      </c>
      <c r="N151" s="417">
        <f>[11]Summary_Lives!N72</f>
        <v>0</v>
      </c>
      <c r="O151" s="417">
        <f>[11]Summary_Lives!O72</f>
        <v>0</v>
      </c>
      <c r="P151" s="417">
        <f>[11]Summary_Lives!P72</f>
        <v>703.79206894999993</v>
      </c>
      <c r="Q151" s="417">
        <f>[11]Summary_Lives!Q72</f>
        <v>0</v>
      </c>
      <c r="R151" s="417">
        <f>[11]Summary_Lives!R72</f>
        <v>2189.7745435158322</v>
      </c>
      <c r="S151" s="417">
        <f>[11]Summary_Lives!S72</f>
        <v>0</v>
      </c>
      <c r="T151" s="417">
        <f>[11]Summary_Lives!T72</f>
        <v>0</v>
      </c>
      <c r="U151" s="417">
        <f>[11]Summary_Lives!U72</f>
        <v>0</v>
      </c>
      <c r="V151" s="417">
        <f>[11]Summary_Lives!V72</f>
        <v>0</v>
      </c>
      <c r="W151" s="417">
        <f>[11]Summary_Lives!W72</f>
        <v>0</v>
      </c>
      <c r="X151" s="417">
        <f>[11]Summary_Lives!X72</f>
        <v>0</v>
      </c>
      <c r="Y151" s="418">
        <f t="shared" si="4"/>
        <v>3334.5361862258324</v>
      </c>
      <c r="Z151" s="422">
        <f>[11]Summary_Lives!AB72</f>
        <v>11.840927129908023</v>
      </c>
      <c r="AA151" s="422">
        <f>[11]Summary_Lives!AC72</f>
        <v>4.4784076641097155</v>
      </c>
      <c r="AB151" s="422">
        <f>[11]Summary_Lives!AD72</f>
        <v>7.3625194657983073</v>
      </c>
    </row>
    <row r="152" spans="4:28" ht="13.8" thickBot="1" x14ac:dyDescent="0.55000000000000004">
      <c r="D152" s="149" t="s">
        <v>1038</v>
      </c>
      <c r="E152" s="417">
        <f>[11]Summary_Lives!E73</f>
        <v>0</v>
      </c>
      <c r="F152" s="417">
        <f>[11]Summary_Lives!F73</f>
        <v>129.40881205285714</v>
      </c>
      <c r="G152" s="417">
        <f>[11]Summary_Lives!G73</f>
        <v>0</v>
      </c>
      <c r="H152" s="417">
        <f>[11]Summary_Lives!H73</f>
        <v>0</v>
      </c>
      <c r="I152" s="417">
        <f>[11]Summary_Lives!I73</f>
        <v>92.585851242857146</v>
      </c>
      <c r="J152" s="417">
        <f>[11]Summary_Lives!J73</f>
        <v>0</v>
      </c>
      <c r="K152" s="417">
        <f>[11]Summary_Lives!K73</f>
        <v>0</v>
      </c>
      <c r="L152" s="417">
        <f>[11]Summary_Lives!L73</f>
        <v>0</v>
      </c>
      <c r="M152" s="417">
        <f>[11]Summary_Lives!M73</f>
        <v>0</v>
      </c>
      <c r="N152" s="417">
        <f>[11]Summary_Lives!N73</f>
        <v>0</v>
      </c>
      <c r="O152" s="417">
        <f>[11]Summary_Lives!O73</f>
        <v>903.11269775714277</v>
      </c>
      <c r="P152" s="417">
        <f>[11]Summary_Lives!P73</f>
        <v>0</v>
      </c>
      <c r="Q152" s="417">
        <f>[11]Summary_Lives!Q73</f>
        <v>43.694539999999996</v>
      </c>
      <c r="R152" s="417">
        <f>[11]Summary_Lives!R73</f>
        <v>5015.6208563995242</v>
      </c>
      <c r="S152" s="417">
        <f>[11]Summary_Lives!S73</f>
        <v>0</v>
      </c>
      <c r="T152" s="417">
        <f>[11]Summary_Lives!T73</f>
        <v>0</v>
      </c>
      <c r="U152" s="417">
        <f>[11]Summary_Lives!U73</f>
        <v>0</v>
      </c>
      <c r="V152" s="417">
        <f>[11]Summary_Lives!V73</f>
        <v>0</v>
      </c>
      <c r="W152" s="417">
        <f>[11]Summary_Lives!W73</f>
        <v>0</v>
      </c>
      <c r="X152" s="417">
        <f>[11]Summary_Lives!X73</f>
        <v>0</v>
      </c>
      <c r="Y152" s="418">
        <f t="shared" si="4"/>
        <v>6184.4227574523811</v>
      </c>
      <c r="Z152" s="422">
        <f>[11]Summary_Lives!AB73</f>
        <v>14.329364770087119</v>
      </c>
      <c r="AA152" s="422">
        <f>[11]Summary_Lives!AC73</f>
        <v>3.9103193995552852</v>
      </c>
      <c r="AB152" s="422">
        <f>[11]Summary_Lives!AD73</f>
        <v>10.419045370531833</v>
      </c>
    </row>
    <row r="153" spans="4:28" ht="13.8" thickBot="1" x14ac:dyDescent="0.55000000000000004">
      <c r="D153" s="149" t="s">
        <v>102</v>
      </c>
      <c r="E153" s="417">
        <f>[11]Summary_Lives!E74</f>
        <v>0</v>
      </c>
      <c r="F153" s="417">
        <f>[11]Summary_Lives!F74</f>
        <v>0</v>
      </c>
      <c r="G153" s="417">
        <f>[11]Summary_Lives!G74</f>
        <v>0</v>
      </c>
      <c r="H153" s="417">
        <f>[11]Summary_Lives!H74</f>
        <v>0</v>
      </c>
      <c r="I153" s="417">
        <f>[11]Summary_Lives!I74</f>
        <v>0</v>
      </c>
      <c r="J153" s="417">
        <f>[11]Summary_Lives!J74</f>
        <v>0</v>
      </c>
      <c r="K153" s="417">
        <f>[11]Summary_Lives!K74</f>
        <v>0</v>
      </c>
      <c r="L153" s="417">
        <f>[11]Summary_Lives!L74</f>
        <v>0</v>
      </c>
      <c r="M153" s="417">
        <f>[11]Summary_Lives!M74</f>
        <v>0</v>
      </c>
      <c r="N153" s="417">
        <f>[11]Summary_Lives!N74</f>
        <v>0</v>
      </c>
      <c r="O153" s="417">
        <f>[11]Summary_Lives!O74</f>
        <v>0</v>
      </c>
      <c r="P153" s="417">
        <f>[11]Summary_Lives!P74</f>
        <v>0</v>
      </c>
      <c r="Q153" s="417">
        <f>[11]Summary_Lives!Q74</f>
        <v>0</v>
      </c>
      <c r="R153" s="417">
        <f>[11]Summary_Lives!R74</f>
        <v>0</v>
      </c>
      <c r="S153" s="417">
        <f>[11]Summary_Lives!S74</f>
        <v>4080.2493072798488</v>
      </c>
      <c r="T153" s="417">
        <f>[11]Summary_Lives!T74</f>
        <v>3530.5159118669058</v>
      </c>
      <c r="U153" s="417">
        <f>[11]Summary_Lives!U74</f>
        <v>0</v>
      </c>
      <c r="V153" s="417">
        <f>[11]Summary_Lives!V74</f>
        <v>0</v>
      </c>
      <c r="W153" s="417">
        <f>[11]Summary_Lives!W74</f>
        <v>0</v>
      </c>
      <c r="X153" s="417">
        <f>[11]Summary_Lives!X74</f>
        <v>0</v>
      </c>
      <c r="Y153" s="418">
        <f t="shared" si="4"/>
        <v>7610.765219146755</v>
      </c>
      <c r="Z153" s="422">
        <f>[11]Summary_Lives!AB74</f>
        <v>22.142424354842618</v>
      </c>
      <c r="AA153" s="422">
        <f>[11]Summary_Lives!AC74</f>
        <v>15.043700591672437</v>
      </c>
      <c r="AB153" s="422">
        <f>[11]Summary_Lives!AD74</f>
        <v>7.0987237631701809</v>
      </c>
    </row>
    <row r="154" spans="4:28" ht="13.8" thickBot="1" x14ac:dyDescent="0.55000000000000004">
      <c r="D154" s="149" t="s">
        <v>1021</v>
      </c>
      <c r="E154" s="417">
        <f>[11]Summary_Lives!E75</f>
        <v>0</v>
      </c>
      <c r="F154" s="417">
        <f>[11]Summary_Lives!F75</f>
        <v>0</v>
      </c>
      <c r="G154" s="417">
        <f>[11]Summary_Lives!G75</f>
        <v>0</v>
      </c>
      <c r="H154" s="417">
        <f>[11]Summary_Lives!H75</f>
        <v>0</v>
      </c>
      <c r="I154" s="417">
        <f>[11]Summary_Lives!I75</f>
        <v>79967.507621959696</v>
      </c>
      <c r="J154" s="417">
        <f>[11]Summary_Lives!J75</f>
        <v>0</v>
      </c>
      <c r="K154" s="417">
        <f>[11]Summary_Lives!K75</f>
        <v>0</v>
      </c>
      <c r="L154" s="417">
        <f>[11]Summary_Lives!L75</f>
        <v>0</v>
      </c>
      <c r="M154" s="417">
        <f>[11]Summary_Lives!M75</f>
        <v>0</v>
      </c>
      <c r="N154" s="417">
        <f>[11]Summary_Lives!N75</f>
        <v>0</v>
      </c>
      <c r="O154" s="417">
        <f>[11]Summary_Lives!O75</f>
        <v>0</v>
      </c>
      <c r="P154" s="417">
        <f>[11]Summary_Lives!P75</f>
        <v>0</v>
      </c>
      <c r="Q154" s="417">
        <f>[11]Summary_Lives!Q75</f>
        <v>0</v>
      </c>
      <c r="R154" s="417">
        <f>[11]Summary_Lives!R75</f>
        <v>0</v>
      </c>
      <c r="S154" s="417">
        <f>[11]Summary_Lives!S75</f>
        <v>0</v>
      </c>
      <c r="T154" s="417">
        <f>[11]Summary_Lives!T75</f>
        <v>0</v>
      </c>
      <c r="U154" s="417">
        <f>[11]Summary_Lives!U75</f>
        <v>0</v>
      </c>
      <c r="V154" s="417">
        <f>[11]Summary_Lives!V75</f>
        <v>0</v>
      </c>
      <c r="W154" s="417">
        <f>[11]Summary_Lives!W75</f>
        <v>0</v>
      </c>
      <c r="X154" s="417">
        <f>[11]Summary_Lives!X75</f>
        <v>0</v>
      </c>
      <c r="Y154" s="418">
        <f t="shared" si="4"/>
        <v>79967.507621959696</v>
      </c>
      <c r="Z154" s="422">
        <f>[11]Summary_Lives!AB75</f>
        <v>44.999999999997186</v>
      </c>
      <c r="AA154" s="422">
        <f>[11]Summary_Lives!AC75</f>
        <v>22.574816113082974</v>
      </c>
      <c r="AB154" s="422">
        <f>[11]Summary_Lives!AD75</f>
        <v>22.425183886914212</v>
      </c>
    </row>
    <row r="155" spans="4:28" ht="13.8" thickBot="1" x14ac:dyDescent="0.55000000000000004">
      <c r="D155" s="149" t="s">
        <v>1041</v>
      </c>
      <c r="E155" s="417">
        <f>[11]Summary_Lives!E76</f>
        <v>4413.5314285714276</v>
      </c>
      <c r="F155" s="417">
        <f>[11]Summary_Lives!F76</f>
        <v>279708.0117471253</v>
      </c>
      <c r="G155" s="417">
        <f>[11]Summary_Lives!G76</f>
        <v>4106.2226087500003</v>
      </c>
      <c r="H155" s="417">
        <f>[11]Summary_Lives!H76</f>
        <v>165.32667886669623</v>
      </c>
      <c r="I155" s="417">
        <f>[11]Summary_Lives!I76</f>
        <v>237.23729221108778</v>
      </c>
      <c r="J155" s="417">
        <f>[11]Summary_Lives!J76</f>
        <v>13058.6560125667</v>
      </c>
      <c r="K155" s="417">
        <f>[11]Summary_Lives!K76</f>
        <v>0</v>
      </c>
      <c r="L155" s="417">
        <f>[11]Summary_Lives!L76</f>
        <v>0</v>
      </c>
      <c r="M155" s="417">
        <f>[11]Summary_Lives!M76</f>
        <v>0</v>
      </c>
      <c r="N155" s="417">
        <f>[11]Summary_Lives!N76</f>
        <v>0</v>
      </c>
      <c r="O155" s="417">
        <f>[11]Summary_Lives!O76</f>
        <v>0</v>
      </c>
      <c r="P155" s="417">
        <f>[11]Summary_Lives!P76</f>
        <v>0</v>
      </c>
      <c r="Q155" s="417">
        <f>[11]Summary_Lives!Q76</f>
        <v>0</v>
      </c>
      <c r="R155" s="417">
        <f>[11]Summary_Lives!R76</f>
        <v>0</v>
      </c>
      <c r="S155" s="417">
        <f>[11]Summary_Lives!S76</f>
        <v>0</v>
      </c>
      <c r="T155" s="417">
        <f>[11]Summary_Lives!T76</f>
        <v>0</v>
      </c>
      <c r="U155" s="417">
        <f>[11]Summary_Lives!U76</f>
        <v>0</v>
      </c>
      <c r="V155" s="417">
        <f>[11]Summary_Lives!V76</f>
        <v>0</v>
      </c>
      <c r="W155" s="417">
        <f>[11]Summary_Lives!W76</f>
        <v>0</v>
      </c>
      <c r="X155" s="417">
        <f>[11]Summary_Lives!X76</f>
        <v>0</v>
      </c>
      <c r="Y155" s="418">
        <f t="shared" si="4"/>
        <v>301688.98576809122</v>
      </c>
      <c r="Z155" s="422">
        <f>[11]Summary_Lives!AB76</f>
        <v>55.987813124703315</v>
      </c>
      <c r="AA155" s="422">
        <f>[11]Summary_Lives!AC76</f>
        <v>23.659504769827048</v>
      </c>
      <c r="AB155" s="422">
        <f>[11]Summary_Lives!AD76</f>
        <v>32.32830835487627</v>
      </c>
    </row>
    <row r="156" spans="4:28" ht="13.8" thickBot="1" x14ac:dyDescent="0.55000000000000004">
      <c r="D156" s="149" t="s">
        <v>1043</v>
      </c>
      <c r="E156" s="417">
        <f>[11]Summary_Lives!E77</f>
        <v>0</v>
      </c>
      <c r="F156" s="417">
        <f>[11]Summary_Lives!F77</f>
        <v>0</v>
      </c>
      <c r="G156" s="417">
        <f>[11]Summary_Lives!G77</f>
        <v>0</v>
      </c>
      <c r="H156" s="417">
        <f>[11]Summary_Lives!H77</f>
        <v>0</v>
      </c>
      <c r="I156" s="417">
        <f>[11]Summary_Lives!I77</f>
        <v>0</v>
      </c>
      <c r="J156" s="417">
        <f>[11]Summary_Lives!J77</f>
        <v>0</v>
      </c>
      <c r="K156" s="417">
        <f>[11]Summary_Lives!K77</f>
        <v>0</v>
      </c>
      <c r="L156" s="417">
        <f>[11]Summary_Lives!L77</f>
        <v>0</v>
      </c>
      <c r="M156" s="417">
        <f>[11]Summary_Lives!M77</f>
        <v>0</v>
      </c>
      <c r="N156" s="417">
        <f>[11]Summary_Lives!N77</f>
        <v>33025</v>
      </c>
      <c r="O156" s="417">
        <f>[11]Summary_Lives!O77</f>
        <v>0</v>
      </c>
      <c r="P156" s="417">
        <f>[11]Summary_Lives!P77</f>
        <v>0</v>
      </c>
      <c r="Q156" s="417">
        <f>[11]Summary_Lives!Q77</f>
        <v>0</v>
      </c>
      <c r="R156" s="417">
        <f>[11]Summary_Lives!R77</f>
        <v>0</v>
      </c>
      <c r="S156" s="417">
        <f>[11]Summary_Lives!S77</f>
        <v>0</v>
      </c>
      <c r="T156" s="417">
        <f>[11]Summary_Lives!T77</f>
        <v>0</v>
      </c>
      <c r="U156" s="417">
        <f>[11]Summary_Lives!U77</f>
        <v>0</v>
      </c>
      <c r="V156" s="417">
        <f>[11]Summary_Lives!V77</f>
        <v>0</v>
      </c>
      <c r="W156" s="417">
        <f>[11]Summary_Lives!W77</f>
        <v>0</v>
      </c>
      <c r="X156" s="417">
        <f>[11]Summary_Lives!X77</f>
        <v>0</v>
      </c>
      <c r="Y156" s="418">
        <f t="shared" si="4"/>
        <v>33025</v>
      </c>
      <c r="Z156" s="422">
        <f>[11]Summary_Lives!AB77</f>
        <v>0</v>
      </c>
      <c r="AA156" s="422">
        <f>[11]Summary_Lives!AC77</f>
        <v>0</v>
      </c>
      <c r="AB156" s="422">
        <f>[11]Summary_Lives!AD77</f>
        <v>0</v>
      </c>
    </row>
    <row r="157" spans="4:28" ht="13.8" thickBot="1" x14ac:dyDescent="0.55000000000000004">
      <c r="D157" s="154" t="s">
        <v>112</v>
      </c>
      <c r="E157" s="418">
        <f t="shared" ref="E157:X157" si="5">SUM(E147:E156)</f>
        <v>247158.384947649</v>
      </c>
      <c r="F157" s="418">
        <f t="shared" si="5"/>
        <v>279837.42055917816</v>
      </c>
      <c r="G157" s="418">
        <f t="shared" si="5"/>
        <v>167025.89930043949</v>
      </c>
      <c r="H157" s="418">
        <f t="shared" si="5"/>
        <v>165.32667886669623</v>
      </c>
      <c r="I157" s="418">
        <f t="shared" si="5"/>
        <v>80297.33076541363</v>
      </c>
      <c r="J157" s="418">
        <f t="shared" si="5"/>
        <v>14454.660681041938</v>
      </c>
      <c r="K157" s="418">
        <f t="shared" si="5"/>
        <v>8390.3020321881449</v>
      </c>
      <c r="L157" s="418">
        <f t="shared" si="5"/>
        <v>2126.0573650090373</v>
      </c>
      <c r="M157" s="418">
        <f t="shared" si="5"/>
        <v>7235.6595534338594</v>
      </c>
      <c r="N157" s="418">
        <f t="shared" si="5"/>
        <v>33025</v>
      </c>
      <c r="O157" s="418">
        <f t="shared" si="5"/>
        <v>903.11269775714277</v>
      </c>
      <c r="P157" s="418">
        <f t="shared" si="5"/>
        <v>703.79206894999993</v>
      </c>
      <c r="Q157" s="418">
        <f t="shared" si="5"/>
        <v>43.694539999999996</v>
      </c>
      <c r="R157" s="418">
        <f t="shared" si="5"/>
        <v>7205.3953999153564</v>
      </c>
      <c r="S157" s="418">
        <f t="shared" si="5"/>
        <v>4080.2493072798488</v>
      </c>
      <c r="T157" s="418">
        <f t="shared" si="5"/>
        <v>3530.5159118669058</v>
      </c>
      <c r="U157" s="418">
        <f t="shared" si="5"/>
        <v>0</v>
      </c>
      <c r="V157" s="418">
        <f t="shared" si="5"/>
        <v>0</v>
      </c>
      <c r="W157" s="418">
        <f t="shared" si="5"/>
        <v>0</v>
      </c>
      <c r="X157" s="418">
        <f t="shared" si="5"/>
        <v>0</v>
      </c>
      <c r="Y157" s="418">
        <f>SUM(Y147:Y156)</f>
        <v>856182.80180898914</v>
      </c>
      <c r="Z157" s="729"/>
      <c r="AA157" s="730"/>
      <c r="AB157" s="731"/>
    </row>
    <row r="158" spans="4:28" ht="13.8" thickBot="1" x14ac:dyDescent="0.55000000000000004">
      <c r="D158" s="149" t="s">
        <v>1631</v>
      </c>
      <c r="E158" s="422">
        <f>[11]Summary_Lives!E80</f>
        <v>41.237742225214127</v>
      </c>
      <c r="F158" s="422">
        <f>[11]Summary_Lives!F80</f>
        <v>55.968548473454156</v>
      </c>
      <c r="G158" s="422">
        <f>[11]Summary_Lives!G80</f>
        <v>56.550712395018699</v>
      </c>
      <c r="H158" s="422">
        <f>[11]Summary_Lives!H80</f>
        <v>55.987813124703322</v>
      </c>
      <c r="I158" s="422">
        <f>[11]Summary_Lives!I80</f>
        <v>44.997098934224852</v>
      </c>
      <c r="J158" s="422">
        <f>[11]Summary_Lives!J80</f>
        <v>54.680003773458026</v>
      </c>
      <c r="K158" s="422">
        <f>[11]Summary_Lives!K80</f>
        <v>41.443603374535435</v>
      </c>
      <c r="L158" s="422">
        <f>[11]Summary_Lives!L80</f>
        <v>14.026832175016196</v>
      </c>
      <c r="M158" s="422">
        <f>[11]Summary_Lives!M80</f>
        <v>14.683517286099157</v>
      </c>
      <c r="N158" s="422" t="str">
        <f>[11]Summary_Lives!N80</f>
        <v>n/a</v>
      </c>
      <c r="O158" s="422">
        <f>[11]Summary_Lives!O80</f>
        <v>14.329364770087121</v>
      </c>
      <c r="P158" s="422">
        <f>[11]Summary_Lives!P80</f>
        <v>11.840927129908023</v>
      </c>
      <c r="Q158" s="422">
        <f>[11]Summary_Lives!Q80</f>
        <v>14.329364770087121</v>
      </c>
      <c r="R158" s="422">
        <f>[11]Summary_Lives!R80</f>
        <v>13.573109617503151</v>
      </c>
      <c r="S158" s="422">
        <f>[11]Summary_Lives!S80</f>
        <v>22.142424354842618</v>
      </c>
      <c r="T158" s="422">
        <f>[11]Summary_Lives!T80</f>
        <v>15</v>
      </c>
      <c r="U158" s="422">
        <f>[11]Summary_Lives!U80</f>
        <v>15</v>
      </c>
      <c r="V158" s="422">
        <f>[11]Summary_Lives!V80</f>
        <v>15</v>
      </c>
      <c r="W158" s="422">
        <f>[11]Summary_Lives!W80</f>
        <v>15</v>
      </c>
      <c r="X158" s="422">
        <f>[11]Summary_Lives!X80</f>
        <v>10</v>
      </c>
      <c r="Y158" s="732" t="s">
        <v>1636</v>
      </c>
      <c r="Z158" s="733"/>
      <c r="AA158" s="733"/>
      <c r="AB158" s="734"/>
    </row>
    <row r="159" spans="4:28" ht="13.8" thickBot="1" x14ac:dyDescent="0.55000000000000004">
      <c r="D159" s="149" t="s">
        <v>1632</v>
      </c>
      <c r="E159" s="422">
        <f>[11]Summary_Lives!E81</f>
        <v>14.333050159795743</v>
      </c>
      <c r="F159" s="422">
        <f>[11]Summary_Lives!F81</f>
        <v>32.318176573036325</v>
      </c>
      <c r="G159" s="422">
        <f>[11]Summary_Lives!G81</f>
        <v>31.239381985728773</v>
      </c>
      <c r="H159" s="422">
        <f>[11]Summary_Lives!H81</f>
        <v>32.32830835487627</v>
      </c>
      <c r="I159" s="422">
        <f>[11]Summary_Lives!I81</f>
        <v>22.440598993079398</v>
      </c>
      <c r="J159" s="422">
        <f>[11]Summary_Lives!J81</f>
        <v>30.941957708691557</v>
      </c>
      <c r="K159" s="422">
        <f>[11]Summary_Lives!K81</f>
        <v>15.021734092109323</v>
      </c>
      <c r="L159" s="422">
        <f>[11]Summary_Lives!L81</f>
        <v>1.3523808128497912</v>
      </c>
      <c r="M159" s="422">
        <f>[11]Summary_Lives!M81</f>
        <v>1.7747214769326392</v>
      </c>
      <c r="N159" s="422" t="str">
        <f>[11]Summary_Lives!N81</f>
        <v>n/a</v>
      </c>
      <c r="O159" s="422">
        <f>[11]Summary_Lives!O81</f>
        <v>10.419045370531833</v>
      </c>
      <c r="P159" s="422">
        <f>[11]Summary_Lives!P81</f>
        <v>7.3625194657983073</v>
      </c>
      <c r="Q159" s="422">
        <f>[11]Summary_Lives!Q81</f>
        <v>10.419045370531833</v>
      </c>
      <c r="R159" s="422">
        <f>[11]Summary_Lives!R81</f>
        <v>9.4901438673803469</v>
      </c>
      <c r="S159" s="422">
        <f>[11]Summary_Lives!S81</f>
        <v>7.0987237631701809</v>
      </c>
      <c r="T159" s="422">
        <f>[11]Summary_Lives!T81</f>
        <v>7.0987237631701809</v>
      </c>
      <c r="U159" s="422">
        <f>[11]Summary_Lives!U81</f>
        <v>0</v>
      </c>
      <c r="V159" s="422">
        <f>[11]Summary_Lives!V81</f>
        <v>0</v>
      </c>
      <c r="W159" s="422">
        <f>[11]Summary_Lives!W81</f>
        <v>0</v>
      </c>
      <c r="X159" s="422">
        <f>[11]Summary_Lives!X81</f>
        <v>0</v>
      </c>
      <c r="Y159" s="735"/>
      <c r="Z159" s="736"/>
      <c r="AA159" s="736"/>
      <c r="AB159" s="737"/>
    </row>
    <row r="161" spans="1:26" x14ac:dyDescent="0.5">
      <c r="A161" s="70">
        <f>IF(SUM(E161:I161)&lt;&gt;0,1,0)</f>
        <v>0</v>
      </c>
      <c r="D161" s="12" t="s">
        <v>116</v>
      </c>
      <c r="E161" s="70">
        <f t="shared" ref="E161:R161" si="6">IF(ROUND(E98-E157,2)&lt;&gt;0,1,0)</f>
        <v>0</v>
      </c>
      <c r="F161" s="70">
        <f t="shared" si="6"/>
        <v>0</v>
      </c>
      <c r="G161" s="70">
        <f t="shared" si="6"/>
        <v>0</v>
      </c>
      <c r="H161" s="70">
        <f t="shared" si="6"/>
        <v>0</v>
      </c>
      <c r="I161" s="70">
        <f t="shared" si="6"/>
        <v>0</v>
      </c>
      <c r="J161" s="70">
        <f t="shared" si="6"/>
        <v>0</v>
      </c>
      <c r="K161" s="70">
        <f t="shared" si="6"/>
        <v>0</v>
      </c>
      <c r="L161" s="70">
        <f t="shared" si="6"/>
        <v>0</v>
      </c>
      <c r="M161" s="70">
        <f t="shared" si="6"/>
        <v>0</v>
      </c>
      <c r="N161" s="70">
        <f t="shared" si="6"/>
        <v>0</v>
      </c>
      <c r="O161" s="70">
        <f t="shared" si="6"/>
        <v>0</v>
      </c>
      <c r="P161" s="70">
        <f t="shared" si="6"/>
        <v>0</v>
      </c>
      <c r="Q161" s="70">
        <f t="shared" si="6"/>
        <v>0</v>
      </c>
      <c r="R161" s="70">
        <f t="shared" si="6"/>
        <v>0</v>
      </c>
      <c r="S161" s="480">
        <f t="shared" ref="S161:Y161" si="7">IF(ROUND(S98-S157,2)&lt;&gt;0,1,0)</f>
        <v>0</v>
      </c>
      <c r="T161" s="70">
        <f t="shared" si="7"/>
        <v>0</v>
      </c>
      <c r="U161" s="70">
        <f t="shared" si="7"/>
        <v>0</v>
      </c>
      <c r="V161" s="70">
        <f t="shared" si="7"/>
        <v>0</v>
      </c>
      <c r="W161" s="70">
        <f t="shared" si="7"/>
        <v>0</v>
      </c>
      <c r="X161" s="70">
        <f t="shared" si="7"/>
        <v>0</v>
      </c>
      <c r="Y161" s="70">
        <f t="shared" si="7"/>
        <v>0</v>
      </c>
    </row>
    <row r="162" spans="1:26" x14ac:dyDescent="0.5">
      <c r="Z162" s="408"/>
    </row>
    <row r="163" spans="1:26" s="139" customFormat="1" x14ac:dyDescent="0.35">
      <c r="B163" s="139" t="s">
        <v>1092</v>
      </c>
    </row>
    <row r="164" spans="1:26" ht="13.2" thickBot="1" x14ac:dyDescent="0.55000000000000004"/>
    <row r="165" spans="1:26" ht="26.1" thickBot="1" x14ac:dyDescent="0.55000000000000004">
      <c r="D165" s="156" t="s">
        <v>1093</v>
      </c>
      <c r="E165" s="156" t="s">
        <v>1094</v>
      </c>
      <c r="F165" s="156" t="s">
        <v>1095</v>
      </c>
    </row>
    <row r="166" spans="1:26" ht="13.8" thickBot="1" x14ac:dyDescent="0.55000000000000004">
      <c r="D166" s="149" t="s">
        <v>662</v>
      </c>
      <c r="E166" s="425" t="s">
        <v>1096</v>
      </c>
      <c r="F166" s="177">
        <f>[11]Summary_Lives!F25</f>
        <v>22.142424354842618</v>
      </c>
    </row>
    <row r="167" spans="1:26" ht="13.8" thickBot="1" x14ac:dyDescent="0.55000000000000004">
      <c r="D167" s="149" t="s">
        <v>664</v>
      </c>
      <c r="E167" s="425" t="s">
        <v>1097</v>
      </c>
      <c r="F167" s="177">
        <f>[11]Summary_Lives!F26</f>
        <v>15</v>
      </c>
    </row>
    <row r="168" spans="1:26" ht="13.8" thickBot="1" x14ac:dyDescent="0.55000000000000004">
      <c r="D168" s="149" t="s">
        <v>666</v>
      </c>
      <c r="E168" s="425" t="s">
        <v>1098</v>
      </c>
      <c r="F168" s="177">
        <f>[11]Summary_Lives!F27</f>
        <v>15</v>
      </c>
    </row>
    <row r="169" spans="1:26" ht="13.8" thickBot="1" x14ac:dyDescent="0.55000000000000004">
      <c r="D169" s="149" t="s">
        <v>668</v>
      </c>
      <c r="E169" s="425" t="s">
        <v>1097</v>
      </c>
      <c r="F169" s="177">
        <f>[11]Summary_Lives!F28</f>
        <v>15</v>
      </c>
    </row>
    <row r="170" spans="1:26" ht="13.8" thickBot="1" x14ac:dyDescent="0.55000000000000004">
      <c r="D170" s="149" t="s">
        <v>1099</v>
      </c>
      <c r="E170" s="425" t="s">
        <v>1100</v>
      </c>
      <c r="F170" s="177">
        <f>[11]Summary_Lives!F29</f>
        <v>15</v>
      </c>
    </row>
    <row r="171" spans="1:26" ht="27.3" thickBot="1" x14ac:dyDescent="0.55000000000000004">
      <c r="D171" s="149" t="s">
        <v>1101</v>
      </c>
      <c r="E171" s="425" t="s">
        <v>1102</v>
      </c>
      <c r="F171" s="177">
        <f>[11]Summary_Lives!F30</f>
        <v>10</v>
      </c>
    </row>
    <row r="173" spans="1:26" s="139" customFormat="1" x14ac:dyDescent="0.35">
      <c r="B173" s="139" t="s">
        <v>32</v>
      </c>
    </row>
    <row r="174" spans="1:26" x14ac:dyDescent="0.5">
      <c r="B174" s="226" t="s">
        <v>548</v>
      </c>
    </row>
  </sheetData>
  <mergeCells count="8">
    <mergeCell ref="Z157:AB157"/>
    <mergeCell ref="Y158:AB159"/>
    <mergeCell ref="Z145:AB145"/>
    <mergeCell ref="Y145:Y146"/>
    <mergeCell ref="E75:M75"/>
    <mergeCell ref="E145:M145"/>
    <mergeCell ref="N75:X75"/>
    <mergeCell ref="N145:X145"/>
  </mergeCells>
  <conditionalFormatting sqref="B2">
    <cfRule type="cellIs" dxfId="16" priority="3" operator="notEqual">
      <formula>"No Errors Found"</formula>
    </cfRule>
  </conditionalFormatting>
  <conditionalFormatting sqref="U76:X76">
    <cfRule type="duplicateValues" dxfId="15" priority="23"/>
  </conditionalFormatting>
  <conditionalFormatting sqref="U146:X146">
    <cfRule type="duplicateValues" dxfId="14" priority="1"/>
  </conditionalFormatting>
  <hyperlinks>
    <hyperlink ref="B3:D3" location="Cover!A1" display="Go to Cover Sheet"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140"/>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5" width="11.796875" style="137" customWidth="1"/>
    <col min="6" max="10" width="10.1328125" style="137" customWidth="1"/>
    <col min="11" max="19" width="12.33203125" style="137" customWidth="1"/>
    <col min="20" max="16384" width="9.1328125" style="137"/>
  </cols>
  <sheetData>
    <row r="1" spans="1:5" ht="20.399999999999999" x14ac:dyDescent="0.5">
      <c r="A1" s="65">
        <f>IF(SUM($A6:$A139)&gt;0,1,0)</f>
        <v>0</v>
      </c>
      <c r="B1" s="136" t="s">
        <v>1017</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1624</v>
      </c>
    </row>
    <row r="7" spans="1:5" ht="13.2" thickBot="1" x14ac:dyDescent="0.55000000000000004"/>
    <row r="8" spans="1:5" ht="13.2" thickBot="1" x14ac:dyDescent="0.55000000000000004">
      <c r="D8" s="156" t="s">
        <v>507</v>
      </c>
      <c r="E8" s="156" t="s">
        <v>1142</v>
      </c>
    </row>
    <row r="9" spans="1:5" ht="13.8" thickBot="1" x14ac:dyDescent="0.55000000000000004">
      <c r="D9" s="149" t="s">
        <v>1143</v>
      </c>
      <c r="E9" s="372" t="s">
        <v>1144</v>
      </c>
    </row>
    <row r="10" spans="1:5" ht="13.8" thickBot="1" x14ac:dyDescent="0.55000000000000004">
      <c r="D10" s="149" t="s">
        <v>1145</v>
      </c>
      <c r="E10" s="372" t="s">
        <v>1150</v>
      </c>
    </row>
    <row r="11" spans="1:5" ht="13.8" thickBot="1" x14ac:dyDescent="0.55000000000000004">
      <c r="D11" s="149" t="s">
        <v>1146</v>
      </c>
      <c r="E11" s="372" t="s">
        <v>1147</v>
      </c>
    </row>
    <row r="12" spans="1:5" ht="13.8" thickBot="1" x14ac:dyDescent="0.55000000000000004">
      <c r="D12" s="149" t="s">
        <v>1148</v>
      </c>
      <c r="E12" s="372" t="s">
        <v>1149</v>
      </c>
    </row>
    <row r="14" spans="1:5" s="139" customFormat="1" x14ac:dyDescent="0.35">
      <c r="B14" s="139" t="s">
        <v>1162</v>
      </c>
    </row>
    <row r="15" spans="1:5" ht="13.2" thickBot="1" x14ac:dyDescent="0.55000000000000004"/>
    <row r="16" spans="1:5" ht="13.2" thickBot="1" x14ac:dyDescent="0.55000000000000004">
      <c r="D16" s="156" t="s">
        <v>1151</v>
      </c>
      <c r="E16" s="156" t="s">
        <v>1142</v>
      </c>
    </row>
    <row r="17" spans="2:5" ht="13.8" thickBot="1" x14ac:dyDescent="0.55000000000000004">
      <c r="D17" s="149" t="s">
        <v>1152</v>
      </c>
      <c r="E17" s="372" t="s">
        <v>1144</v>
      </c>
    </row>
    <row r="18" spans="2:5" ht="13.8" thickBot="1" x14ac:dyDescent="0.55000000000000004">
      <c r="D18" s="149" t="s">
        <v>437</v>
      </c>
      <c r="E18" s="372" t="s">
        <v>1144</v>
      </c>
    </row>
    <row r="19" spans="2:5" ht="13.8" thickBot="1" x14ac:dyDescent="0.55000000000000004">
      <c r="D19" s="149" t="s">
        <v>1153</v>
      </c>
      <c r="E19" s="372" t="s">
        <v>1154</v>
      </c>
    </row>
    <row r="20" spans="2:5" ht="13.8" thickBot="1" x14ac:dyDescent="0.55000000000000004">
      <c r="D20" s="149" t="s">
        <v>1155</v>
      </c>
      <c r="E20" s="372" t="s">
        <v>1158</v>
      </c>
    </row>
    <row r="21" spans="2:5" ht="13.8" thickBot="1" x14ac:dyDescent="0.55000000000000004">
      <c r="D21" s="149" t="s">
        <v>1095</v>
      </c>
      <c r="E21" s="372" t="s">
        <v>1156</v>
      </c>
    </row>
    <row r="22" spans="2:5" ht="13.8" thickBot="1" x14ac:dyDescent="0.55000000000000004">
      <c r="D22" s="149" t="s">
        <v>1157</v>
      </c>
      <c r="E22" s="372" t="s">
        <v>1159</v>
      </c>
    </row>
    <row r="24" spans="2:5" s="139" customFormat="1" x14ac:dyDescent="0.35">
      <c r="B24" s="139" t="s">
        <v>1161</v>
      </c>
    </row>
    <row r="25" spans="2:5" ht="13.2" thickBot="1" x14ac:dyDescent="0.55000000000000004"/>
    <row r="26" spans="2:5" ht="26.1" thickBot="1" x14ac:dyDescent="0.55000000000000004">
      <c r="D26" s="427" t="s">
        <v>1625</v>
      </c>
      <c r="E26" s="156" t="s">
        <v>339</v>
      </c>
    </row>
    <row r="27" spans="2:5" ht="13.2" thickBot="1" x14ac:dyDescent="0.55000000000000004">
      <c r="D27" s="246" t="s">
        <v>97</v>
      </c>
      <c r="E27" s="247"/>
    </row>
    <row r="28" spans="2:5" ht="13.8" thickBot="1" x14ac:dyDescent="0.55000000000000004">
      <c r="D28" s="149" t="s">
        <v>640</v>
      </c>
      <c r="E28" s="416">
        <f>[14]Output_RFM!E11/10^3</f>
        <v>98535.626221676503</v>
      </c>
    </row>
    <row r="29" spans="2:5" ht="13.8" thickBot="1" x14ac:dyDescent="0.55000000000000004">
      <c r="D29" s="149" t="s">
        <v>1018</v>
      </c>
      <c r="E29" s="416">
        <f>[14]Output_RFM!E12/10^3</f>
        <v>238367.3460895803</v>
      </c>
    </row>
    <row r="30" spans="2:5" ht="13.8" thickBot="1" x14ac:dyDescent="0.55000000000000004">
      <c r="D30" s="149" t="s">
        <v>1019</v>
      </c>
      <c r="E30" s="416">
        <f>[14]Output_RFM!E13/10^3</f>
        <v>28297.067323446034</v>
      </c>
    </row>
    <row r="31" spans="2:5" ht="13.8" thickBot="1" x14ac:dyDescent="0.55000000000000004">
      <c r="D31" s="149" t="s">
        <v>1020</v>
      </c>
      <c r="E31" s="416">
        <f>[14]Output_RFM!E14/10^3</f>
        <v>1202.0491499305704</v>
      </c>
    </row>
    <row r="32" spans="2:5" ht="13.8" thickBot="1" x14ac:dyDescent="0.55000000000000004">
      <c r="D32" s="149" t="s">
        <v>1021</v>
      </c>
      <c r="E32" s="416">
        <f>[14]Output_RFM!E15/10^3</f>
        <v>42418.666646594895</v>
      </c>
    </row>
    <row r="33" spans="4:5" ht="13.8" thickBot="1" x14ac:dyDescent="0.55000000000000004">
      <c r="D33" s="149" t="s">
        <v>1022</v>
      </c>
      <c r="E33" s="416">
        <f>[14]Output_RFM!E16/10^3</f>
        <v>15441.565987499704</v>
      </c>
    </row>
    <row r="34" spans="4:5" ht="13.8" thickBot="1" x14ac:dyDescent="0.55000000000000004">
      <c r="D34" s="149" t="s">
        <v>650</v>
      </c>
      <c r="E34" s="416">
        <f>[14]Output_RFM!E17/10^3</f>
        <v>4354.4813990986322</v>
      </c>
    </row>
    <row r="35" spans="4:5" ht="13.8" thickBot="1" x14ac:dyDescent="0.55000000000000004">
      <c r="D35" s="149" t="s">
        <v>652</v>
      </c>
      <c r="E35" s="416">
        <f>[14]Output_RFM!E18/10^3</f>
        <v>586.58311236164377</v>
      </c>
    </row>
    <row r="36" spans="4:5" ht="13.8" thickBot="1" x14ac:dyDescent="0.55000000000000004">
      <c r="D36" s="149" t="s">
        <v>654</v>
      </c>
      <c r="E36" s="416">
        <f>[14]Output_RFM!E19/10^3</f>
        <v>5318.3609824389041</v>
      </c>
    </row>
    <row r="37" spans="4:5" ht="13.8" thickBot="1" x14ac:dyDescent="0.55000000000000004">
      <c r="D37" s="149" t="s">
        <v>1023</v>
      </c>
      <c r="E37" s="416">
        <f>[14]Output_RFM!E20/10^3</f>
        <v>387.29978000000006</v>
      </c>
    </row>
    <row r="38" spans="4:5" ht="13.8" thickBot="1" x14ac:dyDescent="0.55000000000000004">
      <c r="D38" s="149" t="s">
        <v>657</v>
      </c>
      <c r="E38" s="416">
        <f>[14]Output_RFM!E21/10^3</f>
        <v>558.31677577305925</v>
      </c>
    </row>
    <row r="39" spans="4:5" ht="13.8" thickBot="1" x14ac:dyDescent="0.55000000000000004">
      <c r="D39" s="149" t="s">
        <v>107</v>
      </c>
      <c r="E39" s="416">
        <f>[14]Output_RFM!E22/10^3</f>
        <v>423.23250767077627</v>
      </c>
    </row>
    <row r="40" spans="4:5" ht="13.8" thickBot="1" x14ac:dyDescent="0.55000000000000004">
      <c r="D40" s="149" t="s">
        <v>108</v>
      </c>
      <c r="E40" s="416">
        <f>[14]Output_RFM!E23/10^3</f>
        <v>115.26385298630139</v>
      </c>
    </row>
    <row r="41" spans="4:5" ht="13.8" thickBot="1" x14ac:dyDescent="0.55000000000000004">
      <c r="D41" s="149" t="s">
        <v>1103</v>
      </c>
      <c r="E41" s="416">
        <f>[14]Output_RFM!E24/10^3</f>
        <v>5100.7186735299947</v>
      </c>
    </row>
    <row r="42" spans="4:5" ht="13.2" thickBot="1" x14ac:dyDescent="0.55000000000000004">
      <c r="D42" s="426" t="s">
        <v>1104</v>
      </c>
      <c r="E42" s="428">
        <f>SUM(E28:E41)</f>
        <v>441106.57850258733</v>
      </c>
    </row>
    <row r="43" spans="4:5" ht="13.2" thickBot="1" x14ac:dyDescent="0.55000000000000004">
      <c r="D43" s="246" t="s">
        <v>637</v>
      </c>
      <c r="E43" s="247"/>
    </row>
    <row r="44" spans="4:5" ht="13.8" thickBot="1" x14ac:dyDescent="0.55000000000000004">
      <c r="D44" s="149" t="s">
        <v>662</v>
      </c>
      <c r="E44" s="416">
        <f>[14]Output_RFM!E25/10^3</f>
        <v>3554.8194664186308</v>
      </c>
    </row>
    <row r="45" spans="4:5" ht="13.8" thickBot="1" x14ac:dyDescent="0.55000000000000004">
      <c r="D45" s="149" t="s">
        <v>664</v>
      </c>
      <c r="E45" s="416">
        <f>[14]Output_RFM!E26/10^3</f>
        <v>925.56301967123306</v>
      </c>
    </row>
    <row r="46" spans="4:5" ht="13.8" thickBot="1" x14ac:dyDescent="0.55000000000000004">
      <c r="D46" s="149" t="s">
        <v>666</v>
      </c>
      <c r="E46" s="416">
        <f>[14]Output_RFM!E27/10^3</f>
        <v>0</v>
      </c>
    </row>
    <row r="47" spans="4:5" ht="13.8" thickBot="1" x14ac:dyDescent="0.55000000000000004">
      <c r="D47" s="149" t="s">
        <v>907</v>
      </c>
      <c r="E47" s="416">
        <f>[14]Output_RFM!E28/10^3</f>
        <v>0</v>
      </c>
    </row>
    <row r="48" spans="4:5" ht="13.8" thickBot="1" x14ac:dyDescent="0.55000000000000004">
      <c r="D48" s="149" t="s">
        <v>1099</v>
      </c>
      <c r="E48" s="416">
        <f>[14]Output_RFM!E29/10^3</f>
        <v>0</v>
      </c>
    </row>
    <row r="49" spans="1:8" ht="27.3" thickBot="1" x14ac:dyDescent="0.55000000000000004">
      <c r="D49" s="149" t="s">
        <v>1101</v>
      </c>
      <c r="E49" s="416">
        <f>[14]Output_RFM!E30/10^3</f>
        <v>0</v>
      </c>
    </row>
    <row r="50" spans="1:8" ht="13.2" thickBot="1" x14ac:dyDescent="0.55000000000000004">
      <c r="D50" s="426" t="s">
        <v>1106</v>
      </c>
      <c r="E50" s="428">
        <f>SUM(E44:E49)</f>
        <v>4480.382486089864</v>
      </c>
    </row>
    <row r="51" spans="1:8" ht="13.2" thickBot="1" x14ac:dyDescent="0.55000000000000004">
      <c r="D51" s="154" t="s">
        <v>1105</v>
      </c>
      <c r="E51" s="424">
        <f>E42+E50</f>
        <v>445586.96098867722</v>
      </c>
    </row>
    <row r="53" spans="1:8" x14ac:dyDescent="0.5">
      <c r="A53" s="70">
        <f>IF(SUM(E53:I53)&lt;&gt;0,1,0)</f>
        <v>0</v>
      </c>
      <c r="D53" s="12" t="s">
        <v>116</v>
      </c>
      <c r="E53" s="70">
        <f>IF(ROUND(SUM([14]Output_RFM!$E$34:$E$35)/10^3-E51,2)&lt;&gt;0,1,0)</f>
        <v>0</v>
      </c>
    </row>
    <row r="55" spans="1:8" s="139" customFormat="1" x14ac:dyDescent="0.35">
      <c r="B55" s="139" t="s">
        <v>1163</v>
      </c>
    </row>
    <row r="56" spans="1:8" ht="13.2" thickBot="1" x14ac:dyDescent="0.55000000000000004"/>
    <row r="57" spans="1:8" ht="26.1" thickBot="1" x14ac:dyDescent="0.55000000000000004">
      <c r="D57" s="427" t="s">
        <v>1125</v>
      </c>
      <c r="E57" s="156" t="s">
        <v>1124</v>
      </c>
      <c r="F57" s="156" t="s">
        <v>319</v>
      </c>
      <c r="G57" s="156" t="s">
        <v>341</v>
      </c>
      <c r="H57" s="156" t="s">
        <v>1107</v>
      </c>
    </row>
    <row r="58" spans="1:8" ht="13.2" thickBot="1" x14ac:dyDescent="0.55000000000000004">
      <c r="D58" s="743" t="s">
        <v>1249</v>
      </c>
      <c r="E58" s="744"/>
      <c r="F58" s="744"/>
      <c r="G58" s="744"/>
      <c r="H58" s="745"/>
    </row>
    <row r="59" spans="1:8" ht="13.8" thickBot="1" x14ac:dyDescent="0.55000000000000004">
      <c r="D59" s="149" t="s">
        <v>1108</v>
      </c>
      <c r="E59" s="432" t="s">
        <v>1136</v>
      </c>
      <c r="F59" s="416">
        <v>34.832491213332332</v>
      </c>
      <c r="G59" s="416">
        <v>7.8309374725319136</v>
      </c>
      <c r="H59" s="430">
        <f>G59/F59</f>
        <v>0.22481703719010998</v>
      </c>
    </row>
    <row r="60" spans="1:8" ht="13.8" thickBot="1" x14ac:dyDescent="0.55000000000000004">
      <c r="D60" s="149" t="s">
        <v>1133</v>
      </c>
      <c r="E60" s="432" t="s">
        <v>1137</v>
      </c>
      <c r="F60" s="416">
        <v>2312.7096158860559</v>
      </c>
      <c r="G60" s="416">
        <v>570.81263009991949</v>
      </c>
      <c r="H60" s="430">
        <f t="shared" ref="H60:H82" si="0">G60/F60</f>
        <v>0.24681552157650677</v>
      </c>
    </row>
    <row r="61" spans="1:8" ht="13.8" thickBot="1" x14ac:dyDescent="0.55000000000000004">
      <c r="D61" s="149" t="s">
        <v>1109</v>
      </c>
      <c r="E61" s="432" t="s">
        <v>1136</v>
      </c>
      <c r="F61" s="416">
        <v>1024.9303585217433</v>
      </c>
      <c r="G61" s="416">
        <v>343.74884724128071</v>
      </c>
      <c r="H61" s="430">
        <f t="shared" si="0"/>
        <v>0.33538751621824292</v>
      </c>
    </row>
    <row r="62" spans="1:8" ht="13.8" thickBot="1" x14ac:dyDescent="0.55000000000000004">
      <c r="D62" s="149" t="s">
        <v>1110</v>
      </c>
      <c r="E62" s="432" t="s">
        <v>1136</v>
      </c>
      <c r="F62" s="416">
        <v>1117.3996727138083</v>
      </c>
      <c r="G62" s="416">
        <v>382.71876770964798</v>
      </c>
      <c r="H62" s="430">
        <f t="shared" si="0"/>
        <v>0.34250839431529978</v>
      </c>
    </row>
    <row r="63" spans="1:8" ht="13.8" thickBot="1" x14ac:dyDescent="0.55000000000000004">
      <c r="D63" s="149" t="s">
        <v>1111</v>
      </c>
      <c r="E63" s="432" t="s">
        <v>1137</v>
      </c>
      <c r="F63" s="416">
        <v>17845.412139558073</v>
      </c>
      <c r="G63" s="416">
        <v>6672.8921067609208</v>
      </c>
      <c r="H63" s="430">
        <f t="shared" si="0"/>
        <v>0.3739275985657437</v>
      </c>
    </row>
    <row r="64" spans="1:8" ht="13.8" thickBot="1" x14ac:dyDescent="0.55000000000000004">
      <c r="D64" s="149" t="s">
        <v>1112</v>
      </c>
      <c r="E64" s="432" t="s">
        <v>1135</v>
      </c>
      <c r="F64" s="416">
        <v>3452.7549118643938</v>
      </c>
      <c r="G64" s="416">
        <v>1369.7413022872704</v>
      </c>
      <c r="H64" s="430">
        <f t="shared" si="0"/>
        <v>0.39670968176181592</v>
      </c>
    </row>
    <row r="65" spans="4:8" ht="13.8" thickBot="1" x14ac:dyDescent="0.55000000000000004">
      <c r="D65" s="149" t="s">
        <v>1113</v>
      </c>
      <c r="E65" s="416" t="s">
        <v>1127</v>
      </c>
      <c r="F65" s="416">
        <v>1385.6282692493432</v>
      </c>
      <c r="G65" s="416">
        <v>608.02008466670645</v>
      </c>
      <c r="H65" s="430">
        <f t="shared" si="0"/>
        <v>0.43880461893008149</v>
      </c>
    </row>
    <row r="66" spans="4:8" ht="13.8" thickBot="1" x14ac:dyDescent="0.55000000000000004">
      <c r="D66" s="149" t="s">
        <v>1114</v>
      </c>
      <c r="E66" s="432" t="s">
        <v>1126</v>
      </c>
      <c r="F66" s="416">
        <v>6075.8342692869492</v>
      </c>
      <c r="G66" s="416">
        <v>3750.3262677861458</v>
      </c>
      <c r="H66" s="430">
        <f t="shared" si="0"/>
        <v>0.6172528909723336</v>
      </c>
    </row>
    <row r="67" spans="4:8" ht="13.8" thickBot="1" x14ac:dyDescent="0.55000000000000004">
      <c r="D67" s="149" t="s">
        <v>1134</v>
      </c>
      <c r="E67" s="432" t="s">
        <v>1135</v>
      </c>
      <c r="F67" s="416">
        <v>1186.7974901786383</v>
      </c>
      <c r="G67" s="416">
        <v>746.84234188405048</v>
      </c>
      <c r="H67" s="430">
        <f t="shared" si="0"/>
        <v>0.6292921480408884</v>
      </c>
    </row>
    <row r="68" spans="4:8" ht="13.8" thickBot="1" x14ac:dyDescent="0.55000000000000004">
      <c r="D68" s="149" t="s">
        <v>1115</v>
      </c>
      <c r="E68" s="432" t="s">
        <v>1137</v>
      </c>
      <c r="F68" s="416">
        <v>9872.9799657141903</v>
      </c>
      <c r="G68" s="416">
        <v>6291.0628776379071</v>
      </c>
      <c r="H68" s="430">
        <f t="shared" si="0"/>
        <v>0.63720000440442759</v>
      </c>
    </row>
    <row r="69" spans="4:8" ht="13.8" thickBot="1" x14ac:dyDescent="0.55000000000000004">
      <c r="D69" s="149" t="s">
        <v>1116</v>
      </c>
      <c r="E69" s="432" t="s">
        <v>1135</v>
      </c>
      <c r="F69" s="416">
        <v>3442.080338226338</v>
      </c>
      <c r="G69" s="416">
        <v>2218.1859747985145</v>
      </c>
      <c r="H69" s="430">
        <f t="shared" si="0"/>
        <v>0.64443178451247851</v>
      </c>
    </row>
    <row r="70" spans="4:8" ht="13.8" thickBot="1" x14ac:dyDescent="0.55000000000000004">
      <c r="D70" s="149" t="s">
        <v>1117</v>
      </c>
      <c r="E70" s="432" t="s">
        <v>1137</v>
      </c>
      <c r="F70" s="416">
        <v>3778.3569542223354</v>
      </c>
      <c r="G70" s="416">
        <v>2485.4403968322654</v>
      </c>
      <c r="H70" s="430">
        <f t="shared" si="0"/>
        <v>0.65780984352332605</v>
      </c>
    </row>
    <row r="71" spans="4:8" ht="13.8" thickBot="1" x14ac:dyDescent="0.55000000000000004">
      <c r="D71" s="149" t="s">
        <v>1128</v>
      </c>
      <c r="E71" s="416" t="s">
        <v>1127</v>
      </c>
      <c r="F71" s="416">
        <v>338.35319381629768</v>
      </c>
      <c r="G71" s="416">
        <v>231.69781159641553</v>
      </c>
      <c r="H71" s="430">
        <f t="shared" si="0"/>
        <v>0.68478092073873364</v>
      </c>
    </row>
    <row r="72" spans="4:8" ht="13.8" thickBot="1" x14ac:dyDescent="0.55000000000000004">
      <c r="D72" s="149" t="s">
        <v>1118</v>
      </c>
      <c r="E72" s="432" t="s">
        <v>1135</v>
      </c>
      <c r="F72" s="416">
        <v>1762.9170390252702</v>
      </c>
      <c r="G72" s="416">
        <v>1215.2935516077296</v>
      </c>
      <c r="H72" s="430">
        <f t="shared" si="0"/>
        <v>0.68936514010873384</v>
      </c>
    </row>
    <row r="73" spans="4:8" ht="13.8" thickBot="1" x14ac:dyDescent="0.55000000000000004">
      <c r="D73" s="149" t="s">
        <v>1129</v>
      </c>
      <c r="E73" s="432" t="s">
        <v>1126</v>
      </c>
      <c r="F73" s="416">
        <v>12251.683975875736</v>
      </c>
      <c r="G73" s="416">
        <v>8559.3129319699419</v>
      </c>
      <c r="H73" s="430">
        <f t="shared" si="0"/>
        <v>0.69862338506475652</v>
      </c>
    </row>
    <row r="74" spans="4:8" ht="13.8" thickBot="1" x14ac:dyDescent="0.55000000000000004">
      <c r="D74" s="149" t="s">
        <v>1119</v>
      </c>
      <c r="E74" s="432" t="s">
        <v>1135</v>
      </c>
      <c r="F74" s="416">
        <v>3307.0035750175816</v>
      </c>
      <c r="G74" s="416">
        <v>2359.5385887671582</v>
      </c>
      <c r="H74" s="430">
        <f t="shared" si="0"/>
        <v>0.71349744118574587</v>
      </c>
    </row>
    <row r="75" spans="4:8" ht="13.8" thickBot="1" x14ac:dyDescent="0.55000000000000004">
      <c r="D75" s="149" t="s">
        <v>1130</v>
      </c>
      <c r="E75" s="432" t="s">
        <v>1126</v>
      </c>
      <c r="F75" s="416">
        <v>2035.7213291338696</v>
      </c>
      <c r="G75" s="416">
        <v>1502.1313331006318</v>
      </c>
      <c r="H75" s="430">
        <f t="shared" si="0"/>
        <v>0.73788652287675238</v>
      </c>
    </row>
    <row r="76" spans="4:8" ht="13.8" thickBot="1" x14ac:dyDescent="0.55000000000000004">
      <c r="D76" s="149" t="s">
        <v>1120</v>
      </c>
      <c r="E76" s="432" t="s">
        <v>1137</v>
      </c>
      <c r="F76" s="416">
        <v>129.43836593589251</v>
      </c>
      <c r="G76" s="416">
        <v>99.128999899919421</v>
      </c>
      <c r="H76" s="430">
        <f t="shared" si="0"/>
        <v>0.76583939532283241</v>
      </c>
    </row>
    <row r="77" spans="4:8" ht="13.8" thickBot="1" x14ac:dyDescent="0.55000000000000004">
      <c r="D77" s="149" t="s">
        <v>1121</v>
      </c>
      <c r="E77" s="432" t="s">
        <v>1126</v>
      </c>
      <c r="F77" s="416">
        <v>6774.2391958048484</v>
      </c>
      <c r="G77" s="416">
        <v>5344.1531270925989</v>
      </c>
      <c r="H77" s="430">
        <f t="shared" si="0"/>
        <v>0.78889347904959228</v>
      </c>
    </row>
    <row r="78" spans="4:8" ht="13.8" thickBot="1" x14ac:dyDescent="0.55000000000000004">
      <c r="D78" s="149" t="s">
        <v>1122</v>
      </c>
      <c r="E78" s="432" t="s">
        <v>1126</v>
      </c>
      <c r="F78" s="416">
        <v>1410.3000574668922</v>
      </c>
      <c r="G78" s="416">
        <v>1137.4120831438995</v>
      </c>
      <c r="H78" s="430">
        <f t="shared" si="0"/>
        <v>0.80650360688977074</v>
      </c>
    </row>
    <row r="79" spans="4:8" ht="13.8" thickBot="1" x14ac:dyDescent="0.55000000000000004">
      <c r="D79" s="149" t="s">
        <v>1123</v>
      </c>
      <c r="E79" s="432" t="s">
        <v>1126</v>
      </c>
      <c r="F79" s="416">
        <v>5581.3388819180072</v>
      </c>
      <c r="G79" s="416">
        <v>4576.6354054912708</v>
      </c>
      <c r="H79" s="430">
        <f t="shared" si="0"/>
        <v>0.81998880596881552</v>
      </c>
    </row>
    <row r="80" spans="4:8" ht="13.8" thickBot="1" x14ac:dyDescent="0.55000000000000004">
      <c r="D80" s="149" t="s">
        <v>1131</v>
      </c>
      <c r="E80" s="432" t="s">
        <v>1126</v>
      </c>
      <c r="F80" s="416">
        <v>693.50556278499323</v>
      </c>
      <c r="G80" s="416">
        <v>608.61397987532939</v>
      </c>
      <c r="H80" s="430">
        <f t="shared" si="0"/>
        <v>0.87759062440861391</v>
      </c>
    </row>
    <row r="81" spans="1:8" ht="13.8" thickBot="1" x14ac:dyDescent="0.55000000000000004">
      <c r="D81" s="149" t="s">
        <v>1132</v>
      </c>
      <c r="E81" s="432" t="s">
        <v>1126</v>
      </c>
      <c r="F81" s="416">
        <v>154.01007320669126</v>
      </c>
      <c r="G81" s="416">
        <v>137.07082346915288</v>
      </c>
      <c r="H81" s="430">
        <f t="shared" si="0"/>
        <v>0.89001206619254813</v>
      </c>
    </row>
    <row r="82" spans="1:8" ht="13.2" thickBot="1" x14ac:dyDescent="0.55000000000000004">
      <c r="D82" s="154" t="s">
        <v>112</v>
      </c>
      <c r="E82" s="424"/>
      <c r="F82" s="424">
        <f>SUM(F59:F81)</f>
        <v>85968.227726621306</v>
      </c>
      <c r="G82" s="424">
        <f>SUM(G59:G81)</f>
        <v>51218.611171191216</v>
      </c>
      <c r="H82" s="431">
        <f t="shared" si="0"/>
        <v>0.59578535612094086</v>
      </c>
    </row>
    <row r="83" spans="1:8" ht="13.2" thickBot="1" x14ac:dyDescent="0.55000000000000004">
      <c r="D83" s="743" t="s">
        <v>1250</v>
      </c>
      <c r="E83" s="744"/>
      <c r="F83" s="744"/>
      <c r="G83" s="744"/>
      <c r="H83" s="745"/>
    </row>
    <row r="84" spans="1:8" ht="13.8" thickBot="1" x14ac:dyDescent="0.55000000000000004">
      <c r="D84" s="149" t="s">
        <v>97</v>
      </c>
      <c r="E84" s="416"/>
      <c r="F84" s="416">
        <f>'12'!$H11/'12'!$M$12</f>
        <v>853.14139286484397</v>
      </c>
      <c r="G84" s="416">
        <f>E42/10^3</f>
        <v>441.10657850258735</v>
      </c>
      <c r="H84" s="430">
        <f t="shared" ref="H84:H86" si="1">G84/F84</f>
        <v>0.51703806917790496</v>
      </c>
    </row>
    <row r="85" spans="1:8" ht="13.8" thickBot="1" x14ac:dyDescent="0.55000000000000004">
      <c r="D85" s="149" t="s">
        <v>637</v>
      </c>
      <c r="E85" s="416"/>
      <c r="F85" s="416">
        <f>'12'!$H12/'12'!$M$12</f>
        <v>7.5059720809878003</v>
      </c>
      <c r="G85" s="416">
        <f>E50/10^3</f>
        <v>4.480382486089864</v>
      </c>
      <c r="H85" s="430">
        <f t="shared" si="1"/>
        <v>0.59690902627234887</v>
      </c>
    </row>
    <row r="86" spans="1:8" ht="13.8" thickBot="1" x14ac:dyDescent="0.55000000000000004">
      <c r="D86" s="149" t="s">
        <v>112</v>
      </c>
      <c r="E86" s="416"/>
      <c r="F86" s="424">
        <f>SUM(F84:F85)</f>
        <v>860.64736494583178</v>
      </c>
      <c r="G86" s="424">
        <f>SUM(G84:G85)</f>
        <v>445.58696098867722</v>
      </c>
      <c r="H86" s="431">
        <f t="shared" si="1"/>
        <v>0.51773464851858575</v>
      </c>
    </row>
    <row r="88" spans="1:8" x14ac:dyDescent="0.5">
      <c r="A88" s="70">
        <f>IF(SUM(E88:I88)&lt;&gt;0,1,0)</f>
        <v>0</v>
      </c>
      <c r="D88" s="12" t="s">
        <v>116</v>
      </c>
      <c r="E88" s="70"/>
      <c r="F88" s="70">
        <f>IF(ROUND('[8]Total RAB roll forward'!$G$201-F86,2)&lt;&gt;0,1,0)</f>
        <v>0</v>
      </c>
      <c r="G88" s="70">
        <f>IF(ROUND(E51/10^3-G86,2)&lt;&gt;0,1,0)</f>
        <v>0</v>
      </c>
    </row>
    <row r="89" spans="1:8" x14ac:dyDescent="0.5">
      <c r="F89" s="273"/>
    </row>
    <row r="90" spans="1:8" s="139" customFormat="1" x14ac:dyDescent="0.35">
      <c r="B90" s="139" t="s">
        <v>1164</v>
      </c>
    </row>
    <row r="91" spans="1:8" ht="13.2" thickBot="1" x14ac:dyDescent="0.55000000000000004"/>
    <row r="92" spans="1:8" ht="39" thickBot="1" x14ac:dyDescent="0.55000000000000004">
      <c r="D92" s="427" t="s">
        <v>1138</v>
      </c>
      <c r="E92" s="156" t="s">
        <v>1139</v>
      </c>
      <c r="F92" s="156" t="s">
        <v>1140</v>
      </c>
      <c r="G92" s="156" t="s">
        <v>1141</v>
      </c>
    </row>
    <row r="93" spans="1:8" ht="13.8" thickBot="1" x14ac:dyDescent="0.55000000000000004">
      <c r="D93" s="149" t="s">
        <v>640</v>
      </c>
      <c r="E93" s="430">
        <f>[14]Output_RFM!G42</f>
        <v>0.22113669126009367</v>
      </c>
      <c r="F93" s="430">
        <f>[14]Output_RFM!F42</f>
        <v>0.34603856821771029</v>
      </c>
      <c r="G93" s="430">
        <f>E93-F93</f>
        <v>-0.12490187695761662</v>
      </c>
    </row>
    <row r="94" spans="1:8" ht="13.8" thickBot="1" x14ac:dyDescent="0.55000000000000004">
      <c r="D94" s="149" t="s">
        <v>1018</v>
      </c>
      <c r="E94" s="430">
        <f>[14]Output_RFM!G43</f>
        <v>0.53495134947550105</v>
      </c>
      <c r="F94" s="430">
        <f>[14]Output_RFM!F43</f>
        <v>0.26331572542468989</v>
      </c>
      <c r="G94" s="430">
        <f t="shared" ref="G94:G113" si="2">E94-F94</f>
        <v>0.27163562405081115</v>
      </c>
    </row>
    <row r="95" spans="1:8" ht="13.8" thickBot="1" x14ac:dyDescent="0.55000000000000004">
      <c r="D95" s="149" t="s">
        <v>1019</v>
      </c>
      <c r="E95" s="430">
        <f>[14]Output_RFM!G44</f>
        <v>6.3505151184540823E-2</v>
      </c>
      <c r="F95" s="430">
        <f>[14]Output_RFM!F44</f>
        <v>0.19645701320949965</v>
      </c>
      <c r="G95" s="430">
        <f t="shared" si="2"/>
        <v>-0.13295186202495884</v>
      </c>
    </row>
    <row r="96" spans="1:8" ht="13.8" thickBot="1" x14ac:dyDescent="0.55000000000000004">
      <c r="D96" s="149" t="s">
        <v>1020</v>
      </c>
      <c r="E96" s="430">
        <f>[14]Output_RFM!G45</f>
        <v>2.6976757741371963E-3</v>
      </c>
      <c r="F96" s="430">
        <f>[14]Output_RFM!F45</f>
        <v>2.3168463036704601E-4</v>
      </c>
      <c r="G96" s="430">
        <f t="shared" si="2"/>
        <v>2.4659911437701501E-3</v>
      </c>
    </row>
    <row r="97" spans="4:7" ht="13.8" thickBot="1" x14ac:dyDescent="0.55000000000000004">
      <c r="D97" s="149" t="s">
        <v>1021</v>
      </c>
      <c r="E97" s="430">
        <f>[14]Output_RFM!G46</f>
        <v>9.5197279903513163E-2</v>
      </c>
      <c r="F97" s="430">
        <f>[14]Output_RFM!F46</f>
        <v>9.6166060831835529E-2</v>
      </c>
      <c r="G97" s="430">
        <f t="shared" si="2"/>
        <v>-9.6878092832236584E-4</v>
      </c>
    </row>
    <row r="98" spans="4:7" ht="13.8" thickBot="1" x14ac:dyDescent="0.55000000000000004">
      <c r="D98" s="149" t="s">
        <v>1022</v>
      </c>
      <c r="E98" s="430">
        <f>[14]Output_RFM!G47</f>
        <v>3.4654438615613105E-2</v>
      </c>
      <c r="F98" s="430">
        <f>[14]Output_RFM!F47</f>
        <v>1.7554811273355311E-2</v>
      </c>
      <c r="G98" s="430">
        <f t="shared" si="2"/>
        <v>1.7099627342257794E-2</v>
      </c>
    </row>
    <row r="99" spans="4:7" ht="13.8" thickBot="1" x14ac:dyDescent="0.55000000000000004">
      <c r="D99" s="149" t="s">
        <v>650</v>
      </c>
      <c r="E99" s="430">
        <f>[14]Output_RFM!G48</f>
        <v>9.7724614504805588E-3</v>
      </c>
      <c r="F99" s="430">
        <f>[14]Output_RFM!F48</f>
        <v>1.1212752837726058E-2</v>
      </c>
      <c r="G99" s="430">
        <f t="shared" si="2"/>
        <v>-1.4402913872454993E-3</v>
      </c>
    </row>
    <row r="100" spans="4:7" ht="13.8" thickBot="1" x14ac:dyDescent="0.55000000000000004">
      <c r="D100" s="149" t="s">
        <v>652</v>
      </c>
      <c r="E100" s="430">
        <f>[14]Output_RFM!G49</f>
        <v>1.3164279113107836E-3</v>
      </c>
      <c r="F100" s="430">
        <f>[14]Output_RFM!F49</f>
        <v>1.7011142292111057E-3</v>
      </c>
      <c r="G100" s="430">
        <f t="shared" si="2"/>
        <v>-3.8468631790032214E-4</v>
      </c>
    </row>
    <row r="101" spans="4:7" ht="13.8" thickBot="1" x14ac:dyDescent="0.55000000000000004">
      <c r="D101" s="149" t="s">
        <v>654</v>
      </c>
      <c r="E101" s="430">
        <f>[14]Output_RFM!G50</f>
        <v>1.1935629737994172E-2</v>
      </c>
      <c r="F101" s="430">
        <f>[14]Output_RFM!F50</f>
        <v>7.0367273856301081E-3</v>
      </c>
      <c r="G101" s="430">
        <f t="shared" si="2"/>
        <v>4.8989023523640643E-3</v>
      </c>
    </row>
    <row r="102" spans="4:7" ht="13.8" thickBot="1" x14ac:dyDescent="0.55000000000000004">
      <c r="D102" s="149" t="s">
        <v>1023</v>
      </c>
      <c r="E102" s="430">
        <f>[14]Output_RFM!G51</f>
        <v>8.6919011081619546E-4</v>
      </c>
      <c r="F102" s="430">
        <f>[14]Output_RFM!F51</f>
        <v>4.0052702550476348E-2</v>
      </c>
      <c r="G102" s="430">
        <f t="shared" si="2"/>
        <v>-3.9183512439660152E-2</v>
      </c>
    </row>
    <row r="103" spans="4:7" ht="13.8" thickBot="1" x14ac:dyDescent="0.55000000000000004">
      <c r="D103" s="149" t="s">
        <v>657</v>
      </c>
      <c r="E103" s="430">
        <f>[14]Output_RFM!G52</f>
        <v>1.2529917269891717E-3</v>
      </c>
      <c r="F103" s="430">
        <f>[14]Output_RFM!F52</f>
        <v>1.2826697358141398E-3</v>
      </c>
      <c r="G103" s="430">
        <f t="shared" si="2"/>
        <v>-2.9678008824968096E-5</v>
      </c>
    </row>
    <row r="104" spans="4:7" ht="13.8" thickBot="1" x14ac:dyDescent="0.55000000000000004">
      <c r="D104" s="149" t="s">
        <v>107</v>
      </c>
      <c r="E104" s="430">
        <f>[14]Output_RFM!G53</f>
        <v>9.4983144644021817E-4</v>
      </c>
      <c r="F104" s="430">
        <f>[14]Output_RFM!F53</f>
        <v>7.352012921805469E-4</v>
      </c>
      <c r="G104" s="430">
        <f t="shared" si="2"/>
        <v>2.1463015425967128E-4</v>
      </c>
    </row>
    <row r="105" spans="4:7" ht="13.8" thickBot="1" x14ac:dyDescent="0.55000000000000004">
      <c r="D105" s="149" t="s">
        <v>108</v>
      </c>
      <c r="E105" s="430">
        <f>[14]Output_RFM!G54</f>
        <v>2.5867869367306368E-4</v>
      </c>
      <c r="F105" s="430">
        <f>[14]Output_RFM!F54</f>
        <v>6.2058328066373459E-5</v>
      </c>
      <c r="G105" s="430">
        <f t="shared" si="2"/>
        <v>1.9662036560669021E-4</v>
      </c>
    </row>
    <row r="106" spans="4:7" ht="13.8" thickBot="1" x14ac:dyDescent="0.55000000000000004">
      <c r="D106" s="149" t="s">
        <v>1103</v>
      </c>
      <c r="E106" s="430">
        <f>[14]Output_RFM!G55</f>
        <v>1.1447190156131184E-2</v>
      </c>
      <c r="F106" s="430">
        <f>[14]Output_RFM!F55</f>
        <v>9.4316005058736833E-3</v>
      </c>
      <c r="G106" s="430">
        <f t="shared" si="2"/>
        <v>2.0155896502575005E-3</v>
      </c>
    </row>
    <row r="107" spans="4:7" ht="13.8" thickBot="1" x14ac:dyDescent="0.55000000000000004">
      <c r="D107" s="149" t="s">
        <v>662</v>
      </c>
      <c r="E107" s="430">
        <f>[14]Output_RFM!G56</f>
        <v>7.977835479142225E-3</v>
      </c>
      <c r="F107" s="430">
        <f>[14]Output_RFM!F56</f>
        <v>4.6756293507120199E-3</v>
      </c>
      <c r="G107" s="430">
        <f t="shared" si="2"/>
        <v>3.3022061284302051E-3</v>
      </c>
    </row>
    <row r="108" spans="4:7" ht="13.8" thickBot="1" x14ac:dyDescent="0.55000000000000004">
      <c r="D108" s="149" t="s">
        <v>664</v>
      </c>
      <c r="E108" s="430">
        <f>[14]Output_RFM!G57</f>
        <v>2.077177073623464E-3</v>
      </c>
      <c r="F108" s="430">
        <f>[14]Output_RFM!F57</f>
        <v>4.0456801968518875E-3</v>
      </c>
      <c r="G108" s="430">
        <f t="shared" si="2"/>
        <v>-1.9685031232284235E-3</v>
      </c>
    </row>
    <row r="109" spans="4:7" ht="13.8" thickBot="1" x14ac:dyDescent="0.55000000000000004">
      <c r="D109" s="149" t="s">
        <v>666</v>
      </c>
      <c r="E109" s="430">
        <f>[14]Output_RFM!G58</f>
        <v>0</v>
      </c>
      <c r="F109" s="430">
        <f>[14]Output_RFM!F58</f>
        <v>0</v>
      </c>
      <c r="G109" s="430">
        <f t="shared" si="2"/>
        <v>0</v>
      </c>
    </row>
    <row r="110" spans="4:7" ht="13.8" thickBot="1" x14ac:dyDescent="0.55000000000000004">
      <c r="D110" s="149" t="s">
        <v>907</v>
      </c>
      <c r="E110" s="430">
        <f>[14]Output_RFM!G59</f>
        <v>0</v>
      </c>
      <c r="F110" s="430">
        <f>[14]Output_RFM!F59</f>
        <v>0</v>
      </c>
      <c r="G110" s="430">
        <f t="shared" si="2"/>
        <v>0</v>
      </c>
    </row>
    <row r="111" spans="4:7" ht="13.8" thickBot="1" x14ac:dyDescent="0.55000000000000004">
      <c r="D111" s="149" t="s">
        <v>1099</v>
      </c>
      <c r="E111" s="430">
        <f>[14]Output_RFM!G60</f>
        <v>0</v>
      </c>
      <c r="F111" s="430">
        <f>[14]Output_RFM!F60</f>
        <v>0</v>
      </c>
      <c r="G111" s="430">
        <f t="shared" si="2"/>
        <v>0</v>
      </c>
    </row>
    <row r="112" spans="4:7" ht="27.3" thickBot="1" x14ac:dyDescent="0.55000000000000004">
      <c r="D112" s="149" t="s">
        <v>1101</v>
      </c>
      <c r="E112" s="430">
        <f>[14]Output_RFM!G61</f>
        <v>0</v>
      </c>
      <c r="F112" s="430">
        <f>[14]Output_RFM!F61</f>
        <v>0</v>
      </c>
      <c r="G112" s="430">
        <f t="shared" si="2"/>
        <v>0</v>
      </c>
    </row>
    <row r="113" spans="2:7" ht="13.8" thickBot="1" x14ac:dyDescent="0.55000000000000004">
      <c r="D113" s="154" t="s">
        <v>112</v>
      </c>
      <c r="E113" s="430">
        <f>SUM(E93:E112)</f>
        <v>1</v>
      </c>
      <c r="F113" s="430">
        <f>SUM(F93:F112)</f>
        <v>0.99999999999999989</v>
      </c>
      <c r="G113" s="430">
        <f t="shared" si="2"/>
        <v>0</v>
      </c>
    </row>
    <row r="115" spans="2:7" s="139" customFormat="1" x14ac:dyDescent="0.35">
      <c r="B115" s="139" t="s">
        <v>1160</v>
      </c>
    </row>
    <row r="116" spans="2:7" ht="13.2" thickBot="1" x14ac:dyDescent="0.55000000000000004"/>
    <row r="117" spans="2:7" ht="26.1" thickBot="1" x14ac:dyDescent="0.55000000000000004">
      <c r="D117" s="156" t="s">
        <v>310</v>
      </c>
      <c r="E117" s="429" t="s">
        <v>312</v>
      </c>
      <c r="F117" s="429" t="s">
        <v>311</v>
      </c>
    </row>
    <row r="118" spans="2:7" ht="13.8" thickBot="1" x14ac:dyDescent="0.55000000000000004">
      <c r="D118" s="149" t="s">
        <v>640</v>
      </c>
      <c r="E118" s="416">
        <f>[14]Output_RFM!F11</f>
        <v>30.601086428587969</v>
      </c>
      <c r="F118" s="416">
        <f>[14]Output_RFM!H11</f>
        <v>40</v>
      </c>
    </row>
    <row r="119" spans="2:7" ht="13.8" thickBot="1" x14ac:dyDescent="0.55000000000000004">
      <c r="D119" s="149" t="s">
        <v>1018</v>
      </c>
      <c r="E119" s="416">
        <f>[14]Output_RFM!F12</f>
        <v>30.706436602944315</v>
      </c>
      <c r="F119" s="416">
        <f>[14]Output_RFM!H12</f>
        <v>47.5</v>
      </c>
    </row>
    <row r="120" spans="2:7" ht="13.8" thickBot="1" x14ac:dyDescent="0.55000000000000004">
      <c r="D120" s="149" t="s">
        <v>1019</v>
      </c>
      <c r="E120" s="416">
        <f>[14]Output_RFM!F13</f>
        <v>42.233932877558672</v>
      </c>
      <c r="F120" s="416">
        <f>[14]Output_RFM!H13</f>
        <v>47.5</v>
      </c>
    </row>
    <row r="121" spans="2:7" ht="13.8" thickBot="1" x14ac:dyDescent="0.55000000000000004">
      <c r="D121" s="149" t="s">
        <v>1020</v>
      </c>
      <c r="E121" s="416">
        <f>[14]Output_RFM!F14</f>
        <v>36.025758746027485</v>
      </c>
      <c r="F121" s="416">
        <f>[14]Output_RFM!H14</f>
        <v>40</v>
      </c>
    </row>
    <row r="122" spans="2:7" ht="13.8" thickBot="1" x14ac:dyDescent="0.55000000000000004">
      <c r="D122" s="149" t="s">
        <v>1021</v>
      </c>
      <c r="E122" s="416">
        <f>[14]Output_RFM!F15</f>
        <v>26.062436919189398</v>
      </c>
      <c r="F122" s="416">
        <f>[14]Output_RFM!H15</f>
        <v>40</v>
      </c>
    </row>
    <row r="123" spans="2:7" ht="13.8" thickBot="1" x14ac:dyDescent="0.55000000000000004">
      <c r="D123" s="149" t="s">
        <v>1022</v>
      </c>
      <c r="E123" s="416">
        <f>[14]Output_RFM!F16</f>
        <v>31.908904489277752</v>
      </c>
      <c r="F123" s="416">
        <f>[14]Output_RFM!H16</f>
        <v>40</v>
      </c>
    </row>
    <row r="124" spans="2:7" ht="13.8" thickBot="1" x14ac:dyDescent="0.55000000000000004">
      <c r="D124" s="149" t="s">
        <v>650</v>
      </c>
      <c r="E124" s="416">
        <f>[14]Output_RFM!F17</f>
        <v>7.2898679751095408</v>
      </c>
      <c r="F124" s="416">
        <f>[14]Output_RFM!H17</f>
        <v>10</v>
      </c>
    </row>
    <row r="125" spans="2:7" ht="13.8" thickBot="1" x14ac:dyDescent="0.55000000000000004">
      <c r="D125" s="149" t="s">
        <v>652</v>
      </c>
      <c r="E125" s="416">
        <f>[14]Output_RFM!F18</f>
        <v>8.3856082573975232</v>
      </c>
      <c r="F125" s="416">
        <f>[14]Output_RFM!H18</f>
        <v>10</v>
      </c>
    </row>
    <row r="126" spans="2:7" ht="13.8" thickBot="1" x14ac:dyDescent="0.55000000000000004">
      <c r="D126" s="149" t="s">
        <v>654</v>
      </c>
      <c r="E126" s="416">
        <f>[14]Output_RFM!F19</f>
        <v>10.903450277917518</v>
      </c>
      <c r="F126" s="416">
        <f>[14]Output_RFM!H19</f>
        <v>10</v>
      </c>
    </row>
    <row r="127" spans="2:7" ht="13.8" thickBot="1" x14ac:dyDescent="0.55000000000000004">
      <c r="D127" s="149" t="s">
        <v>1023</v>
      </c>
      <c r="E127" s="416" t="str">
        <f>[14]Output_RFM!F20</f>
        <v>n/a</v>
      </c>
      <c r="F127" s="416" t="str">
        <f>[14]Output_RFM!H20</f>
        <v>n/a</v>
      </c>
    </row>
    <row r="128" spans="2:7" ht="13.8" thickBot="1" x14ac:dyDescent="0.55000000000000004">
      <c r="D128" s="149" t="s">
        <v>657</v>
      </c>
      <c r="E128" s="416">
        <f>[14]Output_RFM!F21</f>
        <v>9.7948224415172831</v>
      </c>
      <c r="F128" s="416">
        <f>[14]Output_RFM!H21</f>
        <v>20</v>
      </c>
    </row>
    <row r="129" spans="2:6" ht="13.8" thickBot="1" x14ac:dyDescent="0.55000000000000004">
      <c r="D129" s="149" t="s">
        <v>107</v>
      </c>
      <c r="E129" s="416">
        <f>[14]Output_RFM!F22</f>
        <v>2.6320006080456544</v>
      </c>
      <c r="F129" s="416">
        <f>[14]Output_RFM!H22</f>
        <v>4</v>
      </c>
    </row>
    <row r="130" spans="2:6" ht="13.8" thickBot="1" x14ac:dyDescent="0.55000000000000004">
      <c r="D130" s="149" t="s">
        <v>108</v>
      </c>
      <c r="E130" s="416">
        <f>[14]Output_RFM!F23</f>
        <v>4.6790799096016791</v>
      </c>
      <c r="F130" s="416">
        <f>[14]Output_RFM!H23</f>
        <v>5</v>
      </c>
    </row>
    <row r="131" spans="2:6" ht="13.8" thickBot="1" x14ac:dyDescent="0.55000000000000004">
      <c r="D131" s="149" t="s">
        <v>1024</v>
      </c>
      <c r="E131" s="416">
        <f>[14]Output_RFM!F24</f>
        <v>8.183666897265617</v>
      </c>
      <c r="F131" s="416">
        <f>[14]Output_RFM!H24</f>
        <v>10</v>
      </c>
    </row>
    <row r="132" spans="2:6" ht="13.8" thickBot="1" x14ac:dyDescent="0.55000000000000004">
      <c r="D132" s="149" t="s">
        <v>662</v>
      </c>
      <c r="E132" s="416">
        <f>[14]Output_RFM!F25</f>
        <v>17.610583340195934</v>
      </c>
      <c r="F132" s="416">
        <f>[14]Output_RFM!H25</f>
        <v>25</v>
      </c>
    </row>
    <row r="133" spans="2:6" ht="13.8" thickBot="1" x14ac:dyDescent="0.55000000000000004">
      <c r="D133" s="149" t="s">
        <v>664</v>
      </c>
      <c r="E133" s="416">
        <f>[14]Output_RFM!F26</f>
        <v>24.506849315068493</v>
      </c>
      <c r="F133" s="416">
        <f>[14]Output_RFM!H26</f>
        <v>25</v>
      </c>
    </row>
    <row r="134" spans="2:6" ht="13.8" thickBot="1" x14ac:dyDescent="0.55000000000000004">
      <c r="D134" s="149" t="s">
        <v>666</v>
      </c>
      <c r="E134" s="416">
        <f>[14]Output_RFM!F27</f>
        <v>0</v>
      </c>
      <c r="F134" s="416">
        <f>[14]Output_RFM!H27</f>
        <v>10</v>
      </c>
    </row>
    <row r="135" spans="2:6" ht="13.8" thickBot="1" x14ac:dyDescent="0.55000000000000004">
      <c r="D135" s="149" t="s">
        <v>907</v>
      </c>
      <c r="E135" s="416">
        <f>[14]Output_RFM!F28</f>
        <v>0</v>
      </c>
      <c r="F135" s="416">
        <f>[14]Output_RFM!H28</f>
        <v>15</v>
      </c>
    </row>
    <row r="136" spans="2:6" ht="13.8" thickBot="1" x14ac:dyDescent="0.55000000000000004">
      <c r="D136" s="149" t="s">
        <v>1025</v>
      </c>
      <c r="E136" s="416">
        <f>[14]Output_RFM!F29</f>
        <v>0</v>
      </c>
      <c r="F136" s="416">
        <f>[14]Output_RFM!H29</f>
        <v>10</v>
      </c>
    </row>
    <row r="137" spans="2:6" ht="27.3" thickBot="1" x14ac:dyDescent="0.55000000000000004">
      <c r="D137" s="149" t="s">
        <v>1050</v>
      </c>
      <c r="E137" s="416">
        <f>[14]Output_RFM!F30</f>
        <v>0</v>
      </c>
      <c r="F137" s="416">
        <f>[14]Output_RFM!H30</f>
        <v>5</v>
      </c>
    </row>
    <row r="139" spans="2:6" s="139" customFormat="1" x14ac:dyDescent="0.35">
      <c r="B139" s="139" t="s">
        <v>32</v>
      </c>
    </row>
    <row r="140" spans="2:6" x14ac:dyDescent="0.5">
      <c r="B140" s="226" t="s">
        <v>548</v>
      </c>
    </row>
  </sheetData>
  <mergeCells count="2">
    <mergeCell ref="D58:H58"/>
    <mergeCell ref="D83:H83"/>
  </mergeCells>
  <conditionalFormatting sqref="B2">
    <cfRule type="cellIs" dxfId="13" priority="1" operator="notEqual">
      <formula>"No Errors Found"</formula>
    </cfRule>
  </conditionalFormatting>
  <hyperlinks>
    <hyperlink ref="B3:D3" location="Cover!A1" display="Go to Cover Sheet"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FFFF00"/>
  </sheetPr>
  <dimension ref="A1:T725"/>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2" width="4.1328125" style="137" customWidth="1"/>
    <col min="3" max="3" width="39" style="137" customWidth="1"/>
    <col min="4" max="12" width="12.46484375" style="137" customWidth="1"/>
    <col min="13" max="13" width="12.796875" style="137" customWidth="1"/>
    <col min="14" max="15" width="12.46484375" style="137" customWidth="1"/>
    <col min="16" max="16" width="10.1328125" style="137" customWidth="1"/>
    <col min="17" max="19" width="12.33203125" style="137" customWidth="1"/>
    <col min="20" max="16384" width="9.1328125" style="137"/>
  </cols>
  <sheetData>
    <row r="1" spans="1:7" s="635" customFormat="1" ht="20.399999999999999" x14ac:dyDescent="0.7">
      <c r="A1" s="633">
        <f>IF(SUM($A6:$A725)&gt;0,1,0)</f>
        <v>0</v>
      </c>
      <c r="B1" s="634" t="s">
        <v>1376</v>
      </c>
      <c r="G1" s="641" t="s">
        <v>1735</v>
      </c>
    </row>
    <row r="2" spans="1:7" s="636" customFormat="1" ht="10.199999999999999" x14ac:dyDescent="0.35">
      <c r="B2" s="637" t="str">
        <f>Title_Msg</f>
        <v>No Errors Found</v>
      </c>
    </row>
    <row r="3" spans="1:7" s="636" customFormat="1" ht="12.3" x14ac:dyDescent="0.35">
      <c r="B3" s="638" t="s">
        <v>51</v>
      </c>
      <c r="C3" s="638"/>
      <c r="D3" s="638"/>
      <c r="E3" s="639"/>
    </row>
    <row r="4" spans="1:7" s="636" customFormat="1" ht="12.3" x14ac:dyDescent="0.35">
      <c r="B4" s="640" t="str">
        <f>Model_Name</f>
        <v>Power and Water Corporation (PWC) - Regulatory Proposal Tables and Charts</v>
      </c>
    </row>
    <row r="5" spans="1:7" s="635" customFormat="1" x14ac:dyDescent="0.5"/>
    <row r="6" spans="1:7" s="139" customFormat="1" x14ac:dyDescent="0.35">
      <c r="B6" s="139" t="s">
        <v>1433</v>
      </c>
    </row>
    <row r="8" spans="1:7" ht="15" x14ac:dyDescent="0.5">
      <c r="C8" s="199"/>
    </row>
    <row r="9" spans="1:7" ht="15" x14ac:dyDescent="0.5">
      <c r="C9" s="200"/>
    </row>
    <row r="44" spans="2:9" s="139" customFormat="1" x14ac:dyDescent="0.35">
      <c r="B44" s="139" t="s">
        <v>1418</v>
      </c>
    </row>
    <row r="45" spans="2:9" ht="13.2" thickBot="1" x14ac:dyDescent="0.55000000000000004"/>
    <row r="46" spans="2:9" ht="13.8" thickBot="1" x14ac:dyDescent="0.55000000000000004">
      <c r="C46" s="205"/>
      <c r="D46" s="206" t="s">
        <v>236</v>
      </c>
      <c r="E46" s="206" t="s">
        <v>237</v>
      </c>
      <c r="F46" s="206" t="s">
        <v>238</v>
      </c>
      <c r="G46" s="206" t="s">
        <v>239</v>
      </c>
      <c r="H46" s="206" t="s">
        <v>240</v>
      </c>
      <c r="I46" s="206" t="s">
        <v>112</v>
      </c>
    </row>
    <row r="47" spans="2:9" ht="13.8" thickBot="1" x14ac:dyDescent="0.55000000000000004">
      <c r="C47" s="208" t="s">
        <v>286</v>
      </c>
      <c r="D47" s="266">
        <f>'10'!E56</f>
        <v>34.922118004866356</v>
      </c>
      <c r="E47" s="266">
        <f>'10'!F56</f>
        <v>38.514520475254891</v>
      </c>
      <c r="F47" s="266">
        <f>'10'!G56</f>
        <v>33.444013978344806</v>
      </c>
      <c r="G47" s="266">
        <f>'10'!H56</f>
        <v>22.006857340073573</v>
      </c>
      <c r="H47" s="266">
        <f>'10'!I56</f>
        <v>19.710304596256083</v>
      </c>
      <c r="I47" s="266">
        <f t="shared" ref="I47:I55" si="0">SUM(D47:H47)</f>
        <v>148.59781439479571</v>
      </c>
    </row>
    <row r="48" spans="2:9" ht="13.8" thickBot="1" x14ac:dyDescent="0.55000000000000004">
      <c r="C48" s="208" t="s">
        <v>287</v>
      </c>
      <c r="D48" s="266">
        <f>'10'!E57</f>
        <v>7.3949044268918529</v>
      </c>
      <c r="E48" s="266">
        <f>'10'!F57</f>
        <v>5.7559834187772951</v>
      </c>
      <c r="F48" s="266">
        <f>'10'!G57</f>
        <v>15.456394555574914</v>
      </c>
      <c r="G48" s="266">
        <f>'10'!H57</f>
        <v>17.585137907500812</v>
      </c>
      <c r="H48" s="266">
        <f>'10'!I57</f>
        <v>14.397970489733808</v>
      </c>
      <c r="I48" s="266">
        <f t="shared" si="0"/>
        <v>60.59039079847868</v>
      </c>
    </row>
    <row r="49" spans="1:9" ht="13.8" thickBot="1" x14ac:dyDescent="0.55000000000000004">
      <c r="C49" s="208" t="s">
        <v>288</v>
      </c>
      <c r="D49" s="266">
        <f>'10'!E58</f>
        <v>12.647893670135225</v>
      </c>
      <c r="E49" s="266">
        <f>'10'!F58</f>
        <v>13.378655156962429</v>
      </c>
      <c r="F49" s="266">
        <f>'10'!G58</f>
        <v>13.564976556766927</v>
      </c>
      <c r="G49" s="266">
        <f>'10'!H58</f>
        <v>11.49268757276556</v>
      </c>
      <c r="H49" s="266">
        <f>'10'!I58</f>
        <v>11.589754799327023</v>
      </c>
      <c r="I49" s="266">
        <f t="shared" si="0"/>
        <v>62.673967755957172</v>
      </c>
    </row>
    <row r="50" spans="1:9" ht="13.8" thickBot="1" x14ac:dyDescent="0.55000000000000004">
      <c r="C50" s="208" t="s">
        <v>289</v>
      </c>
      <c r="D50" s="266">
        <f>'10'!E59</f>
        <v>10.761451866960643</v>
      </c>
      <c r="E50" s="266">
        <f>'10'!F59</f>
        <v>9.4308482188013425</v>
      </c>
      <c r="F50" s="266">
        <f>'10'!G59</f>
        <v>7.3596957973945534</v>
      </c>
      <c r="G50" s="266">
        <f>'10'!H59</f>
        <v>4.8917166176201921</v>
      </c>
      <c r="H50" s="266">
        <f>'10'!I59</f>
        <v>5.0514562576843405</v>
      </c>
      <c r="I50" s="266">
        <f t="shared" si="0"/>
        <v>37.495168758461077</v>
      </c>
    </row>
    <row r="51" spans="1:9" ht="13.8" thickBot="1" x14ac:dyDescent="0.55000000000000004">
      <c r="C51" s="208" t="s">
        <v>290</v>
      </c>
      <c r="D51" s="266">
        <f>'10'!E60</f>
        <v>27.889236896981956</v>
      </c>
      <c r="E51" s="266">
        <f>'10'!F60</f>
        <v>5.5668725227547871</v>
      </c>
      <c r="F51" s="266">
        <f>'10'!G60</f>
        <v>24.961776445441352</v>
      </c>
      <c r="G51" s="266">
        <f>'10'!H60</f>
        <v>5.6597478223745821</v>
      </c>
      <c r="H51" s="266">
        <f>'10'!I60</f>
        <v>5.3490955046384308</v>
      </c>
      <c r="I51" s="266">
        <f t="shared" si="0"/>
        <v>69.426729192191104</v>
      </c>
    </row>
    <row r="52" spans="1:9" ht="13.8" thickBot="1" x14ac:dyDescent="0.55000000000000004">
      <c r="C52" s="208" t="s">
        <v>158</v>
      </c>
      <c r="D52" s="266">
        <f>'10'!E61</f>
        <v>13.012869520178295</v>
      </c>
      <c r="E52" s="266">
        <f>'10'!F61</f>
        <v>13.19114455870012</v>
      </c>
      <c r="F52" s="266">
        <f>'10'!G61</f>
        <v>13.393456838449179</v>
      </c>
      <c r="G52" s="266">
        <f>'10'!H61</f>
        <v>13.557488562506313</v>
      </c>
      <c r="H52" s="266">
        <f>'10'!I61</f>
        <v>13.705951532618363</v>
      </c>
      <c r="I52" s="266">
        <f t="shared" si="0"/>
        <v>66.860911012452277</v>
      </c>
    </row>
    <row r="53" spans="1:9" ht="13.2" thickBot="1" x14ac:dyDescent="0.55000000000000004">
      <c r="C53" s="207" t="s">
        <v>291</v>
      </c>
      <c r="D53" s="267">
        <f t="shared" ref="D53:I53" si="1">SUM(D47:D52)</f>
        <v>106.62847438601433</v>
      </c>
      <c r="E53" s="267">
        <f t="shared" si="1"/>
        <v>85.838024351250866</v>
      </c>
      <c r="F53" s="267">
        <f t="shared" si="1"/>
        <v>108.18031417197174</v>
      </c>
      <c r="G53" s="267">
        <f t="shared" si="1"/>
        <v>75.193635822841031</v>
      </c>
      <c r="H53" s="267">
        <f t="shared" si="1"/>
        <v>69.804533180258048</v>
      </c>
      <c r="I53" s="267">
        <f t="shared" si="1"/>
        <v>445.64498191233599</v>
      </c>
    </row>
    <row r="54" spans="1:9" ht="14.1" thickBot="1" x14ac:dyDescent="0.55000000000000004">
      <c r="C54" s="513" t="s">
        <v>1274</v>
      </c>
      <c r="D54" s="266">
        <f>'10'!E63</f>
        <v>-12.647893670135224</v>
      </c>
      <c r="E54" s="266">
        <f>'10'!F63</f>
        <v>-13.378655156962431</v>
      </c>
      <c r="F54" s="266">
        <f>'10'!G63</f>
        <v>-13.564976556766926</v>
      </c>
      <c r="G54" s="266">
        <f>'10'!H63</f>
        <v>-11.49268757276556</v>
      </c>
      <c r="H54" s="266">
        <f>'10'!I63</f>
        <v>-11.589754799327023</v>
      </c>
      <c r="I54" s="266">
        <f t="shared" si="0"/>
        <v>-62.673967755957165</v>
      </c>
    </row>
    <row r="55" spans="1:9" ht="14.1" thickBot="1" x14ac:dyDescent="0.55000000000000004">
      <c r="C55" s="513" t="s">
        <v>1275</v>
      </c>
      <c r="D55" s="266">
        <f>-'[2]PTRM input'!G105</f>
        <v>0</v>
      </c>
      <c r="E55" s="266">
        <f>-'[2]PTRM input'!H105</f>
        <v>0</v>
      </c>
      <c r="F55" s="266">
        <f>-'[2]PTRM input'!I105</f>
        <v>0</v>
      </c>
      <c r="G55" s="266">
        <f>-'[2]PTRM input'!J105</f>
        <v>0</v>
      </c>
      <c r="H55" s="266">
        <f>-'[2]PTRM input'!K105</f>
        <v>0</v>
      </c>
      <c r="I55" s="266">
        <f t="shared" si="0"/>
        <v>0</v>
      </c>
    </row>
    <row r="56" spans="1:9" ht="13.2" thickBot="1" x14ac:dyDescent="0.55000000000000004">
      <c r="C56" s="207" t="s">
        <v>421</v>
      </c>
      <c r="D56" s="267">
        <f>SUM(D53:D55)</f>
        <v>93.980580715879114</v>
      </c>
      <c r="E56" s="267">
        <f t="shared" ref="E56:I56" si="2">SUM(E53:E55)</f>
        <v>72.459369194288428</v>
      </c>
      <c r="F56" s="267">
        <f t="shared" si="2"/>
        <v>94.615337615204822</v>
      </c>
      <c r="G56" s="267">
        <f t="shared" si="2"/>
        <v>63.70094825007547</v>
      </c>
      <c r="H56" s="267">
        <f t="shared" si="2"/>
        <v>58.214778380931023</v>
      </c>
      <c r="I56" s="267">
        <f t="shared" si="2"/>
        <v>382.97101415637883</v>
      </c>
    </row>
    <row r="58" spans="1:9" x14ac:dyDescent="0.5">
      <c r="A58" s="70">
        <f>IF(SUM(D58:H58)&lt;&gt;0,1,0)</f>
        <v>0</v>
      </c>
      <c r="C58" s="12" t="s">
        <v>817</v>
      </c>
      <c r="D58" s="268">
        <f>IF(ROUND('[2]PTRM input'!G71-'[2]PTRM input'!G70-D53,2)&lt;&gt;0,1,0)</f>
        <v>0</v>
      </c>
      <c r="E58" s="268">
        <f>IF(ROUND('[2]PTRM input'!H71-'[2]PTRM input'!H70-E53,2)&lt;&gt;0,1,0)</f>
        <v>0</v>
      </c>
      <c r="F58" s="268">
        <f>IF(ROUND('[2]PTRM input'!I71-'[2]PTRM input'!I70-F53,2)&lt;&gt;0,1,0)</f>
        <v>0</v>
      </c>
      <c r="G58" s="268">
        <f>IF(ROUND('[2]PTRM input'!J71-'[2]PTRM input'!J70-G53,2)&lt;&gt;0,1,0)</f>
        <v>0</v>
      </c>
      <c r="H58" s="268">
        <f>IF(ROUND('[2]PTRM input'!K71-'[2]PTRM input'!K70-H53,2)&lt;&gt;0,1,0)</f>
        <v>0</v>
      </c>
      <c r="I58" s="70"/>
    </row>
    <row r="60" spans="1:9" s="139" customFormat="1" x14ac:dyDescent="0.35">
      <c r="B60" s="139" t="s">
        <v>391</v>
      </c>
    </row>
    <row r="84" spans="2:11" s="139" customFormat="1" x14ac:dyDescent="0.35">
      <c r="B84" s="139" t="s">
        <v>1420</v>
      </c>
    </row>
    <row r="85" spans="2:11" ht="13.2" thickBot="1" x14ac:dyDescent="0.55000000000000004"/>
    <row r="86" spans="2:11" ht="13.2" thickBot="1" x14ac:dyDescent="0.55000000000000004">
      <c r="C86" s="206"/>
      <c r="D86" s="206" t="s">
        <v>246</v>
      </c>
      <c r="E86" s="206" t="s">
        <v>247</v>
      </c>
      <c r="F86" s="206" t="s">
        <v>248</v>
      </c>
      <c r="G86" s="206" t="s">
        <v>249</v>
      </c>
      <c r="H86" s="206" t="s">
        <v>250</v>
      </c>
      <c r="I86" s="206" t="s">
        <v>112</v>
      </c>
    </row>
    <row r="87" spans="2:11" ht="13.8" thickBot="1" x14ac:dyDescent="0.55000000000000004">
      <c r="C87" s="412" t="s">
        <v>291</v>
      </c>
      <c r="D87" s="266">
        <f>'10'!E13</f>
        <v>89.99607946450412</v>
      </c>
      <c r="E87" s="266">
        <f>'10'!F13</f>
        <v>64.132469213872696</v>
      </c>
      <c r="F87" s="266">
        <f>'10'!G13</f>
        <v>51.104004725386105</v>
      </c>
      <c r="G87" s="266">
        <f>'10'!H13</f>
        <v>60.356324448774217</v>
      </c>
      <c r="H87" s="266">
        <f>'10'!I13</f>
        <v>71.772290124575647</v>
      </c>
      <c r="I87" s="266">
        <f>SUM(D87:H87)</f>
        <v>337.36116797711281</v>
      </c>
    </row>
    <row r="88" spans="2:11" ht="13.8" thickBot="1" x14ac:dyDescent="0.55000000000000004">
      <c r="C88" s="207" t="s">
        <v>420</v>
      </c>
      <c r="D88" s="266">
        <f>'10'!E19</f>
        <v>76.165834691575668</v>
      </c>
      <c r="E88" s="266">
        <f>'10'!F19</f>
        <v>50.025072059376669</v>
      </c>
      <c r="F88" s="266">
        <f>'10'!G19</f>
        <v>36.670607425736961</v>
      </c>
      <c r="G88" s="266">
        <f>'10'!H19</f>
        <v>45.587551627907686</v>
      </c>
      <c r="H88" s="266">
        <f>'10'!I19</f>
        <v>56.660772403606749</v>
      </c>
      <c r="I88" s="266">
        <f t="shared" ref="I88" si="3">SUM(D88:H88)</f>
        <v>265.10983820820371</v>
      </c>
    </row>
    <row r="90" spans="2:11" x14ac:dyDescent="0.5">
      <c r="C90" s="406" t="s">
        <v>935</v>
      </c>
      <c r="D90" s="204"/>
      <c r="E90" s="204"/>
      <c r="F90" s="204"/>
      <c r="G90" s="204"/>
      <c r="H90" s="204"/>
      <c r="I90" s="204"/>
    </row>
    <row r="91" spans="2:11" ht="69.75" customHeight="1" x14ac:dyDescent="0.5">
      <c r="C91" s="749" t="s">
        <v>1010</v>
      </c>
      <c r="D91" s="749"/>
      <c r="E91" s="749"/>
      <c r="F91" s="749"/>
      <c r="G91" s="749"/>
      <c r="H91" s="749"/>
      <c r="I91" s="749"/>
    </row>
    <row r="93" spans="2:11" s="139" customFormat="1" x14ac:dyDescent="0.35">
      <c r="B93" s="139" t="s">
        <v>1419</v>
      </c>
    </row>
    <row r="94" spans="2:11" ht="13.2" thickBot="1" x14ac:dyDescent="0.55000000000000004"/>
    <row r="95" spans="2:11" ht="13.8" thickBot="1" x14ac:dyDescent="0.55000000000000004">
      <c r="C95" s="205"/>
      <c r="D95" s="206" t="s">
        <v>415</v>
      </c>
      <c r="E95" s="206" t="s">
        <v>416</v>
      </c>
      <c r="F95" s="206" t="s">
        <v>417</v>
      </c>
      <c r="G95" s="206" t="s">
        <v>418</v>
      </c>
      <c r="H95" s="206" t="s">
        <v>419</v>
      </c>
      <c r="I95" s="206" t="s">
        <v>112</v>
      </c>
    </row>
    <row r="96" spans="2:11" ht="13.8" thickBot="1" x14ac:dyDescent="0.55000000000000004">
      <c r="C96" s="208" t="s">
        <v>286</v>
      </c>
      <c r="D96" s="556">
        <v>11.748443313091007</v>
      </c>
      <c r="E96" s="556">
        <v>29.541935489743636</v>
      </c>
      <c r="F96" s="556">
        <v>42.960728229977505</v>
      </c>
      <c r="G96" s="556">
        <v>40.707398343224504</v>
      </c>
      <c r="H96" s="556">
        <v>47.927120030309332</v>
      </c>
      <c r="I96" s="267">
        <f>SUM(D96:H96)</f>
        <v>172.88562540634598</v>
      </c>
      <c r="K96" s="620" t="s">
        <v>1663</v>
      </c>
    </row>
    <row r="97" spans="1:20" ht="26.65" customHeight="1" thickBot="1" x14ac:dyDescent="0.55000000000000004">
      <c r="C97" s="208" t="s">
        <v>287</v>
      </c>
      <c r="D97" s="556">
        <v>70.344665270105793</v>
      </c>
      <c r="E97" s="556">
        <v>62.206894012496164</v>
      </c>
      <c r="F97" s="556">
        <v>36.726270213980285</v>
      </c>
      <c r="G97" s="556">
        <v>70.560779371903706</v>
      </c>
      <c r="H97" s="556">
        <v>32.817982712070176</v>
      </c>
      <c r="I97" s="267">
        <f t="shared" ref="I97:I102" si="4">SUM(D97:H97)</f>
        <v>272.6565915805561</v>
      </c>
      <c r="K97" s="756" t="s">
        <v>1660</v>
      </c>
      <c r="L97" s="756"/>
      <c r="M97" s="756"/>
      <c r="N97" s="537" t="s">
        <v>1659</v>
      </c>
      <c r="O97" s="537" t="s">
        <v>415</v>
      </c>
      <c r="P97" s="537" t="s">
        <v>416</v>
      </c>
      <c r="Q97" s="537" t="s">
        <v>417</v>
      </c>
      <c r="R97" s="537" t="s">
        <v>418</v>
      </c>
      <c r="S97" s="537" t="s">
        <v>419</v>
      </c>
      <c r="T97" s="537" t="s">
        <v>112</v>
      </c>
    </row>
    <row r="98" spans="1:20" ht="13.8" thickBot="1" x14ac:dyDescent="0.55000000000000004">
      <c r="C98" s="208" t="s">
        <v>288</v>
      </c>
      <c r="D98" s="556">
        <f>O101/Input_Inflation!K$39</f>
        <v>10.859686563223205</v>
      </c>
      <c r="E98" s="556">
        <f>P101/Input_Inflation!L$39</f>
        <v>13.464826517578205</v>
      </c>
      <c r="F98" s="556">
        <f>Q101/Input_Inflation!M$39</f>
        <v>15.330973907253373</v>
      </c>
      <c r="G98" s="556">
        <f>R101/Input_Inflation!N$39</f>
        <v>16.904882541263301</v>
      </c>
      <c r="H98" s="556">
        <f>S101/Input_Inflation!O$39</f>
        <v>16.020515282316069</v>
      </c>
      <c r="I98" s="267">
        <f t="shared" si="4"/>
        <v>72.580884811634149</v>
      </c>
      <c r="K98" s="757" t="s">
        <v>1351</v>
      </c>
      <c r="L98" s="757"/>
      <c r="M98" s="757"/>
      <c r="N98" s="619">
        <v>0.17237816</v>
      </c>
      <c r="O98" s="618">
        <v>0.29621257000000006</v>
      </c>
      <c r="P98" s="618">
        <v>0.33919795000000003</v>
      </c>
      <c r="Q98" s="618">
        <v>2.9776229299999999</v>
      </c>
      <c r="R98" s="618">
        <v>6.1990676899999997</v>
      </c>
      <c r="S98" s="618">
        <v>2.2718331600000004</v>
      </c>
      <c r="T98" s="618">
        <f>SUM(O98:S98)</f>
        <v>12.083934299999999</v>
      </c>
    </row>
    <row r="99" spans="1:20" ht="13.8" thickBot="1" x14ac:dyDescent="0.55000000000000004">
      <c r="C99" s="208" t="s">
        <v>1218</v>
      </c>
      <c r="D99" s="556">
        <v>2.6211341021983969</v>
      </c>
      <c r="E99" s="556">
        <v>1.6650268518867071</v>
      </c>
      <c r="F99" s="556">
        <v>2.4760368142738445</v>
      </c>
      <c r="G99" s="556">
        <v>2.3245211472156857</v>
      </c>
      <c r="H99" s="556">
        <v>1.4633865892861513</v>
      </c>
      <c r="I99" s="267">
        <f t="shared" si="4"/>
        <v>10.550105504860785</v>
      </c>
      <c r="K99" s="757" t="s">
        <v>1658</v>
      </c>
      <c r="L99" s="757"/>
      <c r="M99" s="757"/>
      <c r="N99" s="619">
        <v>9.706738640864927</v>
      </c>
      <c r="O99" s="618">
        <v>6.4508044190668734</v>
      </c>
      <c r="P99" s="618">
        <v>6.1281130000000026</v>
      </c>
      <c r="Q99" s="618">
        <v>5.5469329620853038</v>
      </c>
      <c r="R99" s="618">
        <v>6.4646123981042676</v>
      </c>
      <c r="S99" s="618">
        <v>8.9884622197314368</v>
      </c>
      <c r="T99" s="618">
        <f t="shared" ref="T99" si="5">SUM(O99:S99)</f>
        <v>33.578924998987887</v>
      </c>
    </row>
    <row r="100" spans="1:20" ht="13.8" thickBot="1" x14ac:dyDescent="0.55000000000000004">
      <c r="C100" s="442" t="s">
        <v>158</v>
      </c>
      <c r="D100" s="556">
        <v>0.43622737525816419</v>
      </c>
      <c r="E100" s="556">
        <v>0.44858770639084483</v>
      </c>
      <c r="F100" s="556">
        <v>0.33770871325798324</v>
      </c>
      <c r="G100" s="556">
        <v>1.8777795892859919</v>
      </c>
      <c r="H100" s="556">
        <v>1.2999698206312766</v>
      </c>
      <c r="I100" s="267">
        <f t="shared" si="4"/>
        <v>4.400273204824261</v>
      </c>
      <c r="K100" s="757" t="s">
        <v>292</v>
      </c>
      <c r="L100" s="757"/>
      <c r="M100" s="757"/>
      <c r="N100" s="619">
        <v>5.5620144400000004</v>
      </c>
      <c r="O100" s="618">
        <v>2.4227331599999999</v>
      </c>
      <c r="P100" s="618">
        <v>5.2410434700000001</v>
      </c>
      <c r="Q100" s="618">
        <v>7.7050640000000001</v>
      </c>
      <c r="R100" s="618">
        <v>8.410644060000001</v>
      </c>
      <c r="S100" s="618">
        <v>5.4895823300000002</v>
      </c>
      <c r="T100" s="618">
        <f t="shared" ref="T100:T101" si="6">SUM(O100:S100)</f>
        <v>29.269067020000005</v>
      </c>
    </row>
    <row r="101" spans="1:20" ht="13.2" thickBot="1" x14ac:dyDescent="0.55000000000000004">
      <c r="C101" s="569" t="s">
        <v>1657</v>
      </c>
      <c r="D101" s="622">
        <f t="shared" ref="D101:I101" si="7">SUM(D96:D100)</f>
        <v>96.010156623876568</v>
      </c>
      <c r="E101" s="622">
        <f t="shared" si="7"/>
        <v>107.32727057809555</v>
      </c>
      <c r="F101" s="622">
        <f t="shared" si="7"/>
        <v>97.831717878742992</v>
      </c>
      <c r="G101" s="622">
        <f t="shared" si="7"/>
        <v>132.37536099289318</v>
      </c>
      <c r="H101" s="622">
        <f>SUM(H96:H100)</f>
        <v>99.528974434613005</v>
      </c>
      <c r="I101" s="570">
        <f t="shared" si="7"/>
        <v>533.07348050822134</v>
      </c>
      <c r="K101" s="758" t="s">
        <v>1661</v>
      </c>
      <c r="L101" s="758"/>
      <c r="M101" s="758"/>
      <c r="N101" s="619">
        <f>SUM(N99:N100)</f>
        <v>15.268753080864927</v>
      </c>
      <c r="O101" s="618">
        <f t="shared" ref="O101:S101" si="8">SUM(O99:O100)</f>
        <v>8.8735375790668733</v>
      </c>
      <c r="P101" s="618">
        <f t="shared" si="8"/>
        <v>11.369156470000004</v>
      </c>
      <c r="Q101" s="618">
        <f t="shared" si="8"/>
        <v>13.251996962085304</v>
      </c>
      <c r="R101" s="618">
        <f t="shared" si="8"/>
        <v>14.875256458104268</v>
      </c>
      <c r="S101" s="618">
        <f t="shared" si="8"/>
        <v>14.478044549731436</v>
      </c>
      <c r="T101" s="618">
        <f t="shared" si="6"/>
        <v>62.847992018987888</v>
      </c>
    </row>
    <row r="102" spans="1:20" ht="14.1" thickBot="1" x14ac:dyDescent="0.55000000000000004">
      <c r="C102" s="208" t="s">
        <v>1274</v>
      </c>
      <c r="D102" s="556">
        <v>-3.3275227773723044</v>
      </c>
      <c r="E102" s="556">
        <v>-6.6088440989240986</v>
      </c>
      <c r="F102" s="556">
        <v>-12.358589807389693</v>
      </c>
      <c r="G102" s="556">
        <v>-16.603106090376571</v>
      </c>
      <c r="H102" s="556">
        <v>-8.5883059029719711</v>
      </c>
      <c r="I102" s="267">
        <f t="shared" si="4"/>
        <v>-47.486368677034633</v>
      </c>
      <c r="K102" s="758" t="s">
        <v>1662</v>
      </c>
      <c r="L102" s="758"/>
      <c r="M102" s="758"/>
      <c r="N102" s="619">
        <f>N98+N100</f>
        <v>5.7343926000000005</v>
      </c>
      <c r="O102" s="618">
        <f t="shared" ref="O102:S102" si="9">O98+O100</f>
        <v>2.7189457300000002</v>
      </c>
      <c r="P102" s="618">
        <f t="shared" si="9"/>
        <v>5.5802414200000001</v>
      </c>
      <c r="Q102" s="618">
        <f t="shared" si="9"/>
        <v>10.682686929999999</v>
      </c>
      <c r="R102" s="618">
        <f t="shared" si="9"/>
        <v>14.609711750000001</v>
      </c>
      <c r="S102" s="618">
        <f t="shared" si="9"/>
        <v>7.761415490000001</v>
      </c>
      <c r="T102" s="618">
        <f t="shared" ref="T102" si="10">SUM(O102:S102)</f>
        <v>41.353001320000004</v>
      </c>
    </row>
    <row r="103" spans="1:20" ht="14.1" thickBot="1" x14ac:dyDescent="0.55000000000000004">
      <c r="C103" s="483" t="s">
        <v>1275</v>
      </c>
      <c r="D103" s="556" t="str">
        <f t="shared" ref="D103:I103" si="11">NA</f>
        <v>N/A</v>
      </c>
      <c r="E103" s="556" t="str">
        <f t="shared" si="11"/>
        <v>N/A</v>
      </c>
      <c r="F103" s="556" t="str">
        <f t="shared" si="11"/>
        <v>N/A</v>
      </c>
      <c r="G103" s="556" t="str">
        <f t="shared" si="11"/>
        <v>N/A</v>
      </c>
      <c r="H103" s="556" t="str">
        <f t="shared" si="11"/>
        <v>N/A</v>
      </c>
      <c r="I103" s="267" t="str">
        <f t="shared" si="11"/>
        <v>N/A</v>
      </c>
    </row>
    <row r="104" spans="1:20" ht="13.2" thickBot="1" x14ac:dyDescent="0.55000000000000004">
      <c r="C104" s="569" t="s">
        <v>1272</v>
      </c>
      <c r="D104" s="570">
        <f t="shared" ref="D104:I104" si="12">SUM(D101:D103)</f>
        <v>92.68263384650426</v>
      </c>
      <c r="E104" s="570">
        <f t="shared" si="12"/>
        <v>100.71842647917146</v>
      </c>
      <c r="F104" s="570">
        <f t="shared" si="12"/>
        <v>85.473128071353301</v>
      </c>
      <c r="G104" s="570">
        <f t="shared" si="12"/>
        <v>115.77225490251661</v>
      </c>
      <c r="H104" s="570">
        <f t="shared" si="12"/>
        <v>90.940668531641037</v>
      </c>
      <c r="I104" s="570">
        <f t="shared" si="12"/>
        <v>485.58711183118669</v>
      </c>
      <c r="J104" s="273"/>
    </row>
    <row r="105" spans="1:20" x14ac:dyDescent="0.5">
      <c r="D105" s="273"/>
    </row>
    <row r="106" spans="1:20" x14ac:dyDescent="0.5">
      <c r="C106" s="406" t="s">
        <v>935</v>
      </c>
      <c r="D106" s="204"/>
      <c r="E106" s="204"/>
      <c r="F106" s="204"/>
      <c r="G106" s="204"/>
      <c r="H106" s="204"/>
      <c r="I106" s="204"/>
    </row>
    <row r="107" spans="1:20" ht="40.9" customHeight="1" x14ac:dyDescent="0.5">
      <c r="C107" s="749" t="s">
        <v>1664</v>
      </c>
      <c r="D107" s="749"/>
      <c r="E107" s="749"/>
      <c r="F107" s="749"/>
      <c r="G107" s="749"/>
      <c r="H107" s="749"/>
      <c r="I107" s="749"/>
      <c r="J107" s="273"/>
    </row>
    <row r="109" spans="1:20" x14ac:dyDescent="0.5">
      <c r="A109" s="70">
        <f>IF(SUM(D109:O109)&lt;&gt;0,1,0)</f>
        <v>0</v>
      </c>
      <c r="C109" s="12" t="s">
        <v>1276</v>
      </c>
      <c r="D109" s="70">
        <v>0</v>
      </c>
      <c r="E109" s="70">
        <v>0</v>
      </c>
      <c r="F109" s="70">
        <v>0</v>
      </c>
      <c r="G109" s="70">
        <v>0</v>
      </c>
      <c r="H109" s="70">
        <v>0</v>
      </c>
      <c r="I109" s="70"/>
      <c r="N109" s="70">
        <v>0</v>
      </c>
      <c r="O109" s="70">
        <v>0</v>
      </c>
      <c r="P109" s="70">
        <v>0</v>
      </c>
      <c r="Q109" s="70">
        <v>0</v>
      </c>
      <c r="R109" s="70">
        <v>0</v>
      </c>
      <c r="S109" s="70">
        <v>0</v>
      </c>
    </row>
    <row r="111" spans="1:20" s="139" customFormat="1" x14ac:dyDescent="0.35">
      <c r="B111" s="139" t="s">
        <v>1422</v>
      </c>
    </row>
    <row r="112" spans="1:20" ht="13.2" thickBot="1" x14ac:dyDescent="0.55000000000000004"/>
    <row r="113" spans="1:10" ht="13.8" thickBot="1" x14ac:dyDescent="0.55000000000000004">
      <c r="C113" s="205"/>
      <c r="D113" s="206" t="s">
        <v>246</v>
      </c>
      <c r="E113" s="206" t="s">
        <v>247</v>
      </c>
      <c r="F113" s="206" t="s">
        <v>248</v>
      </c>
      <c r="G113" s="206" t="s">
        <v>249</v>
      </c>
      <c r="H113" s="206" t="s">
        <v>250</v>
      </c>
      <c r="I113" s="206" t="s">
        <v>112</v>
      </c>
    </row>
    <row r="114" spans="1:10" ht="13.8" thickBot="1" x14ac:dyDescent="0.55000000000000004">
      <c r="C114" s="543" t="str">
        <f>C96</f>
        <v>Replacement</v>
      </c>
      <c r="D114" s="266">
        <f>'10'!N10</f>
        <v>48.082578000733719</v>
      </c>
      <c r="E114" s="266">
        <f>'10'!O10</f>
        <v>45.374289958075295</v>
      </c>
      <c r="F114" s="266">
        <f>'10'!P10</f>
        <v>29.751610932919064</v>
      </c>
      <c r="G114" s="266">
        <f>'10'!Q10</f>
        <v>21.266078399811821</v>
      </c>
      <c r="H114" s="266">
        <f>'10'!R10</f>
        <v>31.03932160289126</v>
      </c>
      <c r="I114" s="267">
        <f>SUM(D114:H114)</f>
        <v>175.51387889443114</v>
      </c>
    </row>
    <row r="115" spans="1:10" ht="13.8" thickBot="1" x14ac:dyDescent="0.55000000000000004">
      <c r="C115" s="543" t="str">
        <f>C97</f>
        <v>Augmentation</v>
      </c>
      <c r="D115" s="266">
        <f>'10'!N11</f>
        <v>25.611194169707776</v>
      </c>
      <c r="E115" s="266">
        <f>'10'!O11</f>
        <v>18.766645023359938</v>
      </c>
      <c r="F115" s="266">
        <f>'10'!P11</f>
        <v>13.514508554538208</v>
      </c>
      <c r="G115" s="266">
        <f>'10'!Q11</f>
        <v>14.491704941884445</v>
      </c>
      <c r="H115" s="266">
        <f>'10'!R11</f>
        <v>4.0324694346927989</v>
      </c>
      <c r="I115" s="267">
        <f t="shared" ref="I115:I122" si="13">SUM(D115:H115)</f>
        <v>76.416522124183174</v>
      </c>
    </row>
    <row r="116" spans="1:10" ht="13.8" thickBot="1" x14ac:dyDescent="0.55000000000000004">
      <c r="C116" s="543" t="str">
        <f>C98</f>
        <v xml:space="preserve">Connections (including gifted assets) </v>
      </c>
      <c r="D116" s="266">
        <f>'10'!N12</f>
        <v>18.034972361039578</v>
      </c>
      <c r="E116" s="266">
        <f>'10'!O12</f>
        <v>14.731192292311784</v>
      </c>
      <c r="F116" s="266">
        <f>'10'!P12</f>
        <v>12.309522059828577</v>
      </c>
      <c r="G116" s="266">
        <f>'10'!Q12</f>
        <v>11.071070222845824</v>
      </c>
      <c r="H116" s="266">
        <f>'10'!R12</f>
        <v>11.582349621752176</v>
      </c>
      <c r="I116" s="267">
        <f t="shared" si="13"/>
        <v>67.729106557777939</v>
      </c>
    </row>
    <row r="117" spans="1:10" ht="13.8" thickBot="1" x14ac:dyDescent="0.55000000000000004">
      <c r="C117" s="543" t="str">
        <f>C99</f>
        <v>Non-Network Other</v>
      </c>
      <c r="D117" s="266">
        <f>'10'!N13</f>
        <v>1.1908151252360424</v>
      </c>
      <c r="E117" s="266">
        <f>'10'!O13</f>
        <v>1.344270832701044</v>
      </c>
      <c r="F117" s="266">
        <f>'10'!P13</f>
        <v>3.3973754136666479</v>
      </c>
      <c r="G117" s="266">
        <f>'10'!Q13</f>
        <v>5.1554694527097027</v>
      </c>
      <c r="H117" s="266">
        <f>'10'!R13</f>
        <v>5.3726512986824559</v>
      </c>
      <c r="I117" s="267">
        <f t="shared" si="13"/>
        <v>16.460582122995895</v>
      </c>
    </row>
    <row r="118" spans="1:10" ht="13.8" thickBot="1" x14ac:dyDescent="0.55000000000000004">
      <c r="C118" s="543" t="str">
        <f>C100</f>
        <v>Capitalised overheads</v>
      </c>
      <c r="D118" s="266">
        <f>'10'!N14-'10'!E26</f>
        <v>0.20761777890365482</v>
      </c>
      <c r="E118" s="266">
        <f>'10'!O14-'10'!F26</f>
        <v>0.14407168514004207</v>
      </c>
      <c r="F118" s="266">
        <f>'10'!P14-'10'!G26</f>
        <v>0.11225717277762293</v>
      </c>
      <c r="G118" s="266">
        <f>'10'!Q14-'10'!H26</f>
        <v>0</v>
      </c>
      <c r="H118" s="266">
        <f>'10'!R14-'10'!I26</f>
        <v>0</v>
      </c>
      <c r="I118" s="267">
        <f t="shared" si="13"/>
        <v>0.46394663682131981</v>
      </c>
    </row>
    <row r="119" spans="1:10" ht="13.8" thickBot="1" x14ac:dyDescent="0.55000000000000004">
      <c r="C119" s="543" t="s">
        <v>1421</v>
      </c>
      <c r="D119" s="266" t="str">
        <f>'10'!N16</f>
        <v>N/A</v>
      </c>
      <c r="E119" s="266" t="str">
        <f>'10'!O16</f>
        <v>N/A</v>
      </c>
      <c r="F119" s="266" t="str">
        <f>'10'!P16</f>
        <v>N/A</v>
      </c>
      <c r="G119" s="266" t="str">
        <f>'10'!Q16</f>
        <v>N/A</v>
      </c>
      <c r="H119" s="266">
        <f>'10'!R16</f>
        <v>19.773176108802136</v>
      </c>
      <c r="I119" s="267">
        <f t="shared" si="13"/>
        <v>19.773176108802136</v>
      </c>
    </row>
    <row r="120" spans="1:10" ht="13.2" thickBot="1" x14ac:dyDescent="0.55000000000000004">
      <c r="C120" s="569" t="str">
        <f>C101</f>
        <v>Total gross capex (excluding gifted assets)</v>
      </c>
      <c r="D120" s="570">
        <f t="shared" ref="D120:I120" si="14">SUM(D114:D119)</f>
        <v>93.127177435620766</v>
      </c>
      <c r="E120" s="570">
        <f t="shared" si="14"/>
        <v>80.360469791588116</v>
      </c>
      <c r="F120" s="570">
        <f t="shared" si="14"/>
        <v>59.085274133730131</v>
      </c>
      <c r="G120" s="570">
        <f t="shared" si="14"/>
        <v>51.984323017251796</v>
      </c>
      <c r="H120" s="570">
        <f t="shared" si="14"/>
        <v>71.799968066820824</v>
      </c>
      <c r="I120" s="570">
        <f t="shared" si="14"/>
        <v>356.35721244501161</v>
      </c>
    </row>
    <row r="121" spans="1:10" ht="13.8" thickBot="1" x14ac:dyDescent="0.55000000000000004">
      <c r="C121" s="543" t="str">
        <f>C102</f>
        <v>Less capital contributions</v>
      </c>
      <c r="D121" s="266">
        <f>-SUM('[8]RFM input'!H$109:H$122)/Input_Inflation!P39</f>
        <v>-9.8928311039855963</v>
      </c>
      <c r="E121" s="266">
        <f>-SUM('[8]RFM input'!I$109:I$122)/Input_Inflation!Q39</f>
        <v>-10.491541053388575</v>
      </c>
      <c r="F121" s="266">
        <f>-SUM('[8]RFM input'!J$109:J$122)/Input_Inflation!R39</f>
        <v>-9.8546746231215394</v>
      </c>
      <c r="G121" s="266">
        <f>-SUM('[8]RFM input'!K$109:K$122)/Input_Inflation!S39</f>
        <v>-11.071070222845822</v>
      </c>
      <c r="H121" s="266">
        <f>-SUM('[8]RFM input'!L$109:L$122)/Input_Inflation!T39</f>
        <v>-11.582349621752179</v>
      </c>
      <c r="I121" s="267">
        <f t="shared" si="13"/>
        <v>-52.892466625093711</v>
      </c>
    </row>
    <row r="122" spans="1:10" ht="13.8" thickBot="1" x14ac:dyDescent="0.55000000000000004">
      <c r="C122" s="543" t="str">
        <f>C103</f>
        <v>Less asset disposals</v>
      </c>
      <c r="D122" s="266">
        <f>-SUM('[8]RFM input'!H$75:H$87)/Input_Inflation!P39</f>
        <v>-0.12201334675144739</v>
      </c>
      <c r="E122" s="266">
        <f>-SUM('[8]RFM input'!I$75:I$87)/Input_Inflation!Q39</f>
        <v>-0.12266672719841065</v>
      </c>
      <c r="F122" s="266">
        <f>-SUM('[8]RFM input'!J$75:J$87)/Input_Inflation!R39</f>
        <v>-0.30649484494261164</v>
      </c>
      <c r="G122" s="266">
        <f>-SUM('[8]RFM input'!K$75:K$87)/Input_Inflation!S39</f>
        <v>0</v>
      </c>
      <c r="H122" s="266">
        <f>-SUM('[8]RFM input'!L$75:L$87)/Input_Inflation!T39</f>
        <v>0</v>
      </c>
      <c r="I122" s="267">
        <f t="shared" si="13"/>
        <v>-0.55117491889246972</v>
      </c>
    </row>
    <row r="123" spans="1:10" ht="13.2" thickBot="1" x14ac:dyDescent="0.55000000000000004">
      <c r="C123" s="569" t="str">
        <f>C104</f>
        <v>Total net capex</v>
      </c>
      <c r="D123" s="570">
        <f>SUM(D120:D122)</f>
        <v>83.112332984883722</v>
      </c>
      <c r="E123" s="570">
        <f t="shared" ref="E123:I123" si="15">SUM(E120:E122)</f>
        <v>69.746262011001136</v>
      </c>
      <c r="F123" s="570">
        <f t="shared" si="15"/>
        <v>48.924104665665979</v>
      </c>
      <c r="G123" s="570">
        <f t="shared" si="15"/>
        <v>40.913252794405977</v>
      </c>
      <c r="H123" s="570">
        <f t="shared" si="15"/>
        <v>60.217618445068645</v>
      </c>
      <c r="I123" s="570">
        <f t="shared" si="15"/>
        <v>302.91357090102542</v>
      </c>
    </row>
    <row r="125" spans="1:10" x14ac:dyDescent="0.5">
      <c r="C125" s="406" t="s">
        <v>935</v>
      </c>
      <c r="D125" s="204"/>
      <c r="E125" s="204"/>
      <c r="F125" s="204"/>
      <c r="G125" s="204"/>
      <c r="H125" s="204"/>
      <c r="I125" s="204"/>
    </row>
    <row r="126" spans="1:10" ht="52.15" customHeight="1" x14ac:dyDescent="0.5">
      <c r="C126" s="749" t="s">
        <v>1776</v>
      </c>
      <c r="D126" s="749"/>
      <c r="E126" s="749"/>
      <c r="F126" s="749"/>
      <c r="G126" s="749"/>
      <c r="H126" s="749"/>
      <c r="I126" s="749"/>
      <c r="J126" s="273"/>
    </row>
    <row r="128" spans="1:10" x14ac:dyDescent="0.5">
      <c r="A128" s="70">
        <f>IF(SUM(D128:O128)&lt;&gt;0,1,0)</f>
        <v>0</v>
      </c>
      <c r="C128" s="12" t="s">
        <v>1775</v>
      </c>
      <c r="D128" s="70">
        <f>IF(ROUND('10'!E14-D120,3)&lt;&gt;0,1,0)</f>
        <v>0</v>
      </c>
      <c r="E128" s="70">
        <f>IF(ROUND('10'!F14-E120,3)&lt;&gt;0,1,0)</f>
        <v>0</v>
      </c>
      <c r="F128" s="70">
        <f>IF(ROUND('10'!G14-F120,3)&lt;&gt;0,1,0)</f>
        <v>0</v>
      </c>
      <c r="G128" s="70">
        <f>IF(ROUND('10'!H14-G120,3)&lt;&gt;0,1,0)</f>
        <v>0</v>
      </c>
      <c r="H128" s="70">
        <f>IF(ROUND('10'!I14-H120,3)&lt;&gt;0,1,0)</f>
        <v>0</v>
      </c>
    </row>
    <row r="129" spans="1:13" x14ac:dyDescent="0.5">
      <c r="A129" s="70">
        <f>IF(SUM(D129:O129)&lt;&gt;0,1,0)</f>
        <v>0</v>
      </c>
      <c r="C129" s="12" t="s">
        <v>1277</v>
      </c>
      <c r="D129" s="70">
        <f>IF(ROUND('10'!E20-D123,2)&lt;&gt;0,1,0)</f>
        <v>0</v>
      </c>
      <c r="E129" s="70">
        <f>IF(ROUND('10'!F20-E123,2)&lt;&gt;0,1,0)</f>
        <v>0</v>
      </c>
      <c r="F129" s="70">
        <f>IF(ROUND('10'!G20-F123,2)&lt;&gt;0,1,0)</f>
        <v>0</v>
      </c>
      <c r="G129" s="70">
        <f>IF(ROUND('10'!H20-G123,2)&lt;&gt;0,1,0)</f>
        <v>0</v>
      </c>
      <c r="H129" s="70">
        <f>IF(ROUND('10'!I20-H123,2)&lt;&gt;0,1,0)</f>
        <v>0</v>
      </c>
      <c r="I129" s="70"/>
    </row>
    <row r="131" spans="1:13" s="139" customFormat="1" x14ac:dyDescent="0.35">
      <c r="B131" s="139" t="s">
        <v>1666</v>
      </c>
    </row>
    <row r="132" spans="1:13" ht="13.2" thickBot="1" x14ac:dyDescent="0.55000000000000004"/>
    <row r="133" spans="1:13" ht="39" thickBot="1" x14ac:dyDescent="0.55000000000000004">
      <c r="C133" s="205"/>
      <c r="D133" s="539" t="s">
        <v>1427</v>
      </c>
      <c r="E133" s="539" t="s">
        <v>1428</v>
      </c>
      <c r="F133" s="539" t="s">
        <v>1429</v>
      </c>
      <c r="G133" s="539" t="s">
        <v>1430</v>
      </c>
      <c r="H133" s="539" t="s">
        <v>1431</v>
      </c>
      <c r="I133" s="539" t="s">
        <v>112</v>
      </c>
      <c r="K133" s="537" t="s">
        <v>1667</v>
      </c>
      <c r="M133" s="537" t="s">
        <v>1421</v>
      </c>
    </row>
    <row r="134" spans="1:13" ht="13.8" thickBot="1" x14ac:dyDescent="0.55000000000000004">
      <c r="C134" s="543" t="s">
        <v>1423</v>
      </c>
      <c r="D134" s="266">
        <f>D87</f>
        <v>89.99607946450412</v>
      </c>
      <c r="E134" s="266">
        <f>E87</f>
        <v>64.132469213872696</v>
      </c>
      <c r="F134" s="266">
        <f>F87</f>
        <v>51.104004725386105</v>
      </c>
      <c r="G134" s="266">
        <f>G87</f>
        <v>60.356324448774217</v>
      </c>
      <c r="H134" s="266">
        <f>H87</f>
        <v>71.772290124575647</v>
      </c>
      <c r="I134" s="266">
        <f>SUM(D134:H134)</f>
        <v>337.36116797711281</v>
      </c>
      <c r="K134" s="623">
        <f>I134</f>
        <v>337.36116797711281</v>
      </c>
      <c r="M134" s="623">
        <f>'10'!R16</f>
        <v>19.773176108802136</v>
      </c>
    </row>
    <row r="135" spans="1:13" ht="13.8" thickBot="1" x14ac:dyDescent="0.55000000000000004">
      <c r="C135" s="543" t="s">
        <v>1424</v>
      </c>
      <c r="D135" s="266">
        <f>D120</f>
        <v>93.127177435620766</v>
      </c>
      <c r="E135" s="266">
        <f>E120</f>
        <v>80.360469791588116</v>
      </c>
      <c r="F135" s="266">
        <f>F120</f>
        <v>59.085274133730131</v>
      </c>
      <c r="G135" s="266">
        <f>G120</f>
        <v>51.984323017251796</v>
      </c>
      <c r="H135" s="266">
        <f>H120</f>
        <v>71.799968066820824</v>
      </c>
      <c r="I135" s="266">
        <f>SUM(D135:H135)</f>
        <v>356.35721244501167</v>
      </c>
      <c r="K135" s="623">
        <f>I135-M134</f>
        <v>336.58403633620952</v>
      </c>
    </row>
    <row r="136" spans="1:13" ht="13.8" thickBot="1" x14ac:dyDescent="0.55000000000000004">
      <c r="C136" s="543" t="s">
        <v>1425</v>
      </c>
      <c r="D136" s="266">
        <f>D135-D134</f>
        <v>3.1310979711166453</v>
      </c>
      <c r="E136" s="266">
        <f>E135-E134</f>
        <v>16.22800057771542</v>
      </c>
      <c r="F136" s="266">
        <f t="shared" ref="F136:I136" si="16">F135-F134</f>
        <v>7.9812694083440263</v>
      </c>
      <c r="G136" s="266">
        <f t="shared" si="16"/>
        <v>-8.3720014315224205</v>
      </c>
      <c r="H136" s="266">
        <f t="shared" si="16"/>
        <v>2.7677942245176723E-2</v>
      </c>
      <c r="I136" s="266">
        <f t="shared" si="16"/>
        <v>18.996044467898855</v>
      </c>
      <c r="K136" s="623">
        <f>K135-K134</f>
        <v>-0.77713164090329201</v>
      </c>
    </row>
    <row r="137" spans="1:13" ht="13.8" thickBot="1" x14ac:dyDescent="0.55000000000000004">
      <c r="C137" s="543" t="s">
        <v>1426</v>
      </c>
      <c r="D137" s="571">
        <f>D136/D134</f>
        <v>3.4791493026666787E-2</v>
      </c>
      <c r="E137" s="571">
        <f>E136/E134</f>
        <v>0.25303876143607285</v>
      </c>
      <c r="F137" s="571">
        <f t="shared" ref="F137:I137" si="17">F136/F134</f>
        <v>0.15617698556565962</v>
      </c>
      <c r="G137" s="571">
        <f t="shared" si="17"/>
        <v>-0.13870959684809714</v>
      </c>
      <c r="H137" s="571">
        <f t="shared" si="17"/>
        <v>3.8563548964559903E-4</v>
      </c>
      <c r="I137" s="571">
        <f t="shared" si="17"/>
        <v>5.6307738622684581E-2</v>
      </c>
      <c r="K137" s="624">
        <f t="shared" ref="K137" si="18">K136/K134</f>
        <v>-2.3035598482277425E-3</v>
      </c>
    </row>
    <row r="139" spans="1:13" s="139" customFormat="1" x14ac:dyDescent="0.35">
      <c r="B139" s="139" t="s">
        <v>1432</v>
      </c>
    </row>
    <row r="160" spans="2:2" s="139" customFormat="1" x14ac:dyDescent="0.35">
      <c r="B160" s="139" t="s">
        <v>1434</v>
      </c>
    </row>
    <row r="186" spans="2:8" s="139" customFormat="1" x14ac:dyDescent="0.35">
      <c r="B186" s="139" t="s">
        <v>1435</v>
      </c>
    </row>
    <row r="187" spans="2:8" ht="13.2" thickBot="1" x14ac:dyDescent="0.55000000000000004"/>
    <row r="188" spans="2:8" ht="26.1" thickBot="1" x14ac:dyDescent="0.55000000000000004">
      <c r="C188" s="214" t="s">
        <v>1436</v>
      </c>
      <c r="D188" s="539" t="s">
        <v>1437</v>
      </c>
      <c r="E188" s="539" t="s">
        <v>67</v>
      </c>
      <c r="F188" s="539" t="s">
        <v>1438</v>
      </c>
      <c r="G188" s="539" t="s">
        <v>1439</v>
      </c>
      <c r="H188" s="539" t="s">
        <v>1440</v>
      </c>
    </row>
    <row r="189" spans="2:8" ht="13.8" thickBot="1" x14ac:dyDescent="0.55000000000000004">
      <c r="C189" s="543" t="s">
        <v>1442</v>
      </c>
      <c r="D189" s="572" t="s">
        <v>1456</v>
      </c>
      <c r="E189" s="572" t="s">
        <v>1470</v>
      </c>
      <c r="F189" s="572" t="s">
        <v>1463</v>
      </c>
      <c r="G189" s="572" t="s">
        <v>1471</v>
      </c>
      <c r="H189" s="573" t="s">
        <v>1454</v>
      </c>
    </row>
    <row r="190" spans="2:8" ht="13.8" thickBot="1" x14ac:dyDescent="0.55000000000000004">
      <c r="C190" s="543" t="s">
        <v>1441</v>
      </c>
      <c r="D190" s="572" t="s">
        <v>1457</v>
      </c>
      <c r="E190" s="572" t="s">
        <v>1469</v>
      </c>
      <c r="F190" s="572" t="s">
        <v>1466</v>
      </c>
      <c r="G190" s="572" t="s">
        <v>1472</v>
      </c>
      <c r="H190" s="573" t="s">
        <v>1455</v>
      </c>
    </row>
    <row r="191" spans="2:8" ht="135.30000000000001" thickBot="1" x14ac:dyDescent="0.55000000000000004">
      <c r="C191" s="543" t="s">
        <v>1443</v>
      </c>
      <c r="D191" s="572" t="s">
        <v>1458</v>
      </c>
      <c r="E191" s="572" t="s">
        <v>1468</v>
      </c>
      <c r="F191" s="572" t="s">
        <v>1467</v>
      </c>
      <c r="G191" s="266" t="s">
        <v>1749</v>
      </c>
      <c r="H191" s="573" t="s">
        <v>1453</v>
      </c>
    </row>
    <row r="192" spans="2:8" ht="13.8" thickBot="1" x14ac:dyDescent="0.55000000000000004">
      <c r="C192" s="543" t="s">
        <v>1444</v>
      </c>
      <c r="D192" s="572" t="s">
        <v>1459</v>
      </c>
      <c r="E192" s="572" t="s">
        <v>1462</v>
      </c>
      <c r="F192" s="572" t="s">
        <v>1466</v>
      </c>
      <c r="G192" s="572" t="s">
        <v>1465</v>
      </c>
      <c r="H192" s="573" t="s">
        <v>1452</v>
      </c>
    </row>
    <row r="193" spans="2:8" ht="13.8" thickBot="1" x14ac:dyDescent="0.55000000000000004">
      <c r="C193" s="543" t="s">
        <v>1445</v>
      </c>
      <c r="D193" s="572" t="s">
        <v>1460</v>
      </c>
      <c r="E193" s="572" t="s">
        <v>1461</v>
      </c>
      <c r="F193" s="572" t="s">
        <v>1463</v>
      </c>
      <c r="G193" s="572" t="s">
        <v>1464</v>
      </c>
      <c r="H193" s="572" t="s">
        <v>1451</v>
      </c>
    </row>
    <row r="194" spans="2:8" ht="13.8" thickBot="1" x14ac:dyDescent="0.55000000000000004">
      <c r="C194" s="543" t="s">
        <v>1446</v>
      </c>
      <c r="D194" s="572" t="s">
        <v>1447</v>
      </c>
      <c r="E194" s="572" t="s">
        <v>1448</v>
      </c>
      <c r="F194" s="572" t="s">
        <v>1449</v>
      </c>
      <c r="G194" s="572" t="s">
        <v>1450</v>
      </c>
      <c r="H194" s="572" t="s">
        <v>1451</v>
      </c>
    </row>
    <row r="196" spans="2:8" s="139" customFormat="1" x14ac:dyDescent="0.35">
      <c r="B196" s="139" t="s">
        <v>1473</v>
      </c>
    </row>
    <row r="197" spans="2:8" ht="13.2" thickBot="1" x14ac:dyDescent="0.55000000000000004"/>
    <row r="198" spans="2:8" ht="26.1" thickBot="1" x14ac:dyDescent="0.55000000000000004">
      <c r="C198" s="209" t="s">
        <v>422</v>
      </c>
      <c r="D198" s="206" t="s">
        <v>423</v>
      </c>
      <c r="E198" s="206" t="s">
        <v>424</v>
      </c>
      <c r="F198" s="206" t="s">
        <v>425</v>
      </c>
      <c r="G198" s="206" t="s">
        <v>426</v>
      </c>
    </row>
    <row r="199" spans="2:8" ht="13.8" thickBot="1" x14ac:dyDescent="0.55000000000000004">
      <c r="C199" s="210" t="s">
        <v>427</v>
      </c>
      <c r="D199" s="211" t="s">
        <v>428</v>
      </c>
      <c r="E199" s="211" t="s">
        <v>428</v>
      </c>
      <c r="F199" s="211" t="s">
        <v>428</v>
      </c>
      <c r="G199" s="211" t="s">
        <v>428</v>
      </c>
    </row>
    <row r="200" spans="2:8" ht="13.8" thickBot="1" x14ac:dyDescent="0.55000000000000004">
      <c r="C200" s="210" t="s">
        <v>429</v>
      </c>
      <c r="D200" s="211" t="s">
        <v>428</v>
      </c>
      <c r="E200" s="211" t="s">
        <v>428</v>
      </c>
      <c r="F200" s="211" t="s">
        <v>428</v>
      </c>
      <c r="G200" s="211"/>
    </row>
    <row r="201" spans="2:8" ht="13.8" thickBot="1" x14ac:dyDescent="0.55000000000000004">
      <c r="C201" s="210" t="s">
        <v>430</v>
      </c>
      <c r="D201" s="212"/>
      <c r="E201" s="212"/>
      <c r="F201" s="211" t="s">
        <v>428</v>
      </c>
      <c r="G201" s="212"/>
    </row>
    <row r="202" spans="2:8" ht="13.8" thickBot="1" x14ac:dyDescent="0.55000000000000004">
      <c r="C202" s="210" t="s">
        <v>431</v>
      </c>
      <c r="D202" s="211" t="s">
        <v>428</v>
      </c>
      <c r="E202" s="211" t="s">
        <v>428</v>
      </c>
      <c r="F202" s="211" t="s">
        <v>428</v>
      </c>
      <c r="G202" s="212"/>
    </row>
    <row r="203" spans="2:8" ht="13.8" thickBot="1" x14ac:dyDescent="0.55000000000000004">
      <c r="C203" s="210" t="s">
        <v>432</v>
      </c>
      <c r="D203" s="212"/>
      <c r="E203" s="212"/>
      <c r="F203" s="211"/>
      <c r="G203" s="212"/>
    </row>
    <row r="204" spans="2:8" ht="13.8" thickBot="1" x14ac:dyDescent="0.55000000000000004">
      <c r="C204" s="213" t="s">
        <v>433</v>
      </c>
      <c r="D204" s="211" t="s">
        <v>428</v>
      </c>
      <c r="E204" s="211" t="s">
        <v>428</v>
      </c>
      <c r="F204" s="211" t="s">
        <v>428</v>
      </c>
      <c r="G204" s="212"/>
    </row>
    <row r="205" spans="2:8" ht="13.8" thickBot="1" x14ac:dyDescent="0.55000000000000004">
      <c r="C205" s="213" t="s">
        <v>434</v>
      </c>
      <c r="D205" s="212"/>
      <c r="E205" s="211" t="s">
        <v>428</v>
      </c>
      <c r="F205" s="211" t="s">
        <v>428</v>
      </c>
      <c r="G205" s="212"/>
    </row>
    <row r="206" spans="2:8" ht="13.8" thickBot="1" x14ac:dyDescent="0.55000000000000004">
      <c r="C206" s="213" t="s">
        <v>435</v>
      </c>
      <c r="D206" s="212"/>
      <c r="E206" s="212"/>
      <c r="F206" s="211" t="s">
        <v>428</v>
      </c>
      <c r="G206" s="212"/>
    </row>
    <row r="208" spans="2:8" s="139" customFormat="1" x14ac:dyDescent="0.35">
      <c r="B208" s="139" t="s">
        <v>1474</v>
      </c>
    </row>
    <row r="233" spans="2:4" s="139" customFormat="1" x14ac:dyDescent="0.35">
      <c r="B233" s="139" t="s">
        <v>1475</v>
      </c>
    </row>
    <row r="234" spans="2:4" ht="13.2" thickBot="1" x14ac:dyDescent="0.55000000000000004"/>
    <row r="235" spans="2:4" ht="13.2" thickBot="1" x14ac:dyDescent="0.55000000000000004">
      <c r="C235" s="201" t="s">
        <v>392</v>
      </c>
      <c r="D235" s="202" t="s">
        <v>393</v>
      </c>
    </row>
    <row r="236" spans="2:4" ht="13.8" thickBot="1" x14ac:dyDescent="0.55000000000000004">
      <c r="C236" s="256" t="str">
        <f>'10'!D32</f>
        <v xml:space="preserve">1.      Company structure and ownership arrangements </v>
      </c>
      <c r="D236" s="256" t="str">
        <f>'10'!E32</f>
        <v>Our forecasts reflect Power and Water’s current company structure and ownership arrangements.</v>
      </c>
    </row>
    <row r="237" spans="2:4" ht="13.8" thickBot="1" x14ac:dyDescent="0.55000000000000004">
      <c r="C237" s="256" t="str">
        <f>'10'!D33</f>
        <v xml:space="preserve">2.      Regulatory obligations and requirements </v>
      </c>
      <c r="D237" s="256" t="s">
        <v>394</v>
      </c>
    </row>
    <row r="238" spans="2:4" ht="13.8" thickBot="1" x14ac:dyDescent="0.55000000000000004">
      <c r="C238" s="256" t="str">
        <f>'10'!D34</f>
        <v>3.      Security of supply and network reliability</v>
      </c>
      <c r="D238" s="256" t="s">
        <v>395</v>
      </c>
    </row>
    <row r="239" spans="2:4" ht="13.8" thickBot="1" x14ac:dyDescent="0.55000000000000004">
      <c r="C239" s="256" t="str">
        <f>'10'!D35</f>
        <v>4.      Service classification</v>
      </c>
      <c r="D239" s="256" t="s">
        <v>396</v>
      </c>
    </row>
    <row r="240" spans="2:4" ht="13.8" thickBot="1" x14ac:dyDescent="0.55000000000000004">
      <c r="C240" s="256" t="str">
        <f>'10'!D36</f>
        <v>5.      Maximum demand, customer and connection growth</v>
      </c>
      <c r="D240" s="256" t="s">
        <v>397</v>
      </c>
    </row>
    <row r="241" spans="2:4" ht="13.8" thickBot="1" x14ac:dyDescent="0.55000000000000004">
      <c r="C241" s="256" t="str">
        <f>'10'!D37</f>
        <v xml:space="preserve">6.      Connections policy </v>
      </c>
      <c r="D241" s="256" t="s">
        <v>398</v>
      </c>
    </row>
    <row r="242" spans="2:4" ht="13.8" thickBot="1" x14ac:dyDescent="0.55000000000000004">
      <c r="C242" s="256" t="str">
        <f>'10'!D38</f>
        <v>7.      Cost allocation and capitalisation</v>
      </c>
      <c r="D242" s="256" t="s">
        <v>399</v>
      </c>
    </row>
    <row r="243" spans="2:4" ht="13.8" thickBot="1" x14ac:dyDescent="0.55000000000000004">
      <c r="C243" s="256" t="str">
        <f>'10'!D39</f>
        <v>8.      Unit rates</v>
      </c>
      <c r="D243" s="256" t="s">
        <v>400</v>
      </c>
    </row>
    <row r="244" spans="2:4" ht="13.8" thickBot="1" x14ac:dyDescent="0.55000000000000004">
      <c r="C244" s="256" t="str">
        <f>'10'!D40</f>
        <v xml:space="preserve">9.      Cost escalations </v>
      </c>
      <c r="D244" s="256" t="s">
        <v>401</v>
      </c>
    </row>
    <row r="245" spans="2:4" ht="13.8" thickBot="1" x14ac:dyDescent="0.55000000000000004">
      <c r="C245" s="256" t="str">
        <f>'10'!D41</f>
        <v>10.   Inflation</v>
      </c>
      <c r="D245" s="256" t="s">
        <v>402</v>
      </c>
    </row>
    <row r="246" spans="2:4" ht="13.8" thickBot="1" x14ac:dyDescent="0.55000000000000004">
      <c r="C246" s="256" t="str">
        <f>'10'!D42</f>
        <v>11.   Current period capex program</v>
      </c>
      <c r="D246" s="256" t="s">
        <v>403</v>
      </c>
    </row>
    <row r="247" spans="2:4" x14ac:dyDescent="0.5">
      <c r="C247" s="204"/>
      <c r="D247" s="204"/>
    </row>
    <row r="248" spans="2:4" s="139" customFormat="1" x14ac:dyDescent="0.35">
      <c r="B248" s="139" t="s">
        <v>1476</v>
      </c>
    </row>
    <row r="269" spans="2:16" s="139" customFormat="1" x14ac:dyDescent="0.35">
      <c r="B269" s="139" t="s">
        <v>1477</v>
      </c>
    </row>
    <row r="270" spans="2:16" ht="13.2" thickBot="1" x14ac:dyDescent="0.55000000000000004"/>
    <row r="271" spans="2:16" ht="13.2" thickBot="1" x14ac:dyDescent="0.55000000000000004">
      <c r="C271" s="146" t="s">
        <v>245</v>
      </c>
      <c r="D271" s="542" t="s">
        <v>236</v>
      </c>
      <c r="E271" s="542" t="s">
        <v>237</v>
      </c>
      <c r="F271" s="542" t="s">
        <v>238</v>
      </c>
      <c r="G271" s="542" t="s">
        <v>239</v>
      </c>
      <c r="H271" s="542" t="s">
        <v>240</v>
      </c>
      <c r="I271" s="542" t="s">
        <v>112</v>
      </c>
    </row>
    <row r="272" spans="2:16" ht="13.8" thickBot="1" x14ac:dyDescent="0.55000000000000004">
      <c r="C272" s="142" t="s">
        <v>1313</v>
      </c>
      <c r="D272" s="191">
        <f>D321</f>
        <v>31.83854814298725</v>
      </c>
      <c r="E272" s="191">
        <f t="shared" ref="E272:H272" si="19">E321</f>
        <v>36.111007391677376</v>
      </c>
      <c r="F272" s="191">
        <f t="shared" si="19"/>
        <v>31.793848567362048</v>
      </c>
      <c r="G272" s="191">
        <f t="shared" si="19"/>
        <v>21.195445166783653</v>
      </c>
      <c r="H272" s="191">
        <f t="shared" si="19"/>
        <v>18.883992698946454</v>
      </c>
      <c r="I272" s="178">
        <f>SUM(D272:H272)</f>
        <v>139.82284196775677</v>
      </c>
      <c r="K272" s="587"/>
      <c r="L272" s="587"/>
      <c r="M272" s="587"/>
      <c r="N272" s="587"/>
      <c r="O272" s="587"/>
      <c r="P272" s="587"/>
    </row>
    <row r="273" spans="1:15" ht="13.8" thickBot="1" x14ac:dyDescent="0.55000000000000004">
      <c r="C273" s="142" t="s">
        <v>1314</v>
      </c>
      <c r="D273" s="191">
        <f>D398</f>
        <v>2.5527405534415295</v>
      </c>
      <c r="E273" s="191">
        <f t="shared" ref="E273:H273" si="20">E398</f>
        <v>1.8695147241685663</v>
      </c>
      <c r="F273" s="191">
        <f t="shared" si="20"/>
        <v>1.1123414873270119</v>
      </c>
      <c r="G273" s="191">
        <f t="shared" si="20"/>
        <v>0.26941419816266721</v>
      </c>
      <c r="H273" s="191">
        <f t="shared" si="20"/>
        <v>0.28075462147971919</v>
      </c>
      <c r="I273" s="178">
        <f t="shared" ref="I273" si="21">SUM(D273:H273)</f>
        <v>6.0847655845794941</v>
      </c>
      <c r="K273" s="474"/>
      <c r="L273" s="474"/>
      <c r="M273" s="474"/>
      <c r="N273" s="474"/>
      <c r="O273" s="474"/>
    </row>
    <row r="274" spans="1:15" ht="13.8" thickBot="1" x14ac:dyDescent="0.55000000000000004">
      <c r="C274" s="142" t="s">
        <v>1315</v>
      </c>
      <c r="D274" s="191">
        <v>0.53082930843757792</v>
      </c>
      <c r="E274" s="191">
        <v>0.53399835940895024</v>
      </c>
      <c r="F274" s="191">
        <v>0.53782392365575593</v>
      </c>
      <c r="G274" s="191">
        <v>0.54199797512724812</v>
      </c>
      <c r="H274" s="191">
        <v>0.54555727582990887</v>
      </c>
      <c r="I274" s="178">
        <v>2.6902068424594408</v>
      </c>
    </row>
    <row r="275" spans="1:15" ht="13.2" thickBot="1" x14ac:dyDescent="0.55000000000000004">
      <c r="C275" s="151" t="s">
        <v>1316</v>
      </c>
      <c r="D275" s="189">
        <f t="shared" ref="D275:H275" si="22">SUM(D272:D274)</f>
        <v>34.922118004866356</v>
      </c>
      <c r="E275" s="189">
        <f t="shared" si="22"/>
        <v>38.514520475254891</v>
      </c>
      <c r="F275" s="189">
        <f t="shared" si="22"/>
        <v>33.44401397834482</v>
      </c>
      <c r="G275" s="189">
        <f t="shared" si="22"/>
        <v>22.006857340073569</v>
      </c>
      <c r="H275" s="189">
        <f t="shared" si="22"/>
        <v>19.710304596256083</v>
      </c>
      <c r="I275" s="189">
        <f>SUM(I272:I274)</f>
        <v>148.59781439479571</v>
      </c>
    </row>
    <row r="276" spans="1:15" x14ac:dyDescent="0.5">
      <c r="D276" s="587"/>
      <c r="E276" s="587"/>
      <c r="F276" s="587"/>
      <c r="G276" s="587"/>
      <c r="H276" s="587"/>
      <c r="I276" s="587"/>
    </row>
    <row r="277" spans="1:15" x14ac:dyDescent="0.5">
      <c r="A277" s="70">
        <f>IF(SUM(E277:I277)&lt;&gt;0,1,0)</f>
        <v>0</v>
      </c>
      <c r="C277" s="12" t="s">
        <v>1605</v>
      </c>
      <c r="D277" s="70">
        <f>IF(ROUND(D47-D275,2)&lt;&gt;0,1,0)</f>
        <v>0</v>
      </c>
      <c r="E277" s="70">
        <f>IF(ROUND(E47-E275,2)&lt;&gt;0,1,0)</f>
        <v>0</v>
      </c>
      <c r="F277" s="70">
        <f>IF(ROUND(F47-F275,2)&lt;&gt;0,1,0)</f>
        <v>0</v>
      </c>
      <c r="G277" s="70">
        <f>IF(ROUND(G47-G275,2)&lt;&gt;0,1,0)</f>
        <v>0</v>
      </c>
      <c r="H277" s="70">
        <f>IF(ROUND(H47-H275,2)&lt;&gt;0,1,0)</f>
        <v>0</v>
      </c>
      <c r="I277" s="70"/>
    </row>
    <row r="279" spans="1:15" s="139" customFormat="1" x14ac:dyDescent="0.35">
      <c r="B279" s="139" t="s">
        <v>1478</v>
      </c>
    </row>
    <row r="280" spans="1:15" ht="13.2" thickBot="1" x14ac:dyDescent="0.55000000000000004"/>
    <row r="281" spans="1:15" ht="13.2" thickBot="1" x14ac:dyDescent="0.55000000000000004">
      <c r="C281" s="146" t="s">
        <v>1479</v>
      </c>
      <c r="D281" s="542" t="s">
        <v>258</v>
      </c>
    </row>
    <row r="282" spans="1:15" ht="13.8" thickBot="1" x14ac:dyDescent="0.55000000000000004">
      <c r="C282" s="142" t="s">
        <v>1480</v>
      </c>
      <c r="D282" s="478">
        <v>20.86309263220474</v>
      </c>
      <c r="F282" s="204" t="s">
        <v>1619</v>
      </c>
    </row>
    <row r="283" spans="1:15" ht="13.8" thickBot="1" x14ac:dyDescent="0.55000000000000004">
      <c r="C283" s="142" t="s">
        <v>1481</v>
      </c>
      <c r="D283" s="478">
        <v>5.215773158051185</v>
      </c>
      <c r="F283" s="204" t="s">
        <v>951</v>
      </c>
    </row>
    <row r="284" spans="1:15" ht="13.8" thickBot="1" x14ac:dyDescent="0.55000000000000004">
      <c r="C284" s="142" t="s">
        <v>1482</v>
      </c>
      <c r="D284" s="478">
        <v>32.097065588007297</v>
      </c>
    </row>
    <row r="285" spans="1:15" ht="13.8" thickBot="1" x14ac:dyDescent="0.55000000000000004">
      <c r="C285" s="142" t="s">
        <v>1070</v>
      </c>
      <c r="D285" s="478">
        <v>0.40121331985009118</v>
      </c>
    </row>
    <row r="286" spans="1:15" ht="13.8" thickBot="1" x14ac:dyDescent="0.55000000000000004">
      <c r="C286" s="142" t="s">
        <v>1483</v>
      </c>
      <c r="D286" s="478">
        <v>24.97552916066817</v>
      </c>
    </row>
    <row r="287" spans="1:15" ht="13.8" thickBot="1" x14ac:dyDescent="0.55000000000000004">
      <c r="C287" s="142" t="s">
        <v>1484</v>
      </c>
      <c r="D287" s="478">
        <v>17.1518694235914</v>
      </c>
    </row>
    <row r="288" spans="1:15" ht="13.8" thickBot="1" x14ac:dyDescent="0.55000000000000004">
      <c r="C288" s="142" t="s">
        <v>101</v>
      </c>
      <c r="D288" s="478">
        <v>39.118298685383891</v>
      </c>
    </row>
    <row r="289" spans="1:9" ht="13.2" thickBot="1" x14ac:dyDescent="0.55000000000000004">
      <c r="C289" s="151" t="s">
        <v>112</v>
      </c>
      <c r="D289" s="625">
        <f>SUM(D282:D288)</f>
        <v>139.8228419677568</v>
      </c>
    </row>
    <row r="291" spans="1:9" x14ac:dyDescent="0.5">
      <c r="A291" s="70">
        <f>IF(SUM(D291:G291)&lt;&gt;0,1,0)</f>
        <v>0</v>
      </c>
      <c r="C291" s="12" t="s">
        <v>116</v>
      </c>
      <c r="D291" s="70">
        <f>IF(ROUND(I272-D289,1)&lt;&gt;0,1,0)</f>
        <v>0</v>
      </c>
      <c r="E291" s="70"/>
      <c r="F291" s="70"/>
      <c r="G291" s="70"/>
      <c r="H291" s="70"/>
      <c r="I291" s="70"/>
    </row>
    <row r="293" spans="1:9" s="139" customFormat="1" x14ac:dyDescent="0.35">
      <c r="B293" s="139" t="s">
        <v>1485</v>
      </c>
    </row>
    <row r="294" spans="1:9" ht="13.2" thickBot="1" x14ac:dyDescent="0.55000000000000004"/>
    <row r="295" spans="1:9" ht="39" thickBot="1" x14ac:dyDescent="0.55000000000000004">
      <c r="C295" s="146" t="s">
        <v>1479</v>
      </c>
      <c r="D295" s="542" t="s">
        <v>1486</v>
      </c>
      <c r="E295" s="542" t="s">
        <v>1487</v>
      </c>
      <c r="F295" s="542" t="s">
        <v>1488</v>
      </c>
      <c r="G295" s="542" t="s">
        <v>1489</v>
      </c>
    </row>
    <row r="296" spans="1:9" ht="13.8" thickBot="1" x14ac:dyDescent="0.55000000000000004">
      <c r="C296" s="142" t="s">
        <v>1480</v>
      </c>
      <c r="D296" s="191">
        <f>D282</f>
        <v>20.86309263220474</v>
      </c>
      <c r="E296" s="191">
        <v>30.1</v>
      </c>
      <c r="F296" s="191">
        <v>12.2</v>
      </c>
      <c r="G296" s="191">
        <v>7.7</v>
      </c>
      <c r="I296" s="204" t="s">
        <v>1619</v>
      </c>
    </row>
    <row r="297" spans="1:9" ht="13.8" thickBot="1" x14ac:dyDescent="0.55000000000000004">
      <c r="C297" s="142" t="s">
        <v>1481</v>
      </c>
      <c r="D297" s="191">
        <f t="shared" ref="D297:D301" si="23">D283</f>
        <v>5.215773158051185</v>
      </c>
      <c r="E297" s="191">
        <v>5.5</v>
      </c>
      <c r="F297" s="191">
        <v>9.8000000000000007</v>
      </c>
      <c r="G297" s="191">
        <v>6.8</v>
      </c>
      <c r="I297" s="204" t="s">
        <v>951</v>
      </c>
    </row>
    <row r="298" spans="1:9" ht="13.8" thickBot="1" x14ac:dyDescent="0.55000000000000004">
      <c r="C298" s="142" t="s">
        <v>1482</v>
      </c>
      <c r="D298" s="191">
        <f t="shared" si="23"/>
        <v>32.097065588007297</v>
      </c>
      <c r="E298" s="191">
        <v>64.2</v>
      </c>
      <c r="F298" s="191">
        <v>53.5</v>
      </c>
      <c r="G298" s="191">
        <v>72.7</v>
      </c>
    </row>
    <row r="299" spans="1:9" ht="13.8" thickBot="1" x14ac:dyDescent="0.55000000000000004">
      <c r="C299" s="142" t="s">
        <v>1070</v>
      </c>
      <c r="D299" s="191">
        <f t="shared" si="23"/>
        <v>0.40121331985009118</v>
      </c>
      <c r="E299" s="191">
        <v>2</v>
      </c>
      <c r="F299" s="191">
        <v>0.1</v>
      </c>
      <c r="G299" s="191">
        <v>0.6</v>
      </c>
    </row>
    <row r="300" spans="1:9" ht="13.8" thickBot="1" x14ac:dyDescent="0.55000000000000004">
      <c r="C300" s="142" t="s">
        <v>1483</v>
      </c>
      <c r="D300" s="191">
        <f t="shared" si="23"/>
        <v>24.97552916066817</v>
      </c>
      <c r="E300" s="191">
        <v>19.8</v>
      </c>
      <c r="F300" s="191">
        <v>29.5</v>
      </c>
      <c r="G300" s="191">
        <v>36.700000000000003</v>
      </c>
    </row>
    <row r="301" spans="1:9" ht="13.8" thickBot="1" x14ac:dyDescent="0.55000000000000004">
      <c r="C301" s="142" t="s">
        <v>1484</v>
      </c>
      <c r="D301" s="191">
        <f t="shared" si="23"/>
        <v>17.1518694235914</v>
      </c>
      <c r="E301" s="191">
        <v>27.2</v>
      </c>
      <c r="F301" s="191">
        <v>22.9</v>
      </c>
      <c r="G301" s="191">
        <v>20.6</v>
      </c>
    </row>
    <row r="302" spans="1:9" ht="13.8" thickBot="1" x14ac:dyDescent="0.55000000000000004">
      <c r="C302" s="142" t="s">
        <v>1668</v>
      </c>
      <c r="D302" s="191">
        <f>SUM(D296:D301)</f>
        <v>100.7045432823729</v>
      </c>
      <c r="E302" s="191">
        <f t="shared" ref="E302:G302" si="24">SUM(E296:E301)</f>
        <v>148.80000000000001</v>
      </c>
      <c r="F302" s="191">
        <f t="shared" si="24"/>
        <v>128</v>
      </c>
      <c r="G302" s="191">
        <f t="shared" si="24"/>
        <v>145.1</v>
      </c>
    </row>
    <row r="303" spans="1:9" ht="13.8" thickBot="1" x14ac:dyDescent="0.55000000000000004">
      <c r="C303" s="142" t="s">
        <v>1669</v>
      </c>
      <c r="D303" s="626"/>
      <c r="E303" s="626">
        <f>E302/$D302-1</f>
        <v>0.47758974074058136</v>
      </c>
      <c r="F303" s="626">
        <f t="shared" ref="F303:G303" si="25">F302/$D302-1</f>
        <v>0.27104493827146769</v>
      </c>
      <c r="G303" s="626">
        <f t="shared" si="25"/>
        <v>0.44084859799367138</v>
      </c>
    </row>
    <row r="304" spans="1:9" ht="13.8" thickBot="1" x14ac:dyDescent="0.55000000000000004">
      <c r="C304" s="142" t="s">
        <v>1670</v>
      </c>
      <c r="D304" s="191">
        <f>D288</f>
        <v>39.118298685383891</v>
      </c>
      <c r="E304" s="191"/>
      <c r="F304" s="191"/>
      <c r="G304" s="191"/>
    </row>
    <row r="305" spans="1:15" ht="13.8" thickBot="1" x14ac:dyDescent="0.55000000000000004">
      <c r="C305" s="142" t="s">
        <v>112</v>
      </c>
      <c r="D305" s="191">
        <f>D302+D304</f>
        <v>139.8228419677568</v>
      </c>
      <c r="E305" s="198"/>
      <c r="F305" s="198"/>
      <c r="G305" s="198"/>
    </row>
    <row r="307" spans="1:15" x14ac:dyDescent="0.5">
      <c r="A307" s="70">
        <f>IF(SUM(D307:G307)&lt;&gt;0,1,0)</f>
        <v>0</v>
      </c>
      <c r="C307" s="12" t="s">
        <v>116</v>
      </c>
      <c r="D307" s="70">
        <f>IF(ROUND(D289-D305,2)&lt;&gt;0,1,0)</f>
        <v>0</v>
      </c>
      <c r="E307" s="70"/>
      <c r="F307" s="70"/>
      <c r="G307" s="70"/>
      <c r="I307" s="70"/>
    </row>
    <row r="309" spans="1:15" s="139" customFormat="1" x14ac:dyDescent="0.35">
      <c r="B309" s="139" t="s">
        <v>1505</v>
      </c>
    </row>
    <row r="310" spans="1:15" ht="13.2" thickBot="1" x14ac:dyDescent="0.55000000000000004"/>
    <row r="311" spans="1:15" ht="13.2" thickBot="1" x14ac:dyDescent="0.55000000000000004">
      <c r="C311" s="574" t="s">
        <v>1506</v>
      </c>
      <c r="D311" s="575" t="s">
        <v>236</v>
      </c>
      <c r="E311" s="575" t="s">
        <v>237</v>
      </c>
      <c r="F311" s="575" t="s">
        <v>238</v>
      </c>
      <c r="G311" s="575" t="s">
        <v>239</v>
      </c>
      <c r="H311" s="575" t="s">
        <v>240</v>
      </c>
      <c r="I311" s="575" t="s">
        <v>112</v>
      </c>
      <c r="K311" s="750" t="s">
        <v>1614</v>
      </c>
      <c r="L311" s="751"/>
      <c r="M311" s="751"/>
      <c r="N311" s="751"/>
      <c r="O311" s="752"/>
    </row>
    <row r="312" spans="1:15" ht="30.3" thickBot="1" x14ac:dyDescent="0.55000000000000004">
      <c r="C312" s="215" t="s">
        <v>1507</v>
      </c>
      <c r="D312" s="652" t="s">
        <v>1782</v>
      </c>
      <c r="E312" s="652" t="s">
        <v>1782</v>
      </c>
      <c r="F312" s="652" t="s">
        <v>1782</v>
      </c>
      <c r="G312" s="652" t="s">
        <v>1782</v>
      </c>
      <c r="H312" s="652" t="s">
        <v>1782</v>
      </c>
      <c r="I312" s="652" t="s">
        <v>1782</v>
      </c>
      <c r="K312" s="753" t="s">
        <v>1507</v>
      </c>
      <c r="L312" s="754"/>
      <c r="M312" s="754"/>
      <c r="N312" s="754"/>
      <c r="O312" s="755"/>
    </row>
    <row r="313" spans="1:15" ht="15.3" thickBot="1" x14ac:dyDescent="0.55000000000000004">
      <c r="C313" s="215" t="s">
        <v>1508</v>
      </c>
      <c r="D313" s="269">
        <f t="shared" ref="D313:D320" ca="1" si="26">SUMIF($P$658:$R$692,$K313,D$658:D$691)*N$328</f>
        <v>0</v>
      </c>
      <c r="E313" s="269">
        <f t="shared" ref="E313:E320" ca="1" si="27">SUMIF($P$658:$R$692,$K313,E$658:E$691)*O$328</f>
        <v>0</v>
      </c>
      <c r="F313" s="269">
        <f t="shared" ref="F313:F320" ca="1" si="28">SUMIF($P$658:$R$692,$K313,F$658:F$691)*P$328</f>
        <v>0</v>
      </c>
      <c r="G313" s="269">
        <f t="shared" ref="G313:G320" ca="1" si="29">SUMIF($P$658:$R$692,$K313,G$658:G$691)*Q$328</f>
        <v>0</v>
      </c>
      <c r="H313" s="269">
        <f t="shared" ref="H313:H320" ca="1" si="30">SUMIF($P$658:$R$692,$K313,H$658:H$691)*R$328</f>
        <v>0</v>
      </c>
      <c r="I313" s="269">
        <f t="shared" ref="I313:I320" ca="1" si="31">SUM(D313:H313)</f>
        <v>0</v>
      </c>
      <c r="K313" s="753" t="s">
        <v>1508</v>
      </c>
      <c r="L313" s="754"/>
      <c r="M313" s="754"/>
      <c r="N313" s="754"/>
      <c r="O313" s="755"/>
    </row>
    <row r="314" spans="1:15" ht="15.3" thickBot="1" x14ac:dyDescent="0.55000000000000004">
      <c r="C314" s="215" t="s">
        <v>1509</v>
      </c>
      <c r="D314" s="652" t="s">
        <v>1782</v>
      </c>
      <c r="E314" s="652" t="s">
        <v>1782</v>
      </c>
      <c r="F314" s="652" t="s">
        <v>1782</v>
      </c>
      <c r="G314" s="652" t="s">
        <v>1782</v>
      </c>
      <c r="H314" s="652" t="s">
        <v>1782</v>
      </c>
      <c r="I314" s="652" t="s">
        <v>1782</v>
      </c>
      <c r="K314" s="753" t="s">
        <v>1509</v>
      </c>
      <c r="L314" s="754"/>
      <c r="M314" s="754"/>
      <c r="N314" s="754"/>
      <c r="O314" s="755"/>
    </row>
    <row r="315" spans="1:15" ht="15.3" thickBot="1" x14ac:dyDescent="0.55000000000000004">
      <c r="C315" s="215" t="s">
        <v>1510</v>
      </c>
      <c r="D315" s="652" t="s">
        <v>1782</v>
      </c>
      <c r="E315" s="652" t="s">
        <v>1782</v>
      </c>
      <c r="F315" s="652" t="s">
        <v>1782</v>
      </c>
      <c r="G315" s="652" t="s">
        <v>1782</v>
      </c>
      <c r="H315" s="652" t="s">
        <v>1782</v>
      </c>
      <c r="I315" s="652" t="s">
        <v>1782</v>
      </c>
      <c r="K315" s="753" t="s">
        <v>1510</v>
      </c>
      <c r="L315" s="754"/>
      <c r="M315" s="754"/>
      <c r="N315" s="754"/>
      <c r="O315" s="755"/>
    </row>
    <row r="316" spans="1:15" ht="30.3" thickBot="1" x14ac:dyDescent="0.55000000000000004">
      <c r="C316" s="215" t="s">
        <v>1511</v>
      </c>
      <c r="D316" s="269">
        <f t="shared" ca="1" si="26"/>
        <v>0</v>
      </c>
      <c r="E316" s="269">
        <f t="shared" ca="1" si="27"/>
        <v>0</v>
      </c>
      <c r="F316" s="269">
        <f t="shared" ca="1" si="28"/>
        <v>0</v>
      </c>
      <c r="G316" s="269">
        <f t="shared" ca="1" si="29"/>
        <v>0</v>
      </c>
      <c r="H316" s="269">
        <f t="shared" ca="1" si="30"/>
        <v>0</v>
      </c>
      <c r="I316" s="269">
        <f t="shared" ca="1" si="31"/>
        <v>0</v>
      </c>
      <c r="K316" s="753" t="s">
        <v>1511</v>
      </c>
      <c r="L316" s="754"/>
      <c r="M316" s="754"/>
      <c r="N316" s="754"/>
      <c r="O316" s="755"/>
    </row>
    <row r="317" spans="1:15" ht="15.3" thickBot="1" x14ac:dyDescent="0.55000000000000004">
      <c r="C317" s="215" t="s">
        <v>1512</v>
      </c>
      <c r="D317" s="269">
        <f t="shared" ca="1" si="26"/>
        <v>0</v>
      </c>
      <c r="E317" s="269">
        <f t="shared" ca="1" si="27"/>
        <v>0</v>
      </c>
      <c r="F317" s="269">
        <f t="shared" ca="1" si="28"/>
        <v>0</v>
      </c>
      <c r="G317" s="269">
        <f t="shared" ca="1" si="29"/>
        <v>0</v>
      </c>
      <c r="H317" s="269">
        <f t="shared" ca="1" si="30"/>
        <v>0</v>
      </c>
      <c r="I317" s="269">
        <f t="shared" ca="1" si="31"/>
        <v>0</v>
      </c>
      <c r="K317" s="753" t="s">
        <v>1512</v>
      </c>
      <c r="L317" s="754"/>
      <c r="M317" s="754"/>
      <c r="N317" s="754"/>
      <c r="O317" s="755"/>
    </row>
    <row r="318" spans="1:15" ht="30.3" thickBot="1" x14ac:dyDescent="0.55000000000000004">
      <c r="C318" s="215" t="s">
        <v>1513</v>
      </c>
      <c r="D318" s="269">
        <f t="shared" ca="1" si="26"/>
        <v>0</v>
      </c>
      <c r="E318" s="269">
        <f t="shared" ca="1" si="27"/>
        <v>0</v>
      </c>
      <c r="F318" s="269">
        <f t="shared" ca="1" si="28"/>
        <v>0</v>
      </c>
      <c r="G318" s="269">
        <f t="shared" ca="1" si="29"/>
        <v>0</v>
      </c>
      <c r="H318" s="269">
        <f t="shared" ca="1" si="30"/>
        <v>0</v>
      </c>
      <c r="I318" s="269">
        <f t="shared" ca="1" si="31"/>
        <v>0</v>
      </c>
      <c r="K318" s="753" t="s">
        <v>1513</v>
      </c>
      <c r="L318" s="754"/>
      <c r="M318" s="754"/>
      <c r="N318" s="754"/>
      <c r="O318" s="755"/>
    </row>
    <row r="319" spans="1:15" ht="30.3" thickBot="1" x14ac:dyDescent="0.55000000000000004">
      <c r="C319" s="215" t="s">
        <v>1514</v>
      </c>
      <c r="D319" s="269">
        <f t="shared" ca="1" si="26"/>
        <v>0</v>
      </c>
      <c r="E319" s="269">
        <f t="shared" ca="1" si="27"/>
        <v>0</v>
      </c>
      <c r="F319" s="269">
        <f t="shared" ca="1" si="28"/>
        <v>0</v>
      </c>
      <c r="G319" s="269">
        <f t="shared" ca="1" si="29"/>
        <v>0</v>
      </c>
      <c r="H319" s="269">
        <f t="shared" ca="1" si="30"/>
        <v>0</v>
      </c>
      <c r="I319" s="269">
        <f t="shared" ca="1" si="31"/>
        <v>0</v>
      </c>
      <c r="K319" s="753" t="s">
        <v>1514</v>
      </c>
      <c r="L319" s="754"/>
      <c r="M319" s="754"/>
      <c r="N319" s="754"/>
      <c r="O319" s="755"/>
    </row>
    <row r="320" spans="1:15" ht="15.3" thickBot="1" x14ac:dyDescent="0.55000000000000004">
      <c r="C320" s="215" t="s">
        <v>1515</v>
      </c>
      <c r="D320" s="269">
        <f t="shared" ca="1" si="26"/>
        <v>0</v>
      </c>
      <c r="E320" s="269">
        <f t="shared" ca="1" si="27"/>
        <v>0</v>
      </c>
      <c r="F320" s="269">
        <f t="shared" ca="1" si="28"/>
        <v>0</v>
      </c>
      <c r="G320" s="269">
        <f t="shared" ca="1" si="29"/>
        <v>0</v>
      </c>
      <c r="H320" s="269">
        <f t="shared" ca="1" si="30"/>
        <v>0</v>
      </c>
      <c r="I320" s="269">
        <f t="shared" ca="1" si="31"/>
        <v>0</v>
      </c>
      <c r="K320" s="753" t="s">
        <v>1515</v>
      </c>
      <c r="L320" s="754"/>
      <c r="M320" s="754"/>
      <c r="N320" s="754"/>
      <c r="O320" s="755"/>
    </row>
    <row r="321" spans="1:18" ht="15" thickBot="1" x14ac:dyDescent="0.55000000000000004">
      <c r="C321" s="578" t="s">
        <v>1672</v>
      </c>
      <c r="D321" s="443">
        <v>31.83854814298725</v>
      </c>
      <c r="E321" s="443">
        <v>36.111007391677376</v>
      </c>
      <c r="F321" s="443">
        <v>31.793848567362048</v>
      </c>
      <c r="G321" s="443">
        <v>21.195445166783653</v>
      </c>
      <c r="H321" s="443">
        <v>18.883992698946454</v>
      </c>
      <c r="I321" s="443">
        <v>139.8228419677568</v>
      </c>
      <c r="J321" s="656" t="s">
        <v>1766</v>
      </c>
    </row>
    <row r="323" spans="1:18" x14ac:dyDescent="0.5">
      <c r="A323" s="70">
        <f>IF(SUM(D323:I323)&lt;&gt;0,1,0)</f>
        <v>0</v>
      </c>
      <c r="C323" s="12" t="s">
        <v>1609</v>
      </c>
      <c r="D323" s="268">
        <v>0</v>
      </c>
      <c r="E323" s="268">
        <v>0</v>
      </c>
      <c r="F323" s="268">
        <v>0</v>
      </c>
      <c r="G323" s="268">
        <v>0</v>
      </c>
      <c r="H323" s="268">
        <v>0</v>
      </c>
      <c r="I323" s="268">
        <v>0</v>
      </c>
    </row>
    <row r="325" spans="1:18" s="139" customFormat="1" x14ac:dyDescent="0.35">
      <c r="B325" s="139" t="s">
        <v>1516</v>
      </c>
    </row>
    <row r="326" spans="1:18" ht="13.2" thickBot="1" x14ac:dyDescent="0.55000000000000004"/>
    <row r="327" spans="1:18" ht="13.8" thickBot="1" x14ac:dyDescent="0.55000000000000004">
      <c r="C327" s="574" t="s">
        <v>1506</v>
      </c>
      <c r="D327" s="575" t="s">
        <v>236</v>
      </c>
      <c r="E327" s="575" t="s">
        <v>237</v>
      </c>
      <c r="F327" s="575" t="s">
        <v>238</v>
      </c>
      <c r="G327" s="575" t="s">
        <v>239</v>
      </c>
      <c r="H327" s="575" t="s">
        <v>240</v>
      </c>
      <c r="I327" s="575" t="s">
        <v>112</v>
      </c>
      <c r="K327" s="585" t="s">
        <v>1603</v>
      </c>
      <c r="M327" s="592"/>
      <c r="N327" s="537" t="s">
        <v>236</v>
      </c>
      <c r="O327" s="537" t="s">
        <v>237</v>
      </c>
      <c r="P327" s="537" t="s">
        <v>238</v>
      </c>
      <c r="Q327" s="537" t="s">
        <v>239</v>
      </c>
      <c r="R327" s="537" t="s">
        <v>240</v>
      </c>
    </row>
    <row r="328" spans="1:18" ht="26.1" thickBot="1" x14ac:dyDescent="0.55000000000000004">
      <c r="C328" s="576" t="s">
        <v>1517</v>
      </c>
      <c r="D328" s="652" t="s">
        <v>1782</v>
      </c>
      <c r="E328" s="652" t="s">
        <v>1782</v>
      </c>
      <c r="F328" s="652" t="s">
        <v>1782</v>
      </c>
      <c r="G328" s="652" t="s">
        <v>1782</v>
      </c>
      <c r="H328" s="652" t="s">
        <v>1782</v>
      </c>
      <c r="I328" s="652" t="s">
        <v>1782</v>
      </c>
      <c r="K328" s="586" t="s">
        <v>463</v>
      </c>
      <c r="M328" s="588" t="s">
        <v>224</v>
      </c>
      <c r="N328" s="593">
        <f>[4]Escalation!J52</f>
        <v>1.0119853175625957</v>
      </c>
      <c r="O328" s="593">
        <f>[4]Escalation!K52</f>
        <v>1.0180268699084445</v>
      </c>
      <c r="P328" s="593">
        <f>[4]Escalation!L52</f>
        <v>1.0253200144044685</v>
      </c>
      <c r="Q328" s="593">
        <f>[4]Escalation!M52</f>
        <v>1.0332775230362614</v>
      </c>
      <c r="R328" s="593">
        <f>[4]Escalation!N52</f>
        <v>1.0400630565300406</v>
      </c>
    </row>
    <row r="329" spans="1:18" ht="26.65" customHeight="1" thickBot="1" x14ac:dyDescent="0.55000000000000004">
      <c r="C329" s="577" t="s">
        <v>1671</v>
      </c>
      <c r="D329" s="653" t="s">
        <v>1782</v>
      </c>
      <c r="E329" s="653" t="s">
        <v>1782</v>
      </c>
      <c r="F329" s="653" t="s">
        <v>1782</v>
      </c>
      <c r="G329" s="653" t="s">
        <v>1782</v>
      </c>
      <c r="H329" s="653" t="s">
        <v>1782</v>
      </c>
      <c r="I329" s="653" t="s">
        <v>1782</v>
      </c>
      <c r="J329" s="656" t="s">
        <v>1766</v>
      </c>
      <c r="K329" s="655"/>
      <c r="L329" s="655"/>
      <c r="M329" s="655"/>
    </row>
    <row r="330" spans="1:18" x14ac:dyDescent="0.5">
      <c r="J330" s="654"/>
      <c r="K330" s="655"/>
      <c r="L330" s="655"/>
      <c r="M330" s="655"/>
    </row>
    <row r="331" spans="1:18" s="139" customFormat="1" x14ac:dyDescent="0.35">
      <c r="B331" s="139" t="s">
        <v>1518</v>
      </c>
    </row>
    <row r="332" spans="1:18" ht="13.2" thickBot="1" x14ac:dyDescent="0.55000000000000004"/>
    <row r="333" spans="1:18" ht="13.2" thickBot="1" x14ac:dyDescent="0.55000000000000004">
      <c r="C333" s="574" t="s">
        <v>1506</v>
      </c>
      <c r="D333" s="575" t="s">
        <v>236</v>
      </c>
      <c r="E333" s="575" t="s">
        <v>237</v>
      </c>
      <c r="F333" s="575" t="s">
        <v>238</v>
      </c>
      <c r="G333" s="575" t="s">
        <v>239</v>
      </c>
      <c r="H333" s="575" t="s">
        <v>240</v>
      </c>
      <c r="I333" s="575" t="s">
        <v>112</v>
      </c>
      <c r="K333" s="585" t="s">
        <v>1603</v>
      </c>
    </row>
    <row r="334" spans="1:18" ht="26.1" thickBot="1" x14ac:dyDescent="0.55000000000000004">
      <c r="C334" s="576" t="s">
        <v>1519</v>
      </c>
      <c r="D334" s="652" t="s">
        <v>1782</v>
      </c>
      <c r="E334" s="652" t="s">
        <v>1782</v>
      </c>
      <c r="F334" s="652" t="s">
        <v>1782</v>
      </c>
      <c r="G334" s="652" t="s">
        <v>1782</v>
      </c>
      <c r="H334" s="652" t="s">
        <v>1782</v>
      </c>
      <c r="I334" s="652" t="s">
        <v>1782</v>
      </c>
      <c r="K334" s="586" t="s">
        <v>458</v>
      </c>
    </row>
    <row r="335" spans="1:18" ht="13.8" thickBot="1" x14ac:dyDescent="0.55000000000000004">
      <c r="C335" s="576" t="s">
        <v>1520</v>
      </c>
      <c r="D335" s="652" t="s">
        <v>1782</v>
      </c>
      <c r="E335" s="652" t="s">
        <v>1782</v>
      </c>
      <c r="F335" s="652" t="s">
        <v>1782</v>
      </c>
      <c r="G335" s="652" t="s">
        <v>1782</v>
      </c>
      <c r="H335" s="652" t="s">
        <v>1782</v>
      </c>
      <c r="I335" s="652" t="s">
        <v>1782</v>
      </c>
      <c r="K335" s="586" t="s">
        <v>443</v>
      </c>
    </row>
    <row r="336" spans="1:18" ht="26.1" thickBot="1" x14ac:dyDescent="0.55000000000000004">
      <c r="C336" s="576" t="s">
        <v>1521</v>
      </c>
      <c r="D336" s="652" t="s">
        <v>1782</v>
      </c>
      <c r="E336" s="652" t="s">
        <v>1782</v>
      </c>
      <c r="F336" s="652" t="s">
        <v>1782</v>
      </c>
      <c r="G336" s="652" t="s">
        <v>1782</v>
      </c>
      <c r="H336" s="652" t="s">
        <v>1782</v>
      </c>
      <c r="I336" s="652" t="s">
        <v>1782</v>
      </c>
      <c r="K336" s="586" t="s">
        <v>459</v>
      </c>
    </row>
    <row r="337" spans="2:11" ht="13.2" thickBot="1" x14ac:dyDescent="0.55000000000000004">
      <c r="C337" s="577" t="s">
        <v>1673</v>
      </c>
      <c r="D337" s="443">
        <v>5.3168815507696028</v>
      </c>
      <c r="E337" s="443">
        <v>8.2250320403621071</v>
      </c>
      <c r="F337" s="443">
        <v>5.1467547875454907</v>
      </c>
      <c r="G337" s="443">
        <v>3.0412108604362258</v>
      </c>
      <c r="H337" s="443">
        <v>3.7006436811557828</v>
      </c>
      <c r="I337" s="443">
        <v>25.430522920269208</v>
      </c>
      <c r="J337" s="656" t="s">
        <v>1766</v>
      </c>
    </row>
    <row r="339" spans="2:11" s="139" customFormat="1" x14ac:dyDescent="0.35">
      <c r="B339" s="139" t="s">
        <v>1522</v>
      </c>
    </row>
    <row r="340" spans="2:11" ht="13.2" thickBot="1" x14ac:dyDescent="0.55000000000000004"/>
    <row r="341" spans="2:11" ht="13.2" thickBot="1" x14ac:dyDescent="0.55000000000000004">
      <c r="C341" s="574" t="s">
        <v>1506</v>
      </c>
      <c r="D341" s="575" t="s">
        <v>236</v>
      </c>
      <c r="E341" s="575" t="s">
        <v>237</v>
      </c>
      <c r="F341" s="575" t="s">
        <v>238</v>
      </c>
      <c r="G341" s="575" t="s">
        <v>239</v>
      </c>
      <c r="H341" s="575" t="s">
        <v>240</v>
      </c>
      <c r="I341" s="575" t="s">
        <v>112</v>
      </c>
      <c r="K341" s="585" t="s">
        <v>1603</v>
      </c>
    </row>
    <row r="342" spans="2:11" ht="13.8" thickBot="1" x14ac:dyDescent="0.55000000000000004">
      <c r="C342" s="576" t="s">
        <v>1523</v>
      </c>
      <c r="D342" s="652" t="s">
        <v>1782</v>
      </c>
      <c r="E342" s="652" t="s">
        <v>1782</v>
      </c>
      <c r="F342" s="652" t="s">
        <v>1782</v>
      </c>
      <c r="G342" s="652" t="s">
        <v>1782</v>
      </c>
      <c r="H342" s="652" t="s">
        <v>1782</v>
      </c>
      <c r="I342" s="652" t="s">
        <v>1782</v>
      </c>
      <c r="K342" s="586" t="s">
        <v>440</v>
      </c>
    </row>
    <row r="343" spans="2:11" ht="13.2" thickBot="1" x14ac:dyDescent="0.55000000000000004">
      <c r="C343" s="577" t="s">
        <v>1674</v>
      </c>
      <c r="D343" s="653" t="s">
        <v>1782</v>
      </c>
      <c r="E343" s="653" t="s">
        <v>1782</v>
      </c>
      <c r="F343" s="653" t="s">
        <v>1782</v>
      </c>
      <c r="G343" s="653" t="s">
        <v>1782</v>
      </c>
      <c r="H343" s="653" t="s">
        <v>1782</v>
      </c>
      <c r="I343" s="653" t="s">
        <v>1782</v>
      </c>
      <c r="J343" s="656" t="s">
        <v>1766</v>
      </c>
    </row>
    <row r="345" spans="2:11" s="139" customFormat="1" x14ac:dyDescent="0.35">
      <c r="B345" s="139" t="s">
        <v>1524</v>
      </c>
    </row>
    <row r="346" spans="2:11" ht="13.2" thickBot="1" x14ac:dyDescent="0.55000000000000004"/>
    <row r="347" spans="2:11" ht="13.2" thickBot="1" x14ac:dyDescent="0.55000000000000004">
      <c r="C347" s="574" t="s">
        <v>1506</v>
      </c>
      <c r="D347" s="575" t="s">
        <v>236</v>
      </c>
      <c r="E347" s="575" t="s">
        <v>237</v>
      </c>
      <c r="F347" s="575" t="s">
        <v>238</v>
      </c>
      <c r="G347" s="575" t="s">
        <v>239</v>
      </c>
      <c r="H347" s="575" t="s">
        <v>240</v>
      </c>
      <c r="I347" s="575" t="s">
        <v>112</v>
      </c>
      <c r="K347" s="585" t="s">
        <v>1603</v>
      </c>
    </row>
    <row r="348" spans="2:11" ht="13.8" thickBot="1" x14ac:dyDescent="0.55000000000000004">
      <c r="C348" s="576" t="s">
        <v>1525</v>
      </c>
      <c r="D348" s="652" t="s">
        <v>1782</v>
      </c>
      <c r="E348" s="652" t="s">
        <v>1782</v>
      </c>
      <c r="F348" s="652" t="s">
        <v>1782</v>
      </c>
      <c r="G348" s="652" t="s">
        <v>1782</v>
      </c>
      <c r="H348" s="652" t="s">
        <v>1782</v>
      </c>
      <c r="I348" s="652" t="s">
        <v>1782</v>
      </c>
      <c r="K348" s="586" t="s">
        <v>439</v>
      </c>
    </row>
    <row r="349" spans="2:11" ht="13.2" thickBot="1" x14ac:dyDescent="0.55000000000000004">
      <c r="C349" s="577" t="s">
        <v>1675</v>
      </c>
      <c r="D349" s="653" t="s">
        <v>1782</v>
      </c>
      <c r="E349" s="653" t="s">
        <v>1782</v>
      </c>
      <c r="F349" s="653" t="s">
        <v>1782</v>
      </c>
      <c r="G349" s="653" t="s">
        <v>1782</v>
      </c>
      <c r="H349" s="653" t="s">
        <v>1782</v>
      </c>
      <c r="I349" s="653" t="s">
        <v>1782</v>
      </c>
      <c r="J349" s="656" t="s">
        <v>1766</v>
      </c>
    </row>
    <row r="351" spans="2:11" s="139" customFormat="1" x14ac:dyDescent="0.35">
      <c r="B351" s="139" t="s">
        <v>1526</v>
      </c>
    </row>
    <row r="352" spans="2:11" ht="13.2" thickBot="1" x14ac:dyDescent="0.55000000000000004"/>
    <row r="353" spans="2:11" ht="13.2" thickBot="1" x14ac:dyDescent="0.55000000000000004">
      <c r="C353" s="574" t="s">
        <v>1506</v>
      </c>
      <c r="D353" s="575" t="s">
        <v>236</v>
      </c>
      <c r="E353" s="575" t="s">
        <v>237</v>
      </c>
      <c r="F353" s="575" t="s">
        <v>238</v>
      </c>
      <c r="G353" s="575" t="s">
        <v>239</v>
      </c>
      <c r="H353" s="575" t="s">
        <v>240</v>
      </c>
      <c r="I353" s="575" t="s">
        <v>112</v>
      </c>
      <c r="K353" s="585" t="s">
        <v>1603</v>
      </c>
    </row>
    <row r="354" spans="2:11" ht="26.1" thickBot="1" x14ac:dyDescent="0.55000000000000004">
      <c r="C354" s="576" t="s">
        <v>1527</v>
      </c>
      <c r="D354" s="652" t="s">
        <v>1782</v>
      </c>
      <c r="E354" s="652" t="s">
        <v>1782</v>
      </c>
      <c r="F354" s="652" t="s">
        <v>1782</v>
      </c>
      <c r="G354" s="652" t="s">
        <v>1782</v>
      </c>
      <c r="H354" s="652" t="s">
        <v>1782</v>
      </c>
      <c r="I354" s="652" t="s">
        <v>1782</v>
      </c>
      <c r="K354" s="586" t="s">
        <v>450</v>
      </c>
    </row>
    <row r="355" spans="2:11" ht="26.1" thickBot="1" x14ac:dyDescent="0.55000000000000004">
      <c r="C355" s="576" t="s">
        <v>1528</v>
      </c>
      <c r="D355" s="652" t="s">
        <v>1782</v>
      </c>
      <c r="E355" s="652" t="s">
        <v>1782</v>
      </c>
      <c r="F355" s="652" t="s">
        <v>1782</v>
      </c>
      <c r="G355" s="652" t="s">
        <v>1782</v>
      </c>
      <c r="H355" s="652" t="s">
        <v>1782</v>
      </c>
      <c r="I355" s="652" t="s">
        <v>1782</v>
      </c>
      <c r="K355" s="586" t="s">
        <v>454</v>
      </c>
    </row>
    <row r="356" spans="2:11" ht="26.1" thickBot="1" x14ac:dyDescent="0.55000000000000004">
      <c r="C356" s="576" t="s">
        <v>1529</v>
      </c>
      <c r="D356" s="652" t="s">
        <v>1782</v>
      </c>
      <c r="E356" s="652" t="s">
        <v>1782</v>
      </c>
      <c r="F356" s="652" t="s">
        <v>1782</v>
      </c>
      <c r="G356" s="652" t="s">
        <v>1782</v>
      </c>
      <c r="H356" s="652" t="s">
        <v>1782</v>
      </c>
      <c r="I356" s="652" t="s">
        <v>1782</v>
      </c>
      <c r="K356" s="586" t="s">
        <v>455</v>
      </c>
    </row>
    <row r="357" spans="2:11" ht="26.1" thickBot="1" x14ac:dyDescent="0.55000000000000004">
      <c r="C357" s="577" t="s">
        <v>1676</v>
      </c>
      <c r="D357" s="443">
        <v>1.0513110670030783</v>
      </c>
      <c r="E357" s="443">
        <v>1.8185090329189788</v>
      </c>
      <c r="F357" s="443">
        <v>7.055662780123269</v>
      </c>
      <c r="G357" s="443">
        <v>1.7570031825275119</v>
      </c>
      <c r="H357" s="443">
        <v>0.65828451021191725</v>
      </c>
      <c r="I357" s="443">
        <v>12.340770572784756</v>
      </c>
      <c r="J357" s="656" t="s">
        <v>1766</v>
      </c>
    </row>
    <row r="359" spans="2:11" s="139" customFormat="1" x14ac:dyDescent="0.35">
      <c r="B359" s="139" t="s">
        <v>1530</v>
      </c>
    </row>
    <row r="360" spans="2:11" ht="13.2" thickBot="1" x14ac:dyDescent="0.55000000000000004"/>
    <row r="361" spans="2:11" ht="13.2" thickBot="1" x14ac:dyDescent="0.55000000000000004">
      <c r="C361" s="574" t="s">
        <v>1506</v>
      </c>
      <c r="D361" s="575" t="s">
        <v>236</v>
      </c>
      <c r="E361" s="575" t="s">
        <v>237</v>
      </c>
      <c r="F361" s="575" t="s">
        <v>238</v>
      </c>
      <c r="G361" s="575" t="s">
        <v>239</v>
      </c>
      <c r="H361" s="575" t="s">
        <v>240</v>
      </c>
      <c r="I361" s="575" t="s">
        <v>112</v>
      </c>
      <c r="K361" s="585" t="s">
        <v>1603</v>
      </c>
    </row>
    <row r="362" spans="2:11" ht="26.1" thickBot="1" x14ac:dyDescent="0.55000000000000004">
      <c r="C362" s="576" t="s">
        <v>1531</v>
      </c>
      <c r="D362" s="652" t="s">
        <v>1782</v>
      </c>
      <c r="E362" s="652" t="s">
        <v>1782</v>
      </c>
      <c r="F362" s="652" t="s">
        <v>1782</v>
      </c>
      <c r="G362" s="652" t="s">
        <v>1782</v>
      </c>
      <c r="H362" s="652" t="s">
        <v>1782</v>
      </c>
      <c r="I362" s="652" t="s">
        <v>1782</v>
      </c>
      <c r="K362" s="586" t="s">
        <v>470</v>
      </c>
    </row>
    <row r="363" spans="2:11" ht="26.1" thickBot="1" x14ac:dyDescent="0.55000000000000004">
      <c r="C363" s="576" t="s">
        <v>1532</v>
      </c>
      <c r="D363" s="652" t="s">
        <v>1782</v>
      </c>
      <c r="E363" s="652" t="s">
        <v>1782</v>
      </c>
      <c r="F363" s="652" t="s">
        <v>1782</v>
      </c>
      <c r="G363" s="652" t="s">
        <v>1782</v>
      </c>
      <c r="H363" s="652" t="s">
        <v>1782</v>
      </c>
      <c r="I363" s="652" t="s">
        <v>1782</v>
      </c>
      <c r="K363" s="586" t="s">
        <v>473</v>
      </c>
    </row>
    <row r="364" spans="2:11" ht="26.1" thickBot="1" x14ac:dyDescent="0.55000000000000004">
      <c r="C364" s="576" t="s">
        <v>1533</v>
      </c>
      <c r="D364" s="652" t="s">
        <v>1782</v>
      </c>
      <c r="E364" s="652" t="s">
        <v>1782</v>
      </c>
      <c r="F364" s="652" t="s">
        <v>1782</v>
      </c>
      <c r="G364" s="652" t="s">
        <v>1782</v>
      </c>
      <c r="H364" s="652" t="s">
        <v>1782</v>
      </c>
      <c r="I364" s="652" t="s">
        <v>1782</v>
      </c>
      <c r="K364" s="586" t="s">
        <v>464</v>
      </c>
    </row>
    <row r="365" spans="2:11" ht="26.1" thickBot="1" x14ac:dyDescent="0.55000000000000004">
      <c r="C365" s="576" t="s">
        <v>1534</v>
      </c>
      <c r="D365" s="652" t="s">
        <v>1782</v>
      </c>
      <c r="E365" s="652" t="s">
        <v>1782</v>
      </c>
      <c r="F365" s="652" t="s">
        <v>1782</v>
      </c>
      <c r="G365" s="652" t="s">
        <v>1782</v>
      </c>
      <c r="H365" s="652" t="s">
        <v>1782</v>
      </c>
      <c r="I365" s="652" t="s">
        <v>1782</v>
      </c>
      <c r="K365" s="586" t="s">
        <v>469</v>
      </c>
    </row>
    <row r="366" spans="2:11" ht="26.1" thickBot="1" x14ac:dyDescent="0.55000000000000004">
      <c r="C366" s="577" t="s">
        <v>1677</v>
      </c>
      <c r="D366" s="443">
        <v>2.1526692659814337</v>
      </c>
      <c r="E366" s="443">
        <v>1.9973081048548225</v>
      </c>
      <c r="F366" s="443">
        <v>2.0338387691909938</v>
      </c>
      <c r="G366" s="443">
        <v>2.072742339077728</v>
      </c>
      <c r="H366" s="443">
        <v>2.0793929263436044</v>
      </c>
      <c r="I366" s="443">
        <v>10.335951405448583</v>
      </c>
      <c r="J366" s="656" t="s">
        <v>1766</v>
      </c>
    </row>
    <row r="368" spans="2:11" s="139" customFormat="1" x14ac:dyDescent="0.35">
      <c r="B368" s="139" t="s">
        <v>1535</v>
      </c>
    </row>
    <row r="369" spans="2:11" ht="13.2" thickBot="1" x14ac:dyDescent="0.55000000000000004"/>
    <row r="370" spans="2:11" ht="13.2" thickBot="1" x14ac:dyDescent="0.55000000000000004">
      <c r="C370" s="574" t="s">
        <v>1506</v>
      </c>
      <c r="D370" s="575" t="s">
        <v>236</v>
      </c>
      <c r="E370" s="575" t="s">
        <v>237</v>
      </c>
      <c r="F370" s="575" t="s">
        <v>238</v>
      </c>
      <c r="G370" s="575" t="s">
        <v>239</v>
      </c>
      <c r="H370" s="575" t="s">
        <v>240</v>
      </c>
      <c r="I370" s="575" t="s">
        <v>112</v>
      </c>
      <c r="K370" s="585" t="s">
        <v>1603</v>
      </c>
    </row>
    <row r="371" spans="2:11" ht="13.8" thickBot="1" x14ac:dyDescent="0.55000000000000004">
      <c r="C371" s="576" t="s">
        <v>1536</v>
      </c>
      <c r="D371" s="652" t="s">
        <v>1782</v>
      </c>
      <c r="E371" s="652" t="s">
        <v>1782</v>
      </c>
      <c r="F371" s="652" t="s">
        <v>1782</v>
      </c>
      <c r="G371" s="652" t="s">
        <v>1782</v>
      </c>
      <c r="H371" s="652" t="s">
        <v>1782</v>
      </c>
      <c r="I371" s="652" t="s">
        <v>1782</v>
      </c>
      <c r="K371" s="586" t="s">
        <v>448</v>
      </c>
    </row>
    <row r="372" spans="2:11" ht="26.1" thickBot="1" x14ac:dyDescent="0.55000000000000004">
      <c r="C372" s="576" t="s">
        <v>1537</v>
      </c>
      <c r="D372" s="652" t="s">
        <v>1782</v>
      </c>
      <c r="E372" s="652" t="s">
        <v>1782</v>
      </c>
      <c r="F372" s="652" t="s">
        <v>1782</v>
      </c>
      <c r="G372" s="652" t="s">
        <v>1782</v>
      </c>
      <c r="H372" s="652" t="s">
        <v>1782</v>
      </c>
      <c r="I372" s="652" t="s">
        <v>1782</v>
      </c>
      <c r="K372" s="586" t="s">
        <v>445</v>
      </c>
    </row>
    <row r="373" spans="2:11" ht="26.1" thickBot="1" x14ac:dyDescent="0.55000000000000004">
      <c r="C373" s="576" t="s">
        <v>1538</v>
      </c>
      <c r="D373" s="652" t="s">
        <v>1782</v>
      </c>
      <c r="E373" s="652" t="s">
        <v>1782</v>
      </c>
      <c r="F373" s="652" t="s">
        <v>1782</v>
      </c>
      <c r="G373" s="652" t="s">
        <v>1782</v>
      </c>
      <c r="H373" s="652" t="s">
        <v>1782</v>
      </c>
      <c r="I373" s="652" t="s">
        <v>1782</v>
      </c>
      <c r="K373" s="586" t="s">
        <v>442</v>
      </c>
    </row>
    <row r="374" spans="2:11" ht="26.1" thickBot="1" x14ac:dyDescent="0.55000000000000004">
      <c r="C374" s="576" t="s">
        <v>1539</v>
      </c>
      <c r="D374" s="652" t="s">
        <v>1782</v>
      </c>
      <c r="E374" s="652" t="s">
        <v>1782</v>
      </c>
      <c r="F374" s="652" t="s">
        <v>1782</v>
      </c>
      <c r="G374" s="652" t="s">
        <v>1782</v>
      </c>
      <c r="H374" s="652" t="s">
        <v>1782</v>
      </c>
      <c r="I374" s="652" t="s">
        <v>1782</v>
      </c>
      <c r="K374" s="586" t="s">
        <v>471</v>
      </c>
    </row>
    <row r="375" spans="2:11" ht="26.1" thickBot="1" x14ac:dyDescent="0.55000000000000004">
      <c r="C375" s="577" t="s">
        <v>1678</v>
      </c>
      <c r="D375" s="443">
        <v>0.46977876419232034</v>
      </c>
      <c r="E375" s="443">
        <v>1.8424504798320507</v>
      </c>
      <c r="F375" s="443">
        <v>5.4778362594567742</v>
      </c>
      <c r="G375" s="443">
        <v>2.4638192553542742</v>
      </c>
      <c r="H375" s="443">
        <v>0</v>
      </c>
      <c r="I375" s="443">
        <v>10.253884758835419</v>
      </c>
      <c r="J375" s="656" t="s">
        <v>1766</v>
      </c>
    </row>
    <row r="377" spans="2:11" s="139" customFormat="1" x14ac:dyDescent="0.35">
      <c r="B377" s="139" t="s">
        <v>1540</v>
      </c>
    </row>
    <row r="378" spans="2:11" ht="13.2" thickBot="1" x14ac:dyDescent="0.55000000000000004"/>
    <row r="379" spans="2:11" ht="13.2" thickBot="1" x14ac:dyDescent="0.55000000000000004">
      <c r="C379" s="574" t="s">
        <v>1506</v>
      </c>
      <c r="D379" s="575" t="s">
        <v>236</v>
      </c>
      <c r="E379" s="575" t="s">
        <v>237</v>
      </c>
      <c r="F379" s="575" t="s">
        <v>238</v>
      </c>
      <c r="G379" s="575" t="s">
        <v>239</v>
      </c>
      <c r="H379" s="575" t="s">
        <v>240</v>
      </c>
      <c r="I379" s="575" t="s">
        <v>112</v>
      </c>
      <c r="K379" s="585" t="s">
        <v>1603</v>
      </c>
    </row>
    <row r="380" spans="2:11" ht="26.1" thickBot="1" x14ac:dyDescent="0.55000000000000004">
      <c r="C380" s="576" t="s">
        <v>1541</v>
      </c>
      <c r="D380" s="652" t="s">
        <v>1782</v>
      </c>
      <c r="E380" s="652" t="s">
        <v>1782</v>
      </c>
      <c r="F380" s="652" t="s">
        <v>1782</v>
      </c>
      <c r="G380" s="652" t="s">
        <v>1782</v>
      </c>
      <c r="H380" s="652" t="s">
        <v>1782</v>
      </c>
      <c r="I380" s="652" t="s">
        <v>1782</v>
      </c>
      <c r="K380" s="586" t="s">
        <v>441</v>
      </c>
    </row>
    <row r="381" spans="2:11" ht="26.1" thickBot="1" x14ac:dyDescent="0.55000000000000004">
      <c r="C381" s="576" t="s">
        <v>1542</v>
      </c>
      <c r="D381" s="652" t="s">
        <v>1782</v>
      </c>
      <c r="E381" s="652" t="s">
        <v>1782</v>
      </c>
      <c r="F381" s="652" t="s">
        <v>1782</v>
      </c>
      <c r="G381" s="652" t="s">
        <v>1782</v>
      </c>
      <c r="H381" s="652" t="s">
        <v>1782</v>
      </c>
      <c r="I381" s="652" t="s">
        <v>1782</v>
      </c>
      <c r="K381" s="586" t="s">
        <v>457</v>
      </c>
    </row>
    <row r="382" spans="2:11" ht="26.1" thickBot="1" x14ac:dyDescent="0.55000000000000004">
      <c r="C382" s="577" t="s">
        <v>1679</v>
      </c>
      <c r="D382" s="443">
        <v>2.8559237646934017</v>
      </c>
      <c r="E382" s="443">
        <v>3.2841419569887682</v>
      </c>
      <c r="F382" s="443">
        <v>0.79677618319371246</v>
      </c>
      <c r="G382" s="443">
        <v>0.80295996315147877</v>
      </c>
      <c r="H382" s="443">
        <v>0.8082330012294946</v>
      </c>
      <c r="I382" s="443">
        <v>8.5480348692568562</v>
      </c>
      <c r="J382" s="656" t="s">
        <v>1766</v>
      </c>
    </row>
    <row r="384" spans="2:11" s="139" customFormat="1" x14ac:dyDescent="0.35">
      <c r="B384" s="139" t="s">
        <v>1543</v>
      </c>
    </row>
    <row r="385" spans="2:11" ht="13.2" thickBot="1" x14ac:dyDescent="0.55000000000000004"/>
    <row r="386" spans="2:11" ht="13.2" thickBot="1" x14ac:dyDescent="0.55000000000000004">
      <c r="C386" s="574" t="s">
        <v>1506</v>
      </c>
      <c r="D386" s="575" t="s">
        <v>236</v>
      </c>
      <c r="E386" s="575" t="s">
        <v>237</v>
      </c>
      <c r="F386" s="575" t="s">
        <v>238</v>
      </c>
      <c r="G386" s="575" t="s">
        <v>239</v>
      </c>
      <c r="H386" s="575" t="s">
        <v>240</v>
      </c>
      <c r="I386" s="575" t="s">
        <v>112</v>
      </c>
      <c r="K386" s="585" t="s">
        <v>1603</v>
      </c>
    </row>
    <row r="387" spans="2:11" ht="26.1" thickBot="1" x14ac:dyDescent="0.55000000000000004">
      <c r="C387" s="576" t="s">
        <v>1544</v>
      </c>
      <c r="D387" s="652" t="s">
        <v>1782</v>
      </c>
      <c r="E387" s="652" t="s">
        <v>1782</v>
      </c>
      <c r="F387" s="652" t="s">
        <v>1782</v>
      </c>
      <c r="G387" s="652" t="s">
        <v>1782</v>
      </c>
      <c r="H387" s="652" t="s">
        <v>1782</v>
      </c>
      <c r="I387" s="652" t="s">
        <v>1782</v>
      </c>
      <c r="K387" s="586" t="s">
        <v>462</v>
      </c>
    </row>
    <row r="388" spans="2:11" ht="26.1" thickBot="1" x14ac:dyDescent="0.55000000000000004">
      <c r="C388" s="576" t="s">
        <v>1545</v>
      </c>
      <c r="D388" s="652" t="s">
        <v>1782</v>
      </c>
      <c r="E388" s="652" t="s">
        <v>1782</v>
      </c>
      <c r="F388" s="652" t="s">
        <v>1782</v>
      </c>
      <c r="G388" s="652" t="s">
        <v>1782</v>
      </c>
      <c r="H388" s="652" t="s">
        <v>1782</v>
      </c>
      <c r="I388" s="652" t="s">
        <v>1782</v>
      </c>
      <c r="K388" s="586" t="s">
        <v>452</v>
      </c>
    </row>
    <row r="389" spans="2:11" ht="26.1" thickBot="1" x14ac:dyDescent="0.55000000000000004">
      <c r="C389" s="576" t="s">
        <v>1546</v>
      </c>
      <c r="D389" s="652" t="s">
        <v>1782</v>
      </c>
      <c r="E389" s="652" t="s">
        <v>1782</v>
      </c>
      <c r="F389" s="652" t="s">
        <v>1782</v>
      </c>
      <c r="G389" s="652" t="s">
        <v>1782</v>
      </c>
      <c r="H389" s="652" t="s">
        <v>1782</v>
      </c>
      <c r="I389" s="652" t="s">
        <v>1782</v>
      </c>
      <c r="K389" s="586" t="s">
        <v>453</v>
      </c>
    </row>
    <row r="390" spans="2:11" ht="26.1" thickBot="1" x14ac:dyDescent="0.55000000000000004">
      <c r="C390" s="576" t="s">
        <v>1547</v>
      </c>
      <c r="D390" s="652" t="s">
        <v>1782</v>
      </c>
      <c r="E390" s="652" t="s">
        <v>1782</v>
      </c>
      <c r="F390" s="652" t="s">
        <v>1782</v>
      </c>
      <c r="G390" s="652" t="s">
        <v>1782</v>
      </c>
      <c r="H390" s="652" t="s">
        <v>1782</v>
      </c>
      <c r="I390" s="652" t="s">
        <v>1782</v>
      </c>
      <c r="K390" s="586" t="s">
        <v>465</v>
      </c>
    </row>
    <row r="391" spans="2:11" ht="13.2" thickBot="1" x14ac:dyDescent="0.55000000000000004">
      <c r="C391" s="577" t="s">
        <v>1680</v>
      </c>
      <c r="D391" s="443">
        <v>1.0642455043431751</v>
      </c>
      <c r="E391" s="443">
        <v>1.1633981801041193</v>
      </c>
      <c r="F391" s="443">
        <v>1.1785997172978573</v>
      </c>
      <c r="G391" s="443">
        <v>0.83687445633195567</v>
      </c>
      <c r="H391" s="443">
        <v>0.71353148970385449</v>
      </c>
      <c r="I391" s="443">
        <v>4.9566493477809619</v>
      </c>
      <c r="J391" s="656" t="s">
        <v>1766</v>
      </c>
    </row>
    <row r="393" spans="2:11" s="139" customFormat="1" x14ac:dyDescent="0.35">
      <c r="B393" s="139" t="s">
        <v>1548</v>
      </c>
    </row>
    <row r="394" spans="2:11" ht="13.2" thickBot="1" x14ac:dyDescent="0.55000000000000004"/>
    <row r="395" spans="2:11" ht="13.2" thickBot="1" x14ac:dyDescent="0.55000000000000004">
      <c r="C395" s="574" t="s">
        <v>1506</v>
      </c>
      <c r="D395" s="575" t="s">
        <v>236</v>
      </c>
      <c r="E395" s="575" t="s">
        <v>237</v>
      </c>
      <c r="F395" s="575" t="s">
        <v>238</v>
      </c>
      <c r="G395" s="575" t="s">
        <v>239</v>
      </c>
      <c r="H395" s="575" t="s">
        <v>240</v>
      </c>
      <c r="I395" s="575" t="s">
        <v>112</v>
      </c>
      <c r="K395" s="585" t="s">
        <v>1603</v>
      </c>
    </row>
    <row r="396" spans="2:11" ht="26.1" thickBot="1" x14ac:dyDescent="0.55000000000000004">
      <c r="C396" s="576" t="s">
        <v>1549</v>
      </c>
      <c r="D396" s="652" t="s">
        <v>1782</v>
      </c>
      <c r="E396" s="652" t="s">
        <v>1782</v>
      </c>
      <c r="F396" s="652" t="s">
        <v>1782</v>
      </c>
      <c r="G396" s="652" t="s">
        <v>1782</v>
      </c>
      <c r="H396" s="652" t="s">
        <v>1782</v>
      </c>
      <c r="I396" s="652" t="s">
        <v>1782</v>
      </c>
      <c r="K396" s="586" t="s">
        <v>460</v>
      </c>
    </row>
    <row r="397" spans="2:11" ht="26.1" thickBot="1" x14ac:dyDescent="0.55000000000000004">
      <c r="C397" s="576" t="s">
        <v>1550</v>
      </c>
      <c r="D397" s="652" t="s">
        <v>1782</v>
      </c>
      <c r="E397" s="652" t="s">
        <v>1782</v>
      </c>
      <c r="F397" s="652" t="s">
        <v>1782</v>
      </c>
      <c r="G397" s="652" t="s">
        <v>1782</v>
      </c>
      <c r="H397" s="652" t="s">
        <v>1782</v>
      </c>
      <c r="I397" s="652" t="s">
        <v>1782</v>
      </c>
      <c r="K397" s="586" t="s">
        <v>456</v>
      </c>
    </row>
    <row r="398" spans="2:11" ht="13.2" thickBot="1" x14ac:dyDescent="0.55000000000000004">
      <c r="C398" s="577" t="s">
        <v>1681</v>
      </c>
      <c r="D398" s="443">
        <v>2.5527405534415295</v>
      </c>
      <c r="E398" s="443">
        <v>1.8695147241685663</v>
      </c>
      <c r="F398" s="443">
        <v>1.1123414873270119</v>
      </c>
      <c r="G398" s="443">
        <v>0.26941419816266721</v>
      </c>
      <c r="H398" s="443">
        <v>0.28075462147971919</v>
      </c>
      <c r="I398" s="443">
        <v>6.0847655845794941</v>
      </c>
      <c r="J398" s="656" t="s">
        <v>1766</v>
      </c>
    </row>
    <row r="400" spans="2:11" s="139" customFormat="1" x14ac:dyDescent="0.35">
      <c r="B400" s="139" t="s">
        <v>1551</v>
      </c>
    </row>
    <row r="401" spans="2:11" ht="13.2" thickBot="1" x14ac:dyDescent="0.55000000000000004"/>
    <row r="402" spans="2:11" ht="13.2" thickBot="1" x14ac:dyDescent="0.55000000000000004">
      <c r="C402" s="574" t="s">
        <v>1506</v>
      </c>
      <c r="D402" s="575" t="s">
        <v>236</v>
      </c>
      <c r="E402" s="575" t="s">
        <v>237</v>
      </c>
      <c r="F402" s="575" t="s">
        <v>238</v>
      </c>
      <c r="G402" s="575" t="s">
        <v>239</v>
      </c>
      <c r="H402" s="575" t="s">
        <v>240</v>
      </c>
      <c r="I402" s="575" t="s">
        <v>112</v>
      </c>
      <c r="K402" s="585" t="s">
        <v>1603</v>
      </c>
    </row>
    <row r="403" spans="2:11" ht="13.8" thickBot="1" x14ac:dyDescent="0.55000000000000004">
      <c r="C403" s="576" t="s">
        <v>1552</v>
      </c>
      <c r="D403" s="652" t="s">
        <v>1782</v>
      </c>
      <c r="E403" s="652" t="s">
        <v>1782</v>
      </c>
      <c r="F403" s="652" t="s">
        <v>1782</v>
      </c>
      <c r="G403" s="652" t="s">
        <v>1782</v>
      </c>
      <c r="H403" s="652" t="s">
        <v>1782</v>
      </c>
      <c r="I403" s="652" t="s">
        <v>1782</v>
      </c>
      <c r="K403" s="586" t="s">
        <v>466</v>
      </c>
    </row>
    <row r="404" spans="2:11" ht="26.1" thickBot="1" x14ac:dyDescent="0.55000000000000004">
      <c r="C404" s="577" t="s">
        <v>1682</v>
      </c>
      <c r="D404" s="653" t="s">
        <v>1782</v>
      </c>
      <c r="E404" s="653" t="s">
        <v>1782</v>
      </c>
      <c r="F404" s="653" t="s">
        <v>1782</v>
      </c>
      <c r="G404" s="653" t="s">
        <v>1782</v>
      </c>
      <c r="H404" s="653" t="s">
        <v>1782</v>
      </c>
      <c r="I404" s="653" t="s">
        <v>1782</v>
      </c>
      <c r="J404" s="656" t="s">
        <v>1766</v>
      </c>
    </row>
    <row r="406" spans="2:11" s="139" customFormat="1" x14ac:dyDescent="0.35">
      <c r="B406" s="139" t="s">
        <v>1553</v>
      </c>
    </row>
    <row r="425" spans="2:2" s="139" customFormat="1" x14ac:dyDescent="0.35">
      <c r="B425" s="139" t="s">
        <v>1554</v>
      </c>
    </row>
    <row r="449" spans="1:15" s="139" customFormat="1" x14ac:dyDescent="0.35">
      <c r="B449" s="139" t="s">
        <v>1555</v>
      </c>
    </row>
    <row r="450" spans="1:15" ht="13.2" thickBot="1" x14ac:dyDescent="0.55000000000000004"/>
    <row r="451" spans="1:15" ht="13.2" thickBot="1" x14ac:dyDescent="0.55000000000000004">
      <c r="C451" s="574" t="s">
        <v>1506</v>
      </c>
      <c r="D451" s="575" t="s">
        <v>236</v>
      </c>
      <c r="E451" s="575" t="s">
        <v>237</v>
      </c>
      <c r="F451" s="575" t="s">
        <v>238</v>
      </c>
      <c r="G451" s="575" t="s">
        <v>239</v>
      </c>
      <c r="H451" s="575" t="s">
        <v>240</v>
      </c>
      <c r="I451" s="575" t="s">
        <v>112</v>
      </c>
      <c r="K451" s="750" t="s">
        <v>1750</v>
      </c>
      <c r="L451" s="751"/>
      <c r="M451" s="751"/>
      <c r="N451" s="751"/>
      <c r="O451" s="752"/>
    </row>
    <row r="452" spans="1:15" ht="13.8" thickBot="1" x14ac:dyDescent="0.55000000000000004">
      <c r="C452" s="576" t="s">
        <v>1318</v>
      </c>
      <c r="D452" s="269">
        <v>2.8973139641817114</v>
      </c>
      <c r="E452" s="269">
        <v>1.2491189693776612</v>
      </c>
      <c r="F452" s="269">
        <v>10.693575090231406</v>
      </c>
      <c r="G452" s="269">
        <v>11.833094193811265</v>
      </c>
      <c r="H452" s="269">
        <v>10.608058141137116</v>
      </c>
      <c r="I452" s="269">
        <v>37.281160358739157</v>
      </c>
      <c r="K452" s="582" t="s">
        <v>1604</v>
      </c>
      <c r="L452" s="583"/>
      <c r="M452" s="583"/>
      <c r="N452" s="583"/>
      <c r="O452" s="584"/>
    </row>
    <row r="453" spans="1:15" ht="13.8" thickBot="1" x14ac:dyDescent="0.55000000000000004">
      <c r="C453" s="576" t="s">
        <v>1556</v>
      </c>
      <c r="D453" s="269">
        <v>3.0106475460925983</v>
      </c>
      <c r="E453" s="269">
        <v>3.0110444835698851</v>
      </c>
      <c r="F453" s="269">
        <v>2.312732702022843</v>
      </c>
      <c r="G453" s="269">
        <v>4.2338154675728701</v>
      </c>
      <c r="H453" s="269">
        <v>2.2617138975877653</v>
      </c>
      <c r="I453" s="269">
        <v>14.829954096845963</v>
      </c>
      <c r="K453" s="582" t="s">
        <v>1556</v>
      </c>
      <c r="L453" s="583"/>
      <c r="M453" s="583"/>
      <c r="N453" s="583"/>
      <c r="O453" s="584"/>
    </row>
    <row r="454" spans="1:15" ht="13.8" thickBot="1" x14ac:dyDescent="0.55000000000000004">
      <c r="C454" s="576" t="s">
        <v>1557</v>
      </c>
      <c r="D454" s="269">
        <v>1.4869429166175425</v>
      </c>
      <c r="E454" s="269">
        <v>1.4958199658297495</v>
      </c>
      <c r="F454" s="269">
        <v>2.450086763320666</v>
      </c>
      <c r="G454" s="269">
        <v>1.5182282461166774</v>
      </c>
      <c r="H454" s="269">
        <v>1.5281984510089259</v>
      </c>
      <c r="I454" s="269">
        <v>8.4792763428935611</v>
      </c>
      <c r="K454" s="582" t="s">
        <v>1557</v>
      </c>
      <c r="L454" s="583"/>
      <c r="M454" s="583"/>
      <c r="N454" s="583"/>
      <c r="O454" s="584"/>
    </row>
    <row r="455" spans="1:15" ht="13.2" thickBot="1" x14ac:dyDescent="0.55000000000000004">
      <c r="C455" s="577" t="s">
        <v>1683</v>
      </c>
      <c r="D455" s="443">
        <v>7.3949044268918529</v>
      </c>
      <c r="E455" s="443">
        <v>5.755983418777296</v>
      </c>
      <c r="F455" s="443">
        <v>15.456394555574914</v>
      </c>
      <c r="G455" s="443">
        <v>17.585137907500812</v>
      </c>
      <c r="H455" s="443">
        <v>14.397970489733808</v>
      </c>
      <c r="I455" s="443">
        <v>60.590390798478687</v>
      </c>
    </row>
    <row r="457" spans="1:15" x14ac:dyDescent="0.5">
      <c r="A457" s="70">
        <f>IF(SUM(D457:I457)&lt;&gt;0,1,0)</f>
        <v>0</v>
      </c>
      <c r="C457" s="12" t="s">
        <v>1606</v>
      </c>
      <c r="D457" s="268">
        <f t="shared" ref="D457:I457" si="32">IF(ROUND(D48-D455,3)=0,0,1)</f>
        <v>0</v>
      </c>
      <c r="E457" s="268">
        <f t="shared" si="32"/>
        <v>0</v>
      </c>
      <c r="F457" s="268">
        <f t="shared" si="32"/>
        <v>0</v>
      </c>
      <c r="G457" s="268">
        <f t="shared" si="32"/>
        <v>0</v>
      </c>
      <c r="H457" s="268">
        <f t="shared" si="32"/>
        <v>0</v>
      </c>
      <c r="I457" s="268">
        <f t="shared" si="32"/>
        <v>0</v>
      </c>
    </row>
    <row r="459" spans="1:15" s="139" customFormat="1" x14ac:dyDescent="0.35">
      <c r="B459" s="139" t="s">
        <v>1558</v>
      </c>
    </row>
    <row r="460" spans="1:15" ht="13.2" thickBot="1" x14ac:dyDescent="0.55000000000000004"/>
    <row r="461" spans="1:15" ht="13.2" thickBot="1" x14ac:dyDescent="0.55000000000000004">
      <c r="C461" s="574" t="s">
        <v>1506</v>
      </c>
      <c r="D461" s="575" t="s">
        <v>236</v>
      </c>
      <c r="E461" s="575" t="s">
        <v>237</v>
      </c>
      <c r="F461" s="575" t="s">
        <v>238</v>
      </c>
      <c r="G461" s="575" t="s">
        <v>239</v>
      </c>
      <c r="H461" s="575" t="s">
        <v>240</v>
      </c>
      <c r="I461" s="575" t="s">
        <v>112</v>
      </c>
      <c r="K461" s="585" t="s">
        <v>1603</v>
      </c>
    </row>
    <row r="462" spans="1:15" ht="26.1" thickBot="1" x14ac:dyDescent="0.55000000000000004">
      <c r="C462" s="576" t="s">
        <v>1559</v>
      </c>
      <c r="D462" s="652" t="s">
        <v>1782</v>
      </c>
      <c r="E462" s="652" t="s">
        <v>1782</v>
      </c>
      <c r="F462" s="652" t="s">
        <v>1782</v>
      </c>
      <c r="G462" s="652" t="s">
        <v>1782</v>
      </c>
      <c r="H462" s="652" t="s">
        <v>1782</v>
      </c>
      <c r="I462" s="652" t="s">
        <v>1782</v>
      </c>
      <c r="K462" s="586" t="s">
        <v>474</v>
      </c>
    </row>
    <row r="463" spans="1:15" ht="26.1" thickBot="1" x14ac:dyDescent="0.55000000000000004">
      <c r="C463" s="576" t="s">
        <v>1560</v>
      </c>
      <c r="D463" s="652" t="s">
        <v>1782</v>
      </c>
      <c r="E463" s="652" t="s">
        <v>1782</v>
      </c>
      <c r="F463" s="652" t="s">
        <v>1782</v>
      </c>
      <c r="G463" s="652" t="s">
        <v>1782</v>
      </c>
      <c r="H463" s="652" t="s">
        <v>1782</v>
      </c>
      <c r="I463" s="652" t="s">
        <v>1782</v>
      </c>
      <c r="K463" s="586" t="s">
        <v>481</v>
      </c>
    </row>
    <row r="464" spans="1:15" ht="26.1" thickBot="1" x14ac:dyDescent="0.55000000000000004">
      <c r="C464" s="576" t="s">
        <v>1561</v>
      </c>
      <c r="D464" s="652" t="s">
        <v>1782</v>
      </c>
      <c r="E464" s="652" t="s">
        <v>1782</v>
      </c>
      <c r="F464" s="652" t="s">
        <v>1782</v>
      </c>
      <c r="G464" s="652" t="s">
        <v>1782</v>
      </c>
      <c r="H464" s="652" t="s">
        <v>1782</v>
      </c>
      <c r="I464" s="652" t="s">
        <v>1782</v>
      </c>
      <c r="K464" s="586" t="s">
        <v>475</v>
      </c>
    </row>
    <row r="465" spans="1:11" ht="26.1" thickBot="1" x14ac:dyDescent="0.55000000000000004">
      <c r="C465" s="576" t="s">
        <v>1562</v>
      </c>
      <c r="D465" s="652" t="s">
        <v>1782</v>
      </c>
      <c r="E465" s="652" t="s">
        <v>1782</v>
      </c>
      <c r="F465" s="652" t="s">
        <v>1782</v>
      </c>
      <c r="G465" s="652" t="s">
        <v>1782</v>
      </c>
      <c r="H465" s="652" t="s">
        <v>1782</v>
      </c>
      <c r="I465" s="652" t="s">
        <v>1782</v>
      </c>
      <c r="K465" s="586" t="s">
        <v>484</v>
      </c>
    </row>
    <row r="466" spans="1:11" ht="13.2" thickBot="1" x14ac:dyDescent="0.55000000000000004">
      <c r="C466" s="579" t="s">
        <v>1684</v>
      </c>
      <c r="D466" s="443">
        <v>2.8973139641817114</v>
      </c>
      <c r="E466" s="443">
        <v>1.2491189693776612</v>
      </c>
      <c r="F466" s="443">
        <v>10.693575090231406</v>
      </c>
      <c r="G466" s="443">
        <v>11.833094193811265</v>
      </c>
      <c r="H466" s="443">
        <v>10.608058141137114</v>
      </c>
      <c r="I466" s="443">
        <v>37.281160358739157</v>
      </c>
      <c r="J466" s="656" t="s">
        <v>1766</v>
      </c>
    </row>
    <row r="468" spans="1:11" x14ac:dyDescent="0.5">
      <c r="A468" s="70">
        <f>IF(SUM(D468:I468)&lt;&gt;0,1,0)</f>
        <v>0</v>
      </c>
      <c r="C468" s="12" t="s">
        <v>1607</v>
      </c>
      <c r="D468" s="268">
        <f>IF(ROUND(D452-D466,3)=0,0,1)</f>
        <v>0</v>
      </c>
      <c r="E468" s="268">
        <f t="shared" ref="E468:I468" si="33">IF(ROUND(E452-E466,3)=0,0,1)</f>
        <v>0</v>
      </c>
      <c r="F468" s="268">
        <f t="shared" si="33"/>
        <v>0</v>
      </c>
      <c r="G468" s="268">
        <f t="shared" si="33"/>
        <v>0</v>
      </c>
      <c r="H468" s="268">
        <f t="shared" si="33"/>
        <v>0</v>
      </c>
      <c r="I468" s="268">
        <f t="shared" si="33"/>
        <v>0</v>
      </c>
    </row>
    <row r="470" spans="1:11" s="139" customFormat="1" x14ac:dyDescent="0.35">
      <c r="B470" s="139" t="s">
        <v>1563</v>
      </c>
    </row>
    <row r="471" spans="1:11" ht="13.2" thickBot="1" x14ac:dyDescent="0.55000000000000004"/>
    <row r="472" spans="1:11" ht="13.2" thickBot="1" x14ac:dyDescent="0.55000000000000004">
      <c r="C472" s="574" t="s">
        <v>1506</v>
      </c>
      <c r="D472" s="575" t="s">
        <v>236</v>
      </c>
      <c r="E472" s="575" t="s">
        <v>237</v>
      </c>
      <c r="F472" s="575" t="s">
        <v>238</v>
      </c>
      <c r="G472" s="575" t="s">
        <v>239</v>
      </c>
      <c r="H472" s="575" t="s">
        <v>240</v>
      </c>
      <c r="I472" s="575" t="s">
        <v>112</v>
      </c>
      <c r="K472" s="585" t="s">
        <v>1603</v>
      </c>
    </row>
    <row r="473" spans="1:11" ht="26.1" thickBot="1" x14ac:dyDescent="0.55000000000000004">
      <c r="C473" s="576" t="s">
        <v>1564</v>
      </c>
      <c r="D473" s="652" t="s">
        <v>1782</v>
      </c>
      <c r="E473" s="652" t="s">
        <v>1782</v>
      </c>
      <c r="F473" s="652" t="s">
        <v>1782</v>
      </c>
      <c r="G473" s="652" t="s">
        <v>1782</v>
      </c>
      <c r="H473" s="652" t="s">
        <v>1782</v>
      </c>
      <c r="I473" s="652" t="s">
        <v>1782</v>
      </c>
      <c r="K473" s="586" t="s">
        <v>482</v>
      </c>
    </row>
    <row r="474" spans="1:11" ht="26.1" thickBot="1" x14ac:dyDescent="0.55000000000000004">
      <c r="C474" s="576" t="s">
        <v>1565</v>
      </c>
      <c r="D474" s="652" t="s">
        <v>1782</v>
      </c>
      <c r="E474" s="652" t="s">
        <v>1782</v>
      </c>
      <c r="F474" s="652" t="s">
        <v>1782</v>
      </c>
      <c r="G474" s="652" t="s">
        <v>1782</v>
      </c>
      <c r="H474" s="652" t="s">
        <v>1782</v>
      </c>
      <c r="I474" s="652" t="s">
        <v>1782</v>
      </c>
      <c r="K474" s="586" t="s">
        <v>477</v>
      </c>
    </row>
    <row r="475" spans="1:11" ht="26.1" thickBot="1" x14ac:dyDescent="0.55000000000000004">
      <c r="C475" s="576" t="s">
        <v>1566</v>
      </c>
      <c r="D475" s="652" t="s">
        <v>1782</v>
      </c>
      <c r="E475" s="652" t="s">
        <v>1782</v>
      </c>
      <c r="F475" s="652" t="s">
        <v>1782</v>
      </c>
      <c r="G475" s="652" t="s">
        <v>1782</v>
      </c>
      <c r="H475" s="652" t="s">
        <v>1782</v>
      </c>
      <c r="I475" s="652" t="s">
        <v>1782</v>
      </c>
      <c r="K475" s="586" t="s">
        <v>485</v>
      </c>
    </row>
    <row r="476" spans="1:11" ht="26.1" thickBot="1" x14ac:dyDescent="0.55000000000000004">
      <c r="C476" s="576" t="s">
        <v>1567</v>
      </c>
      <c r="D476" s="652" t="s">
        <v>1782</v>
      </c>
      <c r="E476" s="652" t="s">
        <v>1782</v>
      </c>
      <c r="F476" s="652" t="s">
        <v>1782</v>
      </c>
      <c r="G476" s="652" t="s">
        <v>1782</v>
      </c>
      <c r="H476" s="652" t="s">
        <v>1782</v>
      </c>
      <c r="I476" s="652" t="s">
        <v>1782</v>
      </c>
      <c r="K476" s="586" t="s">
        <v>480</v>
      </c>
    </row>
    <row r="477" spans="1:11" ht="26.1" thickBot="1" x14ac:dyDescent="0.55000000000000004">
      <c r="C477" s="576" t="s">
        <v>1568</v>
      </c>
      <c r="D477" s="652" t="s">
        <v>1782</v>
      </c>
      <c r="E477" s="652" t="s">
        <v>1782</v>
      </c>
      <c r="F477" s="652" t="s">
        <v>1782</v>
      </c>
      <c r="G477" s="652" t="s">
        <v>1782</v>
      </c>
      <c r="H477" s="652" t="s">
        <v>1782</v>
      </c>
      <c r="I477" s="652" t="s">
        <v>1782</v>
      </c>
      <c r="K477" s="586" t="s">
        <v>1217</v>
      </c>
    </row>
    <row r="478" spans="1:11" ht="13.2" thickBot="1" x14ac:dyDescent="0.55000000000000004">
      <c r="C478" s="579" t="s">
        <v>1685</v>
      </c>
      <c r="D478" s="443">
        <v>3.0106475460925979</v>
      </c>
      <c r="E478" s="443">
        <v>3.0110444835698855</v>
      </c>
      <c r="F478" s="443">
        <v>2.312732702022843</v>
      </c>
      <c r="G478" s="443">
        <v>4.233815467572871</v>
      </c>
      <c r="H478" s="443">
        <v>2.2617138975877653</v>
      </c>
      <c r="I478" s="443">
        <v>14.829954096845963</v>
      </c>
      <c r="J478" s="656" t="s">
        <v>1766</v>
      </c>
    </row>
    <row r="480" spans="1:11" x14ac:dyDescent="0.5">
      <c r="A480" s="70">
        <f>IF(SUM(D480:I480)&lt;&gt;0,1,0)</f>
        <v>0</v>
      </c>
      <c r="C480" s="12" t="s">
        <v>1608</v>
      </c>
      <c r="D480" s="268">
        <f>IF(ROUND(D453-D478,3)=0,0,1)</f>
        <v>0</v>
      </c>
      <c r="E480" s="268">
        <f t="shared" ref="E480:I480" si="34">IF(ROUND(E453-E478,3)=0,0,1)</f>
        <v>0</v>
      </c>
      <c r="F480" s="268">
        <f t="shared" si="34"/>
        <v>0</v>
      </c>
      <c r="G480" s="268">
        <f t="shared" si="34"/>
        <v>0</v>
      </c>
      <c r="H480" s="268">
        <f t="shared" si="34"/>
        <v>0</v>
      </c>
      <c r="I480" s="268">
        <f t="shared" si="34"/>
        <v>0</v>
      </c>
    </row>
    <row r="482" spans="1:11" s="139" customFormat="1" x14ac:dyDescent="0.35">
      <c r="B482" s="139" t="s">
        <v>1569</v>
      </c>
    </row>
    <row r="483" spans="1:11" ht="13.2" thickBot="1" x14ac:dyDescent="0.55000000000000004"/>
    <row r="484" spans="1:11" ht="13.2" thickBot="1" x14ac:dyDescent="0.55000000000000004">
      <c r="C484" s="574" t="s">
        <v>1506</v>
      </c>
      <c r="D484" s="575" t="s">
        <v>236</v>
      </c>
      <c r="E484" s="575" t="s">
        <v>237</v>
      </c>
      <c r="F484" s="575" t="s">
        <v>238</v>
      </c>
      <c r="G484" s="575" t="s">
        <v>239</v>
      </c>
      <c r="H484" s="575" t="s">
        <v>240</v>
      </c>
      <c r="I484" s="575" t="s">
        <v>112</v>
      </c>
      <c r="K484" s="585" t="s">
        <v>1603</v>
      </c>
    </row>
    <row r="485" spans="1:11" ht="39" thickBot="1" x14ac:dyDescent="0.55000000000000004">
      <c r="C485" s="576" t="s">
        <v>1570</v>
      </c>
      <c r="D485" s="652" t="s">
        <v>1782</v>
      </c>
      <c r="E485" s="652" t="s">
        <v>1782</v>
      </c>
      <c r="F485" s="652" t="s">
        <v>1782</v>
      </c>
      <c r="G485" s="652" t="s">
        <v>1782</v>
      </c>
      <c r="H485" s="652" t="s">
        <v>1782</v>
      </c>
      <c r="I485" s="652" t="s">
        <v>1782</v>
      </c>
      <c r="K485" s="586" t="s">
        <v>486</v>
      </c>
    </row>
    <row r="486" spans="1:11" ht="26.1" thickBot="1" x14ac:dyDescent="0.55000000000000004">
      <c r="C486" s="576" t="s">
        <v>1571</v>
      </c>
      <c r="D486" s="652" t="s">
        <v>1782</v>
      </c>
      <c r="E486" s="652" t="s">
        <v>1782</v>
      </c>
      <c r="F486" s="652" t="s">
        <v>1782</v>
      </c>
      <c r="G486" s="652" t="s">
        <v>1782</v>
      </c>
      <c r="H486" s="652" t="s">
        <v>1782</v>
      </c>
      <c r="I486" s="652" t="s">
        <v>1782</v>
      </c>
      <c r="K486" s="586" t="s">
        <v>478</v>
      </c>
    </row>
    <row r="487" spans="1:11" ht="13.8" thickBot="1" x14ac:dyDescent="0.55000000000000004">
      <c r="C487" s="576" t="s">
        <v>1572</v>
      </c>
      <c r="D487" s="652" t="s">
        <v>1782</v>
      </c>
      <c r="E487" s="652" t="s">
        <v>1782</v>
      </c>
      <c r="F487" s="652" t="s">
        <v>1782</v>
      </c>
      <c r="G487" s="652" t="s">
        <v>1782</v>
      </c>
      <c r="H487" s="652" t="s">
        <v>1782</v>
      </c>
      <c r="I487" s="652" t="s">
        <v>1782</v>
      </c>
      <c r="K487" s="586" t="s">
        <v>476</v>
      </c>
    </row>
    <row r="488" spans="1:11" ht="26.1" thickBot="1" x14ac:dyDescent="0.55000000000000004">
      <c r="C488" s="579" t="s">
        <v>1686</v>
      </c>
      <c r="D488" s="443">
        <v>1.4869429166175427</v>
      </c>
      <c r="E488" s="443">
        <v>1.4958199658297495</v>
      </c>
      <c r="F488" s="443">
        <v>2.450086763320666</v>
      </c>
      <c r="G488" s="443">
        <v>1.5182282461166774</v>
      </c>
      <c r="H488" s="443">
        <v>1.5281984510089259</v>
      </c>
      <c r="I488" s="443">
        <v>8.4792763428935629</v>
      </c>
      <c r="J488" s="656" t="s">
        <v>1766</v>
      </c>
    </row>
    <row r="490" spans="1:11" x14ac:dyDescent="0.5">
      <c r="A490" s="70">
        <f>IF(SUM(D490:I490)&lt;&gt;0,1,0)</f>
        <v>0</v>
      </c>
      <c r="C490" s="12" t="s">
        <v>1610</v>
      </c>
      <c r="D490" s="268">
        <f>IF(ROUND(D454-D488,3)=0,0,1)</f>
        <v>0</v>
      </c>
      <c r="E490" s="268">
        <f t="shared" ref="E490:I490" si="35">IF(ROUND(E454-E488,3)=0,0,1)</f>
        <v>0</v>
      </c>
      <c r="F490" s="268">
        <f t="shared" si="35"/>
        <v>0</v>
      </c>
      <c r="G490" s="268">
        <f t="shared" si="35"/>
        <v>0</v>
      </c>
      <c r="H490" s="268">
        <f t="shared" si="35"/>
        <v>0</v>
      </c>
      <c r="I490" s="268">
        <f t="shared" si="35"/>
        <v>0</v>
      </c>
    </row>
    <row r="492" spans="1:11" s="139" customFormat="1" x14ac:dyDescent="0.35">
      <c r="B492" s="139" t="s">
        <v>1687</v>
      </c>
    </row>
    <row r="493" spans="1:11" ht="13.2" thickBot="1" x14ac:dyDescent="0.55000000000000004"/>
    <row r="494" spans="1:11" ht="13.8" thickBot="1" x14ac:dyDescent="0.55000000000000004">
      <c r="C494" s="205"/>
      <c r="D494" s="206" t="s">
        <v>236</v>
      </c>
      <c r="E494" s="206" t="s">
        <v>237</v>
      </c>
      <c r="F494" s="206" t="s">
        <v>238</v>
      </c>
      <c r="G494" s="206" t="s">
        <v>239</v>
      </c>
      <c r="H494" s="206" t="s">
        <v>240</v>
      </c>
      <c r="I494" s="206" t="s">
        <v>112</v>
      </c>
    </row>
    <row r="495" spans="1:11" ht="13.8" thickBot="1" x14ac:dyDescent="0.55000000000000004">
      <c r="C495" s="208" t="s">
        <v>488</v>
      </c>
      <c r="D495" s="556">
        <f>'10'!E173</f>
        <v>12.647893670135225</v>
      </c>
      <c r="E495" s="556">
        <f>'10'!F173</f>
        <v>13.378655156962429</v>
      </c>
      <c r="F495" s="556">
        <f>'10'!G173</f>
        <v>13.564976556766927</v>
      </c>
      <c r="G495" s="556">
        <f>'10'!H173</f>
        <v>11.49268757276556</v>
      </c>
      <c r="H495" s="556">
        <f>'10'!I173</f>
        <v>11.589754799327023</v>
      </c>
      <c r="I495" s="556">
        <f t="shared" ref="I495" si="36">SUM(D495:H495)</f>
        <v>62.673967755957172</v>
      </c>
      <c r="K495" s="398" t="s">
        <v>1252</v>
      </c>
    </row>
    <row r="497" spans="1:9" ht="15" x14ac:dyDescent="0.5">
      <c r="A497" s="70">
        <f>IF(SUM(D497:H497)&lt;&gt;0,1,0)</f>
        <v>0</v>
      </c>
      <c r="C497" s="270" t="s">
        <v>1251</v>
      </c>
      <c r="D497" s="268">
        <f>IF(ROUND('[4]Total by category'!U27-D495,2)&lt;&gt;0,1,0)</f>
        <v>0</v>
      </c>
      <c r="E497" s="268">
        <f>IF(ROUND('[4]Total by category'!V27-E495,2)&lt;&gt;0,1,0)</f>
        <v>0</v>
      </c>
      <c r="F497" s="268">
        <f>IF(ROUND('[4]Total by category'!W27-F495,2)&lt;&gt;0,1,0)</f>
        <v>0</v>
      </c>
      <c r="G497" s="268">
        <f>IF(ROUND('[4]Total by category'!X27-G495,2)&lt;&gt;0,1,0)</f>
        <v>0</v>
      </c>
      <c r="H497" s="268">
        <f>IF(ROUND('[4]Total by category'!Y27-H495,2)&lt;&gt;0,1,0)</f>
        <v>0</v>
      </c>
      <c r="I497" s="268"/>
    </row>
    <row r="499" spans="1:9" s="139" customFormat="1" x14ac:dyDescent="0.35">
      <c r="B499" s="139" t="s">
        <v>1688</v>
      </c>
    </row>
    <row r="523" spans="2:4" s="139" customFormat="1" x14ac:dyDescent="0.35">
      <c r="B523" s="139" t="s">
        <v>1573</v>
      </c>
    </row>
    <row r="524" spans="2:4" ht="13.2" thickBot="1" x14ac:dyDescent="0.55000000000000004"/>
    <row r="525" spans="2:4" ht="13.2" thickBot="1" x14ac:dyDescent="0.55000000000000004">
      <c r="C525" s="214" t="s">
        <v>489</v>
      </c>
      <c r="D525" s="206" t="s">
        <v>490</v>
      </c>
    </row>
    <row r="526" spans="2:4" ht="13.8" thickBot="1" x14ac:dyDescent="0.55000000000000004">
      <c r="C526" s="208" t="s">
        <v>491</v>
      </c>
      <c r="D526" s="216" t="s">
        <v>492</v>
      </c>
    </row>
    <row r="527" spans="2:4" ht="13.8" thickBot="1" x14ac:dyDescent="0.55000000000000004">
      <c r="C527" s="208" t="s">
        <v>493</v>
      </c>
      <c r="D527" s="216" t="s">
        <v>494</v>
      </c>
    </row>
    <row r="528" spans="2:4" ht="13.8" thickBot="1" x14ac:dyDescent="0.55000000000000004">
      <c r="C528" s="208" t="s">
        <v>495</v>
      </c>
      <c r="D528" s="216" t="s">
        <v>496</v>
      </c>
    </row>
    <row r="530" spans="2:9" s="139" customFormat="1" x14ac:dyDescent="0.35">
      <c r="B530" s="139" t="s">
        <v>1574</v>
      </c>
    </row>
    <row r="531" spans="2:9" ht="13.2" thickBot="1" x14ac:dyDescent="0.55000000000000004"/>
    <row r="532" spans="2:9" ht="39" thickBot="1" x14ac:dyDescent="0.55000000000000004">
      <c r="C532" s="205" t="s">
        <v>489</v>
      </c>
      <c r="D532" s="206" t="s">
        <v>497</v>
      </c>
    </row>
    <row r="533" spans="2:9" ht="13.8" thickBot="1" x14ac:dyDescent="0.55000000000000004">
      <c r="C533" s="208" t="s">
        <v>491</v>
      </c>
      <c r="D533" s="217" t="s">
        <v>498</v>
      </c>
    </row>
    <row r="534" spans="2:9" ht="13.5" x14ac:dyDescent="0.5">
      <c r="C534" s="746" t="s">
        <v>493</v>
      </c>
      <c r="D534" s="218" t="s">
        <v>499</v>
      </c>
    </row>
    <row r="535" spans="2:9" ht="13.5" x14ac:dyDescent="0.5">
      <c r="C535" s="747"/>
      <c r="D535" s="218" t="s">
        <v>500</v>
      </c>
    </row>
    <row r="536" spans="2:9" ht="13.8" thickBot="1" x14ac:dyDescent="0.55000000000000004">
      <c r="C536" s="748"/>
      <c r="D536" s="217" t="s">
        <v>501</v>
      </c>
    </row>
    <row r="537" spans="2:9" ht="13.8" thickBot="1" x14ac:dyDescent="0.55000000000000004">
      <c r="C537" s="208" t="s">
        <v>495</v>
      </c>
      <c r="D537" s="217" t="s">
        <v>498</v>
      </c>
    </row>
    <row r="539" spans="2:9" s="139" customFormat="1" x14ac:dyDescent="0.35">
      <c r="B539" s="139" t="s">
        <v>1575</v>
      </c>
    </row>
    <row r="540" spans="2:9" ht="13.2" thickBot="1" x14ac:dyDescent="0.55000000000000004"/>
    <row r="541" spans="2:9" ht="23.1" customHeight="1" thickBot="1" x14ac:dyDescent="0.55000000000000004">
      <c r="C541" s="205"/>
      <c r="D541" s="206" t="s">
        <v>236</v>
      </c>
      <c r="E541" s="206" t="s">
        <v>237</v>
      </c>
      <c r="F541" s="206" t="s">
        <v>238</v>
      </c>
      <c r="G541" s="206" t="s">
        <v>239</v>
      </c>
      <c r="H541" s="206" t="s">
        <v>240</v>
      </c>
      <c r="I541" s="206" t="s">
        <v>112</v>
      </c>
    </row>
    <row r="542" spans="2:9" ht="13.8" thickBot="1" x14ac:dyDescent="0.55000000000000004">
      <c r="C542" s="208" t="s">
        <v>491</v>
      </c>
      <c r="D542" s="269">
        <v>1.5920740233178503</v>
      </c>
      <c r="E542" s="269">
        <v>0.9884694777675227</v>
      </c>
      <c r="F542" s="269">
        <v>0.23567800787098231</v>
      </c>
      <c r="G542" s="269">
        <v>0</v>
      </c>
      <c r="H542" s="269">
        <v>0</v>
      </c>
      <c r="I542" s="269">
        <f t="shared" ref="I542:I544" si="37">SUM(D542:H542)</f>
        <v>2.8162215089563549</v>
      </c>
    </row>
    <row r="543" spans="2:9" ht="13.8" thickBot="1" x14ac:dyDescent="0.55000000000000004">
      <c r="C543" s="208" t="s">
        <v>493</v>
      </c>
      <c r="D543" s="269">
        <v>5.3849891240276175</v>
      </c>
      <c r="E543" s="269">
        <v>7.0697739522084335</v>
      </c>
      <c r="F543" s="269">
        <v>4.1202407726044488</v>
      </c>
      <c r="G543" s="269">
        <v>1.6423616303148272</v>
      </c>
      <c r="H543" s="269">
        <v>2.1360619835178261</v>
      </c>
      <c r="I543" s="269">
        <f t="shared" si="37"/>
        <v>20.353427462673157</v>
      </c>
    </row>
    <row r="544" spans="2:9" ht="13.8" thickBot="1" x14ac:dyDescent="0.55000000000000004">
      <c r="C544" s="208" t="s">
        <v>495</v>
      </c>
      <c r="D544" s="269">
        <v>3.7388801952777779</v>
      </c>
      <c r="E544" s="269">
        <v>1.3747595190475645</v>
      </c>
      <c r="F544" s="269">
        <v>3.0006800737018162</v>
      </c>
      <c r="G544" s="269">
        <v>3.2473391351873491</v>
      </c>
      <c r="H544" s="269">
        <v>2.9100641902163011</v>
      </c>
      <c r="I544" s="269">
        <f t="shared" si="37"/>
        <v>14.271723113430811</v>
      </c>
    </row>
    <row r="545" spans="1:10" ht="13.8" thickBot="1" x14ac:dyDescent="0.55000000000000004">
      <c r="C545" s="616" t="s">
        <v>1689</v>
      </c>
      <c r="D545" s="269">
        <f t="shared" ref="D545:I545" si="38">SUM(D542:D544)</f>
        <v>10.715943342623245</v>
      </c>
      <c r="E545" s="269">
        <f t="shared" si="38"/>
        <v>9.4330029490235212</v>
      </c>
      <c r="F545" s="269">
        <f t="shared" si="38"/>
        <v>7.3565988541772471</v>
      </c>
      <c r="G545" s="269">
        <f t="shared" si="38"/>
        <v>4.8897007655021767</v>
      </c>
      <c r="H545" s="269">
        <f t="shared" si="38"/>
        <v>5.0461261737341268</v>
      </c>
      <c r="I545" s="269">
        <f t="shared" si="38"/>
        <v>37.441372085060323</v>
      </c>
    </row>
    <row r="547" spans="1:10" ht="15" x14ac:dyDescent="0.5">
      <c r="A547" s="70">
        <f>IF(SUM(D547:H547)&lt;&gt;0,1,0)</f>
        <v>0</v>
      </c>
      <c r="C547" s="270" t="s">
        <v>116</v>
      </c>
      <c r="D547" s="268">
        <f>IF(ROUND('[4]Total by category'!U29-D545,1)&lt;&gt;0,1,0)</f>
        <v>0</v>
      </c>
      <c r="E547" s="268">
        <f>IF(ROUND('[4]Total by category'!V29-E545,1)&lt;&gt;0,1,0)</f>
        <v>0</v>
      </c>
      <c r="F547" s="268">
        <f>IF(ROUND('[4]Total by category'!W29-F545,1)&lt;&gt;0,1,0)</f>
        <v>0</v>
      </c>
      <c r="G547" s="268">
        <f>IF(ROUND('[4]Total by category'!X29-G545,1)&lt;&gt;0,1,0)</f>
        <v>0</v>
      </c>
      <c r="H547" s="268">
        <f>IF(ROUND('[4]Total by category'!Y29-H545,1)&lt;&gt;0,1,0)</f>
        <v>0</v>
      </c>
      <c r="I547" s="268"/>
    </row>
    <row r="548" spans="1:10" ht="13.5" x14ac:dyDescent="0.5">
      <c r="D548" s="658"/>
      <c r="E548" s="658"/>
      <c r="F548" s="658"/>
      <c r="G548" s="658"/>
      <c r="H548" s="658"/>
    </row>
    <row r="549" spans="1:10" s="139" customFormat="1" x14ac:dyDescent="0.35">
      <c r="B549" s="139" t="s">
        <v>1576</v>
      </c>
    </row>
    <row r="550" spans="1:10" ht="13.2" thickBot="1" x14ac:dyDescent="0.55000000000000004"/>
    <row r="551" spans="1:10" ht="13.8" thickBot="1" x14ac:dyDescent="0.55000000000000004">
      <c r="C551" s="205"/>
      <c r="D551" s="206" t="s">
        <v>236</v>
      </c>
      <c r="E551" s="206" t="s">
        <v>237</v>
      </c>
      <c r="F551" s="206" t="s">
        <v>238</v>
      </c>
      <c r="G551" s="206" t="s">
        <v>239</v>
      </c>
      <c r="H551" s="206" t="s">
        <v>240</v>
      </c>
      <c r="I551" s="206" t="s">
        <v>112</v>
      </c>
    </row>
    <row r="552" spans="1:10" ht="13.8" thickBot="1" x14ac:dyDescent="0.55000000000000004">
      <c r="C552" s="208" t="s">
        <v>502</v>
      </c>
      <c r="D552" s="652" t="s">
        <v>1782</v>
      </c>
      <c r="E552" s="652" t="s">
        <v>1782</v>
      </c>
      <c r="F552" s="652" t="s">
        <v>1782</v>
      </c>
      <c r="G552" s="652" t="s">
        <v>1782</v>
      </c>
      <c r="H552" s="652" t="s">
        <v>1782</v>
      </c>
      <c r="I552" s="652" t="s">
        <v>1782</v>
      </c>
      <c r="J552" s="656" t="s">
        <v>1766</v>
      </c>
    </row>
    <row r="553" spans="1:10" ht="13.8" thickBot="1" x14ac:dyDescent="0.55000000000000004">
      <c r="C553" s="208" t="s">
        <v>503</v>
      </c>
      <c r="D553" s="652" t="s">
        <v>1782</v>
      </c>
      <c r="E553" s="652" t="s">
        <v>1782</v>
      </c>
      <c r="F553" s="652" t="s">
        <v>1782</v>
      </c>
      <c r="G553" s="652" t="s">
        <v>1782</v>
      </c>
      <c r="H553" s="652" t="s">
        <v>1782</v>
      </c>
      <c r="I553" s="652" t="s">
        <v>1782</v>
      </c>
    </row>
    <row r="554" spans="1:10" ht="13.8" thickBot="1" x14ac:dyDescent="0.55000000000000004">
      <c r="C554" s="208" t="s">
        <v>504</v>
      </c>
      <c r="D554" s="652" t="s">
        <v>1782</v>
      </c>
      <c r="E554" s="652" t="s">
        <v>1782</v>
      </c>
      <c r="F554" s="652" t="s">
        <v>1782</v>
      </c>
      <c r="G554" s="652" t="s">
        <v>1782</v>
      </c>
      <c r="H554" s="652" t="s">
        <v>1782</v>
      </c>
      <c r="I554" s="652" t="s">
        <v>1782</v>
      </c>
    </row>
    <row r="555" spans="1:10" ht="13.8" thickBot="1" x14ac:dyDescent="0.55000000000000004">
      <c r="C555" s="208" t="s">
        <v>505</v>
      </c>
      <c r="D555" s="652" t="s">
        <v>1782</v>
      </c>
      <c r="E555" s="652" t="s">
        <v>1782</v>
      </c>
      <c r="F555" s="652" t="s">
        <v>1782</v>
      </c>
      <c r="G555" s="652" t="s">
        <v>1782</v>
      </c>
      <c r="H555" s="652" t="s">
        <v>1782</v>
      </c>
      <c r="I555" s="652" t="s">
        <v>1782</v>
      </c>
    </row>
    <row r="556" spans="1:10" ht="13.8" thickBot="1" x14ac:dyDescent="0.55000000000000004">
      <c r="C556" s="208" t="s">
        <v>506</v>
      </c>
      <c r="D556" s="652" t="s">
        <v>1782</v>
      </c>
      <c r="E556" s="652" t="s">
        <v>1782</v>
      </c>
      <c r="F556" s="652" t="s">
        <v>1782</v>
      </c>
      <c r="G556" s="652" t="s">
        <v>1782</v>
      </c>
      <c r="H556" s="652" t="s">
        <v>1782</v>
      </c>
      <c r="I556" s="652" t="s">
        <v>1782</v>
      </c>
    </row>
    <row r="557" spans="1:10" ht="13.8" thickBot="1" x14ac:dyDescent="0.55000000000000004">
      <c r="C557" s="616" t="s">
        <v>1689</v>
      </c>
      <c r="D557" s="652" t="s">
        <v>1782</v>
      </c>
      <c r="E557" s="652" t="s">
        <v>1782</v>
      </c>
      <c r="F557" s="652" t="s">
        <v>1782</v>
      </c>
      <c r="G557" s="652" t="s">
        <v>1782</v>
      </c>
      <c r="H557" s="652" t="s">
        <v>1782</v>
      </c>
      <c r="I557" s="652" t="s">
        <v>1782</v>
      </c>
    </row>
    <row r="559" spans="1:10" ht="15" x14ac:dyDescent="0.5">
      <c r="A559" s="70">
        <f>IF(SUM(D559:H559)&lt;&gt;0,1,0)</f>
        <v>0</v>
      </c>
      <c r="C559" s="270" t="s">
        <v>1620</v>
      </c>
      <c r="D559" s="268">
        <v>0</v>
      </c>
      <c r="E559" s="268">
        <v>0</v>
      </c>
      <c r="F559" s="268">
        <v>0</v>
      </c>
      <c r="G559" s="268">
        <v>0</v>
      </c>
      <c r="H559" s="268">
        <v>0</v>
      </c>
      <c r="I559" s="268"/>
    </row>
    <row r="561" spans="1:10" s="139" customFormat="1" x14ac:dyDescent="0.35">
      <c r="B561" s="139" t="s">
        <v>1580</v>
      </c>
    </row>
    <row r="562" spans="1:10" ht="13.2" thickBot="1" x14ac:dyDescent="0.55000000000000004"/>
    <row r="563" spans="1:10" ht="13.2" thickBot="1" x14ac:dyDescent="0.55000000000000004">
      <c r="C563" s="580"/>
      <c r="D563" s="581" t="s">
        <v>236</v>
      </c>
      <c r="E563" s="581" t="s">
        <v>237</v>
      </c>
      <c r="F563" s="581" t="s">
        <v>238</v>
      </c>
      <c r="G563" s="581" t="s">
        <v>239</v>
      </c>
      <c r="H563" s="581" t="s">
        <v>240</v>
      </c>
      <c r="I563" s="581" t="s">
        <v>112</v>
      </c>
    </row>
    <row r="564" spans="1:10" ht="13.8" thickBot="1" x14ac:dyDescent="0.55000000000000004">
      <c r="C564" s="595" t="s">
        <v>1581</v>
      </c>
      <c r="D564" s="652" t="s">
        <v>1782</v>
      </c>
      <c r="E564" s="652" t="s">
        <v>1782</v>
      </c>
      <c r="F564" s="652" t="s">
        <v>1782</v>
      </c>
      <c r="G564" s="652" t="s">
        <v>1782</v>
      </c>
      <c r="H564" s="652" t="s">
        <v>1782</v>
      </c>
      <c r="I564" s="652" t="s">
        <v>1782</v>
      </c>
      <c r="J564" s="656" t="s">
        <v>1766</v>
      </c>
    </row>
    <row r="565" spans="1:10" ht="13.8" thickBot="1" x14ac:dyDescent="0.55000000000000004">
      <c r="C565" s="595" t="s">
        <v>1582</v>
      </c>
      <c r="D565" s="652" t="s">
        <v>1782</v>
      </c>
      <c r="E565" s="652" t="s">
        <v>1782</v>
      </c>
      <c r="F565" s="652" t="s">
        <v>1782</v>
      </c>
      <c r="G565" s="652" t="s">
        <v>1782</v>
      </c>
      <c r="H565" s="652" t="s">
        <v>1782</v>
      </c>
      <c r="I565" s="652" t="s">
        <v>1782</v>
      </c>
    </row>
    <row r="566" spans="1:10" ht="13.8" thickBot="1" x14ac:dyDescent="0.55000000000000004">
      <c r="C566" s="595" t="s">
        <v>1583</v>
      </c>
      <c r="D566" s="652" t="s">
        <v>1782</v>
      </c>
      <c r="E566" s="652" t="s">
        <v>1782</v>
      </c>
      <c r="F566" s="652" t="s">
        <v>1782</v>
      </c>
      <c r="G566" s="652" t="s">
        <v>1782</v>
      </c>
      <c r="H566" s="652" t="s">
        <v>1782</v>
      </c>
      <c r="I566" s="652" t="s">
        <v>1782</v>
      </c>
    </row>
    <row r="567" spans="1:10" ht="13.8" thickBot="1" x14ac:dyDescent="0.55000000000000004">
      <c r="C567" s="595" t="s">
        <v>1584</v>
      </c>
      <c r="D567" s="652" t="s">
        <v>1782</v>
      </c>
      <c r="E567" s="652" t="s">
        <v>1782</v>
      </c>
      <c r="F567" s="652" t="s">
        <v>1782</v>
      </c>
      <c r="G567" s="652" t="s">
        <v>1782</v>
      </c>
      <c r="H567" s="652" t="s">
        <v>1782</v>
      </c>
      <c r="I567" s="652" t="s">
        <v>1782</v>
      </c>
    </row>
    <row r="568" spans="1:10" ht="13.8" thickBot="1" x14ac:dyDescent="0.55000000000000004">
      <c r="C568" s="595" t="s">
        <v>1585</v>
      </c>
      <c r="D568" s="652" t="s">
        <v>1782</v>
      </c>
      <c r="E568" s="652" t="s">
        <v>1782</v>
      </c>
      <c r="F568" s="652" t="s">
        <v>1782</v>
      </c>
      <c r="G568" s="652" t="s">
        <v>1782</v>
      </c>
      <c r="H568" s="652" t="s">
        <v>1782</v>
      </c>
      <c r="I568" s="652" t="s">
        <v>1782</v>
      </c>
    </row>
    <row r="569" spans="1:10" ht="13.8" thickBot="1" x14ac:dyDescent="0.55000000000000004">
      <c r="C569" s="595" t="s">
        <v>1586</v>
      </c>
      <c r="D569" s="652" t="s">
        <v>1782</v>
      </c>
      <c r="E569" s="652" t="s">
        <v>1782</v>
      </c>
      <c r="F569" s="652" t="s">
        <v>1782</v>
      </c>
      <c r="G569" s="652" t="s">
        <v>1782</v>
      </c>
      <c r="H569" s="652" t="s">
        <v>1782</v>
      </c>
      <c r="I569" s="652" t="s">
        <v>1782</v>
      </c>
    </row>
    <row r="570" spans="1:10" ht="13.2" thickBot="1" x14ac:dyDescent="0.55000000000000004">
      <c r="C570" s="557" t="s">
        <v>1690</v>
      </c>
      <c r="D570" s="653" t="s">
        <v>1782</v>
      </c>
      <c r="E570" s="653" t="s">
        <v>1782</v>
      </c>
      <c r="F570" s="653" t="s">
        <v>1782</v>
      </c>
      <c r="G570" s="653" t="s">
        <v>1782</v>
      </c>
      <c r="H570" s="653" t="s">
        <v>1782</v>
      </c>
      <c r="I570" s="653" t="s">
        <v>1782</v>
      </c>
    </row>
    <row r="572" spans="1:10" ht="15" x14ac:dyDescent="0.5">
      <c r="A572" s="70">
        <f>IF(SUM(D572:H572)&lt;&gt;0,1,0)</f>
        <v>0</v>
      </c>
      <c r="C572" s="270" t="s">
        <v>1620</v>
      </c>
      <c r="D572" s="268">
        <v>0</v>
      </c>
      <c r="E572" s="268">
        <v>0</v>
      </c>
      <c r="F572" s="268">
        <v>0</v>
      </c>
      <c r="G572" s="268">
        <v>0</v>
      </c>
      <c r="H572" s="268">
        <v>0</v>
      </c>
      <c r="I572" s="268"/>
    </row>
    <row r="574" spans="1:10" s="139" customFormat="1" x14ac:dyDescent="0.35">
      <c r="B574" s="139" t="s">
        <v>1587</v>
      </c>
    </row>
    <row r="575" spans="1:10" ht="13.2" thickBot="1" x14ac:dyDescent="0.55000000000000004"/>
    <row r="576" spans="1:10" ht="13.2" thickBot="1" x14ac:dyDescent="0.55000000000000004">
      <c r="C576" s="580"/>
      <c r="D576" s="581" t="s">
        <v>236</v>
      </c>
      <c r="E576" s="581" t="s">
        <v>237</v>
      </c>
      <c r="F576" s="581" t="s">
        <v>238</v>
      </c>
      <c r="G576" s="581" t="s">
        <v>239</v>
      </c>
      <c r="H576" s="581" t="s">
        <v>240</v>
      </c>
      <c r="I576" s="581" t="s">
        <v>112</v>
      </c>
    </row>
    <row r="577" spans="1:10" ht="13.8" thickBot="1" x14ac:dyDescent="0.55000000000000004">
      <c r="C577" s="595" t="s">
        <v>1588</v>
      </c>
      <c r="D577" s="652" t="s">
        <v>1782</v>
      </c>
      <c r="E577" s="652" t="s">
        <v>1782</v>
      </c>
      <c r="F577" s="652" t="s">
        <v>1782</v>
      </c>
      <c r="G577" s="652" t="s">
        <v>1782</v>
      </c>
      <c r="H577" s="652" t="s">
        <v>1782</v>
      </c>
      <c r="I577" s="652" t="s">
        <v>1782</v>
      </c>
      <c r="J577" s="656" t="s">
        <v>1766</v>
      </c>
    </row>
    <row r="578" spans="1:10" ht="13.8" thickBot="1" x14ac:dyDescent="0.55000000000000004">
      <c r="C578" s="595" t="s">
        <v>1589</v>
      </c>
      <c r="D578" s="652" t="s">
        <v>1782</v>
      </c>
      <c r="E578" s="652" t="s">
        <v>1782</v>
      </c>
      <c r="F578" s="652" t="s">
        <v>1782</v>
      </c>
      <c r="G578" s="652" t="s">
        <v>1782</v>
      </c>
      <c r="H578" s="652" t="s">
        <v>1782</v>
      </c>
      <c r="I578" s="652" t="s">
        <v>1782</v>
      </c>
    </row>
    <row r="579" spans="1:10" ht="13.8" thickBot="1" x14ac:dyDescent="0.55000000000000004">
      <c r="C579" s="595" t="s">
        <v>1590</v>
      </c>
      <c r="D579" s="652" t="s">
        <v>1782</v>
      </c>
      <c r="E579" s="652" t="s">
        <v>1782</v>
      </c>
      <c r="F579" s="652" t="s">
        <v>1782</v>
      </c>
      <c r="G579" s="652" t="s">
        <v>1782</v>
      </c>
      <c r="H579" s="652" t="s">
        <v>1782</v>
      </c>
      <c r="I579" s="652" t="s">
        <v>1782</v>
      </c>
    </row>
    <row r="580" spans="1:10" ht="13.2" thickBot="1" x14ac:dyDescent="0.55000000000000004">
      <c r="C580" s="557" t="s">
        <v>1691</v>
      </c>
      <c r="D580" s="653" t="s">
        <v>1782</v>
      </c>
      <c r="E580" s="653" t="s">
        <v>1782</v>
      </c>
      <c r="F580" s="653" t="s">
        <v>1782</v>
      </c>
      <c r="G580" s="653" t="s">
        <v>1782</v>
      </c>
      <c r="H580" s="653" t="s">
        <v>1782</v>
      </c>
      <c r="I580" s="653" t="s">
        <v>1782</v>
      </c>
    </row>
    <row r="582" spans="1:10" ht="15" x14ac:dyDescent="0.5">
      <c r="A582" s="70">
        <f>IF(SUM(D582:H582)&lt;&gt;0,1,0)</f>
        <v>0</v>
      </c>
      <c r="C582" s="270" t="s">
        <v>1291</v>
      </c>
      <c r="D582" s="268">
        <v>0</v>
      </c>
      <c r="E582" s="268">
        <v>0</v>
      </c>
      <c r="F582" s="268">
        <v>0</v>
      </c>
      <c r="G582" s="268">
        <v>0</v>
      </c>
      <c r="H582" s="268">
        <v>0</v>
      </c>
      <c r="I582" s="268"/>
    </row>
    <row r="584" spans="1:10" s="139" customFormat="1" x14ac:dyDescent="0.35">
      <c r="B584" s="139" t="s">
        <v>1591</v>
      </c>
    </row>
    <row r="585" spans="1:10" ht="13.2" thickBot="1" x14ac:dyDescent="0.55000000000000004"/>
    <row r="586" spans="1:10" ht="13.2" thickBot="1" x14ac:dyDescent="0.55000000000000004">
      <c r="C586" s="580"/>
      <c r="D586" s="581" t="s">
        <v>236</v>
      </c>
      <c r="E586" s="581" t="s">
        <v>237</v>
      </c>
      <c r="F586" s="581" t="s">
        <v>238</v>
      </c>
      <c r="G586" s="581" t="s">
        <v>239</v>
      </c>
      <c r="H586" s="581" t="s">
        <v>240</v>
      </c>
      <c r="I586" s="581" t="s">
        <v>112</v>
      </c>
    </row>
    <row r="587" spans="1:10" ht="13.8" thickBot="1" x14ac:dyDescent="0.55000000000000004">
      <c r="C587" s="595" t="s">
        <v>1592</v>
      </c>
      <c r="D587" s="652" t="s">
        <v>1782</v>
      </c>
      <c r="E587" s="652" t="s">
        <v>1782</v>
      </c>
      <c r="F587" s="652" t="s">
        <v>1782</v>
      </c>
      <c r="G587" s="652" t="s">
        <v>1782</v>
      </c>
      <c r="H587" s="652" t="s">
        <v>1782</v>
      </c>
      <c r="I587" s="652" t="s">
        <v>1782</v>
      </c>
      <c r="J587" s="656" t="s">
        <v>1766</v>
      </c>
    </row>
    <row r="588" spans="1:10" ht="13.8" thickBot="1" x14ac:dyDescent="0.55000000000000004">
      <c r="C588" s="595" t="s">
        <v>1593</v>
      </c>
      <c r="D588" s="652" t="s">
        <v>1782</v>
      </c>
      <c r="E588" s="652" t="s">
        <v>1782</v>
      </c>
      <c r="F588" s="652" t="s">
        <v>1782</v>
      </c>
      <c r="G588" s="652" t="s">
        <v>1782</v>
      </c>
      <c r="H588" s="652" t="s">
        <v>1782</v>
      </c>
      <c r="I588" s="652" t="s">
        <v>1782</v>
      </c>
    </row>
    <row r="589" spans="1:10" ht="26.1" thickBot="1" x14ac:dyDescent="0.55000000000000004">
      <c r="C589" s="557" t="s">
        <v>1692</v>
      </c>
      <c r="D589" s="653" t="s">
        <v>1782</v>
      </c>
      <c r="E589" s="653" t="s">
        <v>1782</v>
      </c>
      <c r="F589" s="653" t="s">
        <v>1782</v>
      </c>
      <c r="G589" s="653" t="s">
        <v>1782</v>
      </c>
      <c r="H589" s="653" t="s">
        <v>1782</v>
      </c>
      <c r="I589" s="653" t="s">
        <v>1782</v>
      </c>
    </row>
    <row r="591" spans="1:10" ht="15" x14ac:dyDescent="0.5">
      <c r="A591" s="70">
        <f>IF(SUM(D591:H591)&lt;&gt;0,1,0)</f>
        <v>0</v>
      </c>
      <c r="C591" s="270" t="s">
        <v>1291</v>
      </c>
      <c r="D591" s="268">
        <v>0</v>
      </c>
      <c r="E591" s="268">
        <v>0</v>
      </c>
      <c r="F591" s="268">
        <v>0</v>
      </c>
      <c r="G591" s="268">
        <v>0</v>
      </c>
      <c r="H591" s="268">
        <v>0</v>
      </c>
      <c r="I591" s="268"/>
    </row>
    <row r="593" spans="1:10" s="139" customFormat="1" x14ac:dyDescent="0.35">
      <c r="B593" s="139" t="s">
        <v>1594</v>
      </c>
    </row>
    <row r="594" spans="1:10" ht="13.2" thickBot="1" x14ac:dyDescent="0.55000000000000004"/>
    <row r="595" spans="1:10" ht="13.2" thickBot="1" x14ac:dyDescent="0.55000000000000004">
      <c r="C595" s="580"/>
      <c r="D595" s="581" t="s">
        <v>236</v>
      </c>
      <c r="E595" s="581" t="s">
        <v>237</v>
      </c>
      <c r="F595" s="581" t="s">
        <v>238</v>
      </c>
      <c r="G595" s="581" t="s">
        <v>239</v>
      </c>
      <c r="H595" s="581" t="s">
        <v>240</v>
      </c>
      <c r="I595" s="581" t="s">
        <v>112</v>
      </c>
    </row>
    <row r="596" spans="1:10" ht="13.8" thickBot="1" x14ac:dyDescent="0.55000000000000004">
      <c r="C596" s="595" t="s">
        <v>1595</v>
      </c>
      <c r="D596" s="652" t="s">
        <v>1782</v>
      </c>
      <c r="E596" s="652" t="s">
        <v>1782</v>
      </c>
      <c r="F596" s="652" t="s">
        <v>1782</v>
      </c>
      <c r="G596" s="652" t="s">
        <v>1782</v>
      </c>
      <c r="H596" s="652" t="s">
        <v>1782</v>
      </c>
      <c r="I596" s="652" t="s">
        <v>1782</v>
      </c>
      <c r="J596" s="656" t="s">
        <v>1766</v>
      </c>
    </row>
    <row r="597" spans="1:10" ht="13.8" thickBot="1" x14ac:dyDescent="0.55000000000000004">
      <c r="C597" s="595" t="s">
        <v>1596</v>
      </c>
      <c r="D597" s="652" t="s">
        <v>1782</v>
      </c>
      <c r="E597" s="652" t="s">
        <v>1782</v>
      </c>
      <c r="F597" s="652" t="s">
        <v>1782</v>
      </c>
      <c r="G597" s="652" t="s">
        <v>1782</v>
      </c>
      <c r="H597" s="652" t="s">
        <v>1782</v>
      </c>
      <c r="I597" s="652" t="s">
        <v>1782</v>
      </c>
    </row>
    <row r="598" spans="1:10" ht="13.2" thickBot="1" x14ac:dyDescent="0.55000000000000004">
      <c r="C598" s="557" t="s">
        <v>1693</v>
      </c>
      <c r="D598" s="653" t="s">
        <v>1782</v>
      </c>
      <c r="E598" s="653" t="s">
        <v>1782</v>
      </c>
      <c r="F598" s="653" t="s">
        <v>1782</v>
      </c>
      <c r="G598" s="653" t="s">
        <v>1782</v>
      </c>
      <c r="H598" s="653" t="s">
        <v>1782</v>
      </c>
      <c r="I598" s="653" t="s">
        <v>1782</v>
      </c>
    </row>
    <row r="600" spans="1:10" ht="15" x14ac:dyDescent="0.5">
      <c r="A600" s="70">
        <f>IF(SUM(D600:H600)&lt;&gt;0,1,0)</f>
        <v>0</v>
      </c>
      <c r="C600" s="270" t="s">
        <v>1291</v>
      </c>
      <c r="D600" s="268">
        <v>0</v>
      </c>
      <c r="E600" s="268">
        <v>0</v>
      </c>
      <c r="F600" s="268">
        <v>0</v>
      </c>
      <c r="G600" s="268">
        <v>0</v>
      </c>
      <c r="H600" s="268">
        <v>0</v>
      </c>
      <c r="I600" s="268"/>
    </row>
    <row r="602" spans="1:10" s="139" customFormat="1" x14ac:dyDescent="0.35">
      <c r="B602" s="139" t="s">
        <v>1597</v>
      </c>
    </row>
    <row r="603" spans="1:10" ht="13.2" thickBot="1" x14ac:dyDescent="0.55000000000000004"/>
    <row r="604" spans="1:10" ht="13.2" thickBot="1" x14ac:dyDescent="0.55000000000000004">
      <c r="C604" s="580"/>
      <c r="D604" s="581" t="s">
        <v>236</v>
      </c>
      <c r="E604" s="581" t="s">
        <v>237</v>
      </c>
      <c r="F604" s="581" t="s">
        <v>238</v>
      </c>
      <c r="G604" s="581" t="s">
        <v>239</v>
      </c>
      <c r="H604" s="581" t="s">
        <v>240</v>
      </c>
      <c r="I604" s="581" t="s">
        <v>112</v>
      </c>
    </row>
    <row r="605" spans="1:10" ht="13.8" thickBot="1" x14ac:dyDescent="0.55000000000000004">
      <c r="C605" s="616" t="s">
        <v>1694</v>
      </c>
      <c r="D605" s="652" t="s">
        <v>1782</v>
      </c>
      <c r="E605" s="652" t="s">
        <v>1782</v>
      </c>
      <c r="F605" s="652" t="s">
        <v>1782</v>
      </c>
      <c r="G605" s="652" t="s">
        <v>1782</v>
      </c>
      <c r="H605" s="652" t="s">
        <v>1782</v>
      </c>
      <c r="I605" s="652" t="s">
        <v>1782</v>
      </c>
      <c r="J605" s="656" t="s">
        <v>1766</v>
      </c>
    </row>
    <row r="607" spans="1:10" ht="15" x14ac:dyDescent="0.5">
      <c r="A607" s="70">
        <f>IF(SUM(D607:H607)&lt;&gt;0,1,0)</f>
        <v>0</v>
      </c>
      <c r="C607" s="270" t="s">
        <v>1291</v>
      </c>
      <c r="D607" s="268">
        <v>0</v>
      </c>
      <c r="E607" s="268">
        <v>0</v>
      </c>
      <c r="F607" s="268">
        <v>0</v>
      </c>
      <c r="G607" s="268">
        <v>0</v>
      </c>
      <c r="H607" s="268">
        <v>0</v>
      </c>
      <c r="I607" s="268"/>
    </row>
    <row r="609" spans="2:4" s="139" customFormat="1" x14ac:dyDescent="0.35">
      <c r="B609" s="139" t="s">
        <v>1598</v>
      </c>
    </row>
    <row r="610" spans="2:4" ht="13.2" thickBot="1" x14ac:dyDescent="0.55000000000000004"/>
    <row r="611" spans="2:4" ht="13.2" thickBot="1" x14ac:dyDescent="0.55000000000000004">
      <c r="C611" s="214" t="s">
        <v>489</v>
      </c>
      <c r="D611" s="206" t="s">
        <v>507</v>
      </c>
    </row>
    <row r="612" spans="2:4" ht="13.8" thickBot="1" x14ac:dyDescent="0.55000000000000004">
      <c r="C612" s="208" t="s">
        <v>508</v>
      </c>
      <c r="D612" s="216" t="s">
        <v>509</v>
      </c>
    </row>
    <row r="613" spans="2:4" ht="13.5" x14ac:dyDescent="0.5">
      <c r="C613" s="664" t="s">
        <v>510</v>
      </c>
      <c r="D613" s="219" t="s">
        <v>1772</v>
      </c>
    </row>
    <row r="614" spans="2:4" ht="13.8" thickBot="1" x14ac:dyDescent="0.55000000000000004">
      <c r="C614" s="208" t="s">
        <v>511</v>
      </c>
      <c r="D614" s="216" t="s">
        <v>512</v>
      </c>
    </row>
    <row r="615" spans="2:4" ht="13.8" thickBot="1" x14ac:dyDescent="0.55000000000000004">
      <c r="C615" s="665" t="s">
        <v>1770</v>
      </c>
      <c r="D615" s="216" t="s">
        <v>1773</v>
      </c>
    </row>
    <row r="617" spans="2:4" s="139" customFormat="1" x14ac:dyDescent="0.35">
      <c r="B617" s="139" t="s">
        <v>1599</v>
      </c>
    </row>
    <row r="618" spans="2:4" ht="13.2" thickBot="1" x14ac:dyDescent="0.55000000000000004"/>
    <row r="619" spans="2:4" ht="39" thickBot="1" x14ac:dyDescent="0.55000000000000004">
      <c r="C619" s="214" t="s">
        <v>489</v>
      </c>
      <c r="D619" s="206" t="s">
        <v>497</v>
      </c>
    </row>
    <row r="620" spans="2:4" ht="15.3" thickBot="1" x14ac:dyDescent="0.55000000000000004">
      <c r="C620" s="208" t="s">
        <v>508</v>
      </c>
      <c r="D620" s="217" t="s">
        <v>513</v>
      </c>
    </row>
    <row r="621" spans="2:4" ht="13.8" thickBot="1" x14ac:dyDescent="0.55000000000000004">
      <c r="C621" s="208" t="s">
        <v>510</v>
      </c>
      <c r="D621" s="217" t="s">
        <v>1774</v>
      </c>
    </row>
    <row r="622" spans="2:4" ht="15.3" thickBot="1" x14ac:dyDescent="0.55000000000000004">
      <c r="C622" s="208" t="s">
        <v>511</v>
      </c>
      <c r="D622" s="217" t="s">
        <v>514</v>
      </c>
    </row>
    <row r="623" spans="2:4" ht="15.3" thickBot="1" x14ac:dyDescent="0.55000000000000004">
      <c r="C623" s="665" t="s">
        <v>1770</v>
      </c>
      <c r="D623" s="217" t="s">
        <v>514</v>
      </c>
    </row>
    <row r="625" spans="1:10" s="139" customFormat="1" x14ac:dyDescent="0.35">
      <c r="B625" s="139" t="s">
        <v>1600</v>
      </c>
    </row>
    <row r="626" spans="1:10" ht="13.2" thickBot="1" x14ac:dyDescent="0.55000000000000004"/>
    <row r="627" spans="1:10" ht="13.8" thickBot="1" x14ac:dyDescent="0.55000000000000004">
      <c r="C627" s="205"/>
      <c r="D627" s="206" t="s">
        <v>236</v>
      </c>
      <c r="E627" s="206" t="s">
        <v>237</v>
      </c>
      <c r="F627" s="206" t="s">
        <v>238</v>
      </c>
      <c r="G627" s="206" t="s">
        <v>239</v>
      </c>
      <c r="H627" s="206" t="s">
        <v>240</v>
      </c>
      <c r="I627" s="206" t="s">
        <v>112</v>
      </c>
    </row>
    <row r="628" spans="1:10" ht="13.8" thickBot="1" x14ac:dyDescent="0.55000000000000004">
      <c r="C628" s="208" t="s">
        <v>1769</v>
      </c>
      <c r="D628" s="673" t="s">
        <v>1782</v>
      </c>
      <c r="E628" s="673" t="s">
        <v>1782</v>
      </c>
      <c r="F628" s="673" t="s">
        <v>1782</v>
      </c>
      <c r="G628" s="673" t="s">
        <v>1782</v>
      </c>
      <c r="H628" s="673" t="s">
        <v>1782</v>
      </c>
      <c r="I628" s="673" t="s">
        <v>1782</v>
      </c>
      <c r="J628" s="656" t="s">
        <v>1766</v>
      </c>
    </row>
    <row r="629" spans="1:10" ht="13.8" thickBot="1" x14ac:dyDescent="0.55000000000000004">
      <c r="C629" s="208" t="s">
        <v>510</v>
      </c>
      <c r="D629" s="673" t="s">
        <v>1782</v>
      </c>
      <c r="E629" s="673" t="s">
        <v>1782</v>
      </c>
      <c r="F629" s="673" t="s">
        <v>1782</v>
      </c>
      <c r="G629" s="673" t="s">
        <v>1782</v>
      </c>
      <c r="H629" s="673" t="s">
        <v>1782</v>
      </c>
      <c r="I629" s="673" t="s">
        <v>1782</v>
      </c>
      <c r="J629" s="656" t="s">
        <v>1766</v>
      </c>
    </row>
    <row r="630" spans="1:10" ht="13.8" thickBot="1" x14ac:dyDescent="0.55000000000000004">
      <c r="C630" s="659" t="s">
        <v>511</v>
      </c>
      <c r="D630" s="673" t="s">
        <v>1782</v>
      </c>
      <c r="E630" s="673" t="s">
        <v>1782</v>
      </c>
      <c r="F630" s="673" t="s">
        <v>1782</v>
      </c>
      <c r="G630" s="673" t="s">
        <v>1782</v>
      </c>
      <c r="H630" s="673" t="s">
        <v>1782</v>
      </c>
      <c r="I630" s="673" t="s">
        <v>1782</v>
      </c>
      <c r="J630" s="656" t="s">
        <v>1766</v>
      </c>
    </row>
    <row r="631" spans="1:10" ht="13.8" thickBot="1" x14ac:dyDescent="0.55000000000000004">
      <c r="C631" s="208" t="s">
        <v>1770</v>
      </c>
      <c r="D631" s="673" t="s">
        <v>1782</v>
      </c>
      <c r="E631" s="673" t="s">
        <v>1782</v>
      </c>
      <c r="F631" s="673" t="s">
        <v>1782</v>
      </c>
      <c r="G631" s="673" t="s">
        <v>1782</v>
      </c>
      <c r="H631" s="673" t="s">
        <v>1782</v>
      </c>
      <c r="I631" s="673" t="s">
        <v>1782</v>
      </c>
      <c r="J631" s="656" t="s">
        <v>1766</v>
      </c>
    </row>
    <row r="632" spans="1:10" ht="13.2" thickBot="1" x14ac:dyDescent="0.55000000000000004">
      <c r="C632" s="481" t="s">
        <v>1695</v>
      </c>
      <c r="D632" s="674">
        <v>27.89</v>
      </c>
      <c r="E632" s="674">
        <v>5.57</v>
      </c>
      <c r="F632" s="674">
        <v>24.96</v>
      </c>
      <c r="G632" s="674">
        <v>5.66</v>
      </c>
      <c r="H632" s="674">
        <v>5.35</v>
      </c>
      <c r="I632" s="674">
        <v>69.430000000000007</v>
      </c>
      <c r="J632" s="656"/>
    </row>
    <row r="634" spans="1:10" ht="15" x14ac:dyDescent="0.5">
      <c r="A634" s="70">
        <f>IF(SUM(D634:H634)&lt;&gt;0,1,0)</f>
        <v>0</v>
      </c>
      <c r="C634" s="270" t="s">
        <v>1294</v>
      </c>
      <c r="D634" s="268">
        <v>0</v>
      </c>
      <c r="E634" s="268">
        <v>0</v>
      </c>
      <c r="F634" s="268">
        <v>0</v>
      </c>
      <c r="G634" s="268">
        <v>0</v>
      </c>
      <c r="H634" s="268">
        <v>0</v>
      </c>
      <c r="I634" s="268"/>
    </row>
    <row r="636" spans="1:10" s="139" customFormat="1" x14ac:dyDescent="0.35">
      <c r="B636" s="139" t="s">
        <v>1601</v>
      </c>
    </row>
    <row r="637" spans="1:10" ht="13.2" thickBot="1" x14ac:dyDescent="0.55000000000000004"/>
    <row r="638" spans="1:10" ht="13.2" thickBot="1" x14ac:dyDescent="0.55000000000000004">
      <c r="C638" s="580"/>
      <c r="D638" s="581" t="s">
        <v>246</v>
      </c>
      <c r="E638" s="581" t="s">
        <v>247</v>
      </c>
      <c r="F638" s="581" t="s">
        <v>248</v>
      </c>
      <c r="G638" s="581" t="s">
        <v>249</v>
      </c>
      <c r="H638" s="581" t="s">
        <v>250</v>
      </c>
      <c r="I638" s="558" t="s">
        <v>112</v>
      </c>
    </row>
    <row r="639" spans="1:10" ht="13.8" thickBot="1" x14ac:dyDescent="0.55000000000000004">
      <c r="C639" s="617" t="s">
        <v>1702</v>
      </c>
      <c r="D639" s="266">
        <v>0</v>
      </c>
      <c r="E639" s="266">
        <v>0</v>
      </c>
      <c r="F639" s="266">
        <v>0</v>
      </c>
      <c r="G639" s="266">
        <v>0</v>
      </c>
      <c r="H639" s="266">
        <v>0</v>
      </c>
      <c r="I639" s="266">
        <f>SUM(D639:H639)</f>
        <v>0</v>
      </c>
    </row>
    <row r="640" spans="1:10" ht="27.3" thickBot="1" x14ac:dyDescent="0.55000000000000004">
      <c r="C640" s="617" t="s">
        <v>1703</v>
      </c>
      <c r="D640" s="266">
        <v>0</v>
      </c>
      <c r="E640" s="266">
        <v>0</v>
      </c>
      <c r="F640" s="266">
        <v>0</v>
      </c>
      <c r="G640" s="266">
        <v>0</v>
      </c>
      <c r="H640" s="266">
        <v>0</v>
      </c>
      <c r="I640" s="266">
        <f>SUM(D640:H640)</f>
        <v>0</v>
      </c>
    </row>
    <row r="641" spans="1:15" ht="13.8" thickBot="1" x14ac:dyDescent="0.55000000000000004">
      <c r="C641" s="617" t="s">
        <v>1700</v>
      </c>
      <c r="D641" s="266">
        <f>SUM(D639:D640)</f>
        <v>0</v>
      </c>
      <c r="E641" s="266">
        <f t="shared" ref="E641:H641" si="39">SUM(E639:E640)</f>
        <v>0</v>
      </c>
      <c r="F641" s="266">
        <f t="shared" si="39"/>
        <v>0</v>
      </c>
      <c r="G641" s="266">
        <f t="shared" si="39"/>
        <v>0</v>
      </c>
      <c r="H641" s="266">
        <f t="shared" si="39"/>
        <v>0</v>
      </c>
      <c r="I641" s="266">
        <f>SUM(D641:H641)</f>
        <v>0</v>
      </c>
      <c r="K641" s="273"/>
      <c r="L641" s="273"/>
      <c r="M641" s="273"/>
      <c r="N641" s="273"/>
      <c r="O641" s="273"/>
    </row>
    <row r="643" spans="1:15" ht="15" x14ac:dyDescent="0.5">
      <c r="A643" s="70">
        <f>IF(SUM(D643:H643)&lt;&gt;0,1,0)</f>
        <v>0</v>
      </c>
      <c r="C643" s="270" t="s">
        <v>1611</v>
      </c>
      <c r="D643" s="268">
        <f>IF(ROUND(Charts_Capex!V303-Charts_Capex!V315-Charts_Capex!V319-D639,2)&lt;&gt;0,1,0)*0</f>
        <v>0</v>
      </c>
      <c r="E643" s="268">
        <f>IF(ROUND(Charts_Capex!W303-Charts_Capex!W315-Charts_Capex!W319-E639,2)&lt;&gt;0,1,0)*0</f>
        <v>0</v>
      </c>
      <c r="F643" s="268">
        <f>IF(ROUND(Charts_Capex!X303-Charts_Capex!X315-Charts_Capex!X319-F639,2)&lt;&gt;0,1,0)*0</f>
        <v>0</v>
      </c>
      <c r="G643" s="268">
        <f>IF(ROUND(Charts_Capex!Y303-Charts_Capex!Y315-Charts_Capex!Y319-G639,2)&lt;&gt;0,1,0)*0</f>
        <v>0</v>
      </c>
      <c r="H643" s="268">
        <f>IF(ROUND(Charts_Capex!Z303-Charts_Capex!Z315-Charts_Capex!Z319-H639,2)&lt;&gt;0,1,0)*0</f>
        <v>0</v>
      </c>
      <c r="I643" s="268"/>
    </row>
    <row r="644" spans="1:15" ht="15" x14ac:dyDescent="0.5">
      <c r="A644" s="70">
        <f>IF(SUM(D644:H644)&lt;&gt;0,1,0)</f>
        <v>0</v>
      </c>
      <c r="C644" s="270" t="s">
        <v>1701</v>
      </c>
      <c r="D644" s="268">
        <f>IF(ROUND(D639+Charts_Capex!V240-D117,2)&lt;&gt;0,1,0)*0</f>
        <v>0</v>
      </c>
      <c r="E644" s="268">
        <f>IF(ROUND(E639+Charts_Capex!W240-E117,2)&lt;&gt;0,1,0)*0</f>
        <v>0</v>
      </c>
      <c r="F644" s="268">
        <f>IF(ROUND(F639+Charts_Capex!X240-F117,2)&lt;&gt;0,1,0)*0</f>
        <v>0</v>
      </c>
      <c r="G644" s="268">
        <f>IF(ROUND(G639+Charts_Capex!Y240-G117,2)&lt;&gt;0,1,0)*0</f>
        <v>0</v>
      </c>
      <c r="H644" s="268">
        <f>IF(ROUND(H639+Charts_Capex!Z240-H117,2)&lt;&gt;0,1,0)*0</f>
        <v>0</v>
      </c>
      <c r="I644" s="268"/>
    </row>
    <row r="645" spans="1:15" x14ac:dyDescent="0.5">
      <c r="D645" s="273"/>
      <c r="E645" s="273"/>
      <c r="F645" s="273"/>
      <c r="G645" s="273"/>
      <c r="H645" s="273"/>
    </row>
    <row r="646" spans="1:15" s="139" customFormat="1" x14ac:dyDescent="0.35">
      <c r="B646" s="139" t="s">
        <v>1602</v>
      </c>
    </row>
    <row r="647" spans="1:15" ht="13.2" thickBot="1" x14ac:dyDescent="0.55000000000000004"/>
    <row r="648" spans="1:15" ht="13.8" thickBot="1" x14ac:dyDescent="0.55000000000000004">
      <c r="C648" s="205"/>
      <c r="D648" s="206" t="s">
        <v>236</v>
      </c>
      <c r="E648" s="206" t="s">
        <v>237</v>
      </c>
      <c r="F648" s="206" t="s">
        <v>238</v>
      </c>
      <c r="G648" s="206" t="s">
        <v>239</v>
      </c>
      <c r="H648" s="206" t="s">
        <v>240</v>
      </c>
      <c r="I648" s="206" t="s">
        <v>112</v>
      </c>
    </row>
    <row r="649" spans="1:15" ht="13.8" thickBot="1" x14ac:dyDescent="0.55000000000000004">
      <c r="C649" s="208" t="s">
        <v>158</v>
      </c>
      <c r="D649" s="266">
        <f>'10'!E245</f>
        <v>13.012869520178295</v>
      </c>
      <c r="E649" s="266">
        <f>'10'!F245</f>
        <v>13.19114455870012</v>
      </c>
      <c r="F649" s="266">
        <f>'10'!G245</f>
        <v>13.393456838449179</v>
      </c>
      <c r="G649" s="266">
        <f>'10'!H245</f>
        <v>13.557488562506313</v>
      </c>
      <c r="H649" s="266">
        <f>'10'!I245</f>
        <v>13.705951532618363</v>
      </c>
      <c r="I649" s="266">
        <f>SUM(D649:H649)</f>
        <v>66.860911012452277</v>
      </c>
    </row>
    <row r="651" spans="1:15" ht="15" x14ac:dyDescent="0.5">
      <c r="A651" s="70">
        <f>IF(SUM(D651:H651)&lt;&gt;0,1,0)</f>
        <v>0</v>
      </c>
      <c r="C651" s="270" t="s">
        <v>819</v>
      </c>
      <c r="D651" s="268">
        <f>IF(ROUND('[4]Total by category'!J31-D649,2)&lt;&gt;0,1,0)</f>
        <v>0</v>
      </c>
      <c r="E651" s="268">
        <f>IF(ROUND('[4]Total by category'!K31-E649,2)&lt;&gt;0,1,0)</f>
        <v>0</v>
      </c>
      <c r="F651" s="268">
        <f>IF(ROUND('[4]Total by category'!L31-F649,2)&lt;&gt;0,1,0)</f>
        <v>0</v>
      </c>
      <c r="G651" s="268">
        <f>IF(ROUND('[4]Total by category'!M31-G649,2)&lt;&gt;0,1,0)</f>
        <v>0</v>
      </c>
      <c r="H651" s="268">
        <f>IF(ROUND('[4]Total by category'!N31-H649,2)&lt;&gt;0,1,0)</f>
        <v>0</v>
      </c>
      <c r="I651" s="268"/>
    </row>
    <row r="653" spans="1:15" s="139" customFormat="1" x14ac:dyDescent="0.35">
      <c r="B653" s="139" t="s">
        <v>1577</v>
      </c>
    </row>
    <row r="655" spans="1:15" s="596" customFormat="1" x14ac:dyDescent="0.35">
      <c r="B655" s="596" t="s">
        <v>1578</v>
      </c>
    </row>
    <row r="656" spans="1:15" ht="13.2" thickBot="1" x14ac:dyDescent="0.55000000000000004">
      <c r="J656" s="656" t="s">
        <v>1766</v>
      </c>
    </row>
    <row r="657" spans="3:18" ht="13.2" thickBot="1" x14ac:dyDescent="0.55000000000000004">
      <c r="C657" s="597" t="s">
        <v>436</v>
      </c>
      <c r="D657" s="537" t="s">
        <v>236</v>
      </c>
      <c r="E657" s="537" t="s">
        <v>237</v>
      </c>
      <c r="F657" s="537" t="s">
        <v>238</v>
      </c>
      <c r="G657" s="537" t="s">
        <v>239</v>
      </c>
      <c r="H657" s="537" t="s">
        <v>240</v>
      </c>
      <c r="I657" s="537" t="s">
        <v>112</v>
      </c>
      <c r="J657" s="537" t="s">
        <v>437</v>
      </c>
      <c r="K657" s="537" t="s">
        <v>438</v>
      </c>
      <c r="M657" s="762" t="s">
        <v>1612</v>
      </c>
      <c r="N657" s="763"/>
      <c r="O657" s="764"/>
      <c r="P657" s="762" t="s">
        <v>1613</v>
      </c>
      <c r="Q657" s="763"/>
      <c r="R657" s="764"/>
    </row>
    <row r="658" spans="3:18" ht="30.4" customHeight="1" thickBot="1" x14ac:dyDescent="0.55000000000000004">
      <c r="C658" s="598" t="str">
        <f>'[4]Project list'!G3</f>
        <v>Alice Springs Corroded Poles</v>
      </c>
      <c r="D658" s="657" t="s">
        <v>1782</v>
      </c>
      <c r="E658" s="657" t="s">
        <v>1782</v>
      </c>
      <c r="F658" s="657" t="s">
        <v>1782</v>
      </c>
      <c r="G658" s="657" t="s">
        <v>1782</v>
      </c>
      <c r="H658" s="657" t="s">
        <v>1782</v>
      </c>
      <c r="I658" s="657" t="s">
        <v>1782</v>
      </c>
      <c r="J658" s="588"/>
      <c r="K658" s="598" t="s">
        <v>439</v>
      </c>
      <c r="M658" s="759" t="str">
        <f>'[4]Project list'!E3</f>
        <v>Condition and risk</v>
      </c>
      <c r="N658" s="760"/>
      <c r="O658" s="761"/>
      <c r="P658" s="759" t="str">
        <f>'[4]Project list'!F3</f>
        <v>Alice Springs Corroded Poles</v>
      </c>
      <c r="Q658" s="760"/>
      <c r="R658" s="761"/>
    </row>
    <row r="659" spans="3:18" ht="30.4" customHeight="1" thickBot="1" x14ac:dyDescent="0.55000000000000004">
      <c r="C659" s="598" t="str">
        <f>'[4]Project list'!G4</f>
        <v>Darwin - Replace Berrimah ZSS</v>
      </c>
      <c r="D659" s="657" t="s">
        <v>1782</v>
      </c>
      <c r="E659" s="657" t="s">
        <v>1782</v>
      </c>
      <c r="F659" s="657" t="s">
        <v>1782</v>
      </c>
      <c r="G659" s="657" t="s">
        <v>1782</v>
      </c>
      <c r="H659" s="657" t="s">
        <v>1782</v>
      </c>
      <c r="I659" s="657" t="s">
        <v>1782</v>
      </c>
      <c r="J659" s="588"/>
      <c r="K659" s="598" t="s">
        <v>440</v>
      </c>
      <c r="M659" s="759" t="str">
        <f>'[4]Project list'!E4</f>
        <v>Condition and risk</v>
      </c>
      <c r="N659" s="760"/>
      <c r="O659" s="761"/>
      <c r="P659" s="759" t="str">
        <f>'[4]Project list'!F4</f>
        <v>Replace Berrimah ZSS</v>
      </c>
      <c r="Q659" s="760"/>
      <c r="R659" s="761"/>
    </row>
    <row r="660" spans="3:18" ht="30.4" customHeight="1" thickBot="1" x14ac:dyDescent="0.55000000000000004">
      <c r="C660" s="598" t="str">
        <f>'[4]Project list'!G5</f>
        <v>Darwin - Upgrade DKTL Secondary Systems</v>
      </c>
      <c r="D660" s="657" t="s">
        <v>1782</v>
      </c>
      <c r="E660" s="657" t="s">
        <v>1782</v>
      </c>
      <c r="F660" s="657" t="s">
        <v>1782</v>
      </c>
      <c r="G660" s="657" t="s">
        <v>1782</v>
      </c>
      <c r="H660" s="657" t="s">
        <v>1782</v>
      </c>
      <c r="I660" s="657" t="s">
        <v>1782</v>
      </c>
      <c r="J660" s="588"/>
      <c r="K660" s="598" t="s">
        <v>441</v>
      </c>
      <c r="M660" s="759" t="str">
        <f>'[4]Project list'!E5</f>
        <v>Condition and risk</v>
      </c>
      <c r="N660" s="760"/>
      <c r="O660" s="761"/>
      <c r="P660" s="759" t="str">
        <f>'[4]Project list'!F5</f>
        <v>Various protection &amp; control replacement</v>
      </c>
      <c r="Q660" s="760"/>
      <c r="R660" s="761"/>
    </row>
    <row r="661" spans="3:18" ht="30.4" customHeight="1" thickBot="1" x14ac:dyDescent="0.55000000000000004">
      <c r="C661" s="598" t="str">
        <f>'[4]Project list'!G6</f>
        <v>Darwin - Replace Cosmo Howley Transformers</v>
      </c>
      <c r="D661" s="657" t="s">
        <v>1782</v>
      </c>
      <c r="E661" s="657" t="s">
        <v>1782</v>
      </c>
      <c r="F661" s="657" t="s">
        <v>1782</v>
      </c>
      <c r="G661" s="657" t="s">
        <v>1782</v>
      </c>
      <c r="H661" s="657" t="s">
        <v>1782</v>
      </c>
      <c r="I661" s="657" t="s">
        <v>1782</v>
      </c>
      <c r="J661" s="588"/>
      <c r="K661" s="598" t="s">
        <v>442</v>
      </c>
      <c r="M661" s="759" t="str">
        <f>'[4]Project list'!E6</f>
        <v>Condition and risk</v>
      </c>
      <c r="N661" s="760"/>
      <c r="O661" s="761"/>
      <c r="P661" s="759" t="str">
        <f>'[4]Project list'!F6</f>
        <v>Various power transformer replacements</v>
      </c>
      <c r="Q661" s="760"/>
      <c r="R661" s="761"/>
    </row>
    <row r="662" spans="3:18" ht="30.4" customHeight="1" thickBot="1" x14ac:dyDescent="0.55000000000000004">
      <c r="C662" s="598" t="str">
        <f>'[4]Project list'!G7</f>
        <v>Darwin - Replace Port Feeder</v>
      </c>
      <c r="D662" s="657" t="s">
        <v>1782</v>
      </c>
      <c r="E662" s="657" t="s">
        <v>1782</v>
      </c>
      <c r="F662" s="657" t="s">
        <v>1782</v>
      </c>
      <c r="G662" s="657" t="s">
        <v>1782</v>
      </c>
      <c r="H662" s="657" t="s">
        <v>1782</v>
      </c>
      <c r="I662" s="657" t="s">
        <v>1782</v>
      </c>
      <c r="J662" s="588"/>
      <c r="K662" s="598" t="s">
        <v>443</v>
      </c>
      <c r="M662" s="759" t="str">
        <f>'[4]Project list'!E7</f>
        <v>Condition and risk</v>
      </c>
      <c r="N662" s="760"/>
      <c r="O662" s="761"/>
      <c r="P662" s="759" t="str">
        <f>'[4]Project list'!F7</f>
        <v>Various cable replacements</v>
      </c>
      <c r="Q662" s="760"/>
      <c r="R662" s="761"/>
    </row>
    <row r="663" spans="3:18" ht="30.4" customHeight="1" thickBot="1" x14ac:dyDescent="0.55000000000000004">
      <c r="C663" s="598" t="str">
        <f>'[4]Project list'!G8</f>
        <v>[deleted]</v>
      </c>
      <c r="D663" s="657" t="s">
        <v>1782</v>
      </c>
      <c r="E663" s="657" t="s">
        <v>1782</v>
      </c>
      <c r="F663" s="657" t="s">
        <v>1782</v>
      </c>
      <c r="G663" s="657" t="s">
        <v>1782</v>
      </c>
      <c r="H663" s="657" t="s">
        <v>1782</v>
      </c>
      <c r="I663" s="657" t="s">
        <v>1782</v>
      </c>
      <c r="J663" s="588"/>
      <c r="K663" s="598" t="s">
        <v>444</v>
      </c>
      <c r="M663" s="759">
        <f>'[4]Project list'!E8</f>
        <v>0</v>
      </c>
      <c r="N663" s="760"/>
      <c r="O663" s="761"/>
      <c r="P663" s="759">
        <f>'[4]Project list'!F8</f>
        <v>0</v>
      </c>
      <c r="Q663" s="760"/>
      <c r="R663" s="761"/>
    </row>
    <row r="664" spans="3:18" ht="30.4" customHeight="1" thickBot="1" x14ac:dyDescent="0.55000000000000004">
      <c r="C664" s="598" t="str">
        <f>'[4]Project list'!G9</f>
        <v>Darwin Replace 66/11kV Centreyard ZSS</v>
      </c>
      <c r="D664" s="657" t="s">
        <v>1782</v>
      </c>
      <c r="E664" s="657" t="s">
        <v>1782</v>
      </c>
      <c r="F664" s="657" t="s">
        <v>1782</v>
      </c>
      <c r="G664" s="657" t="s">
        <v>1782</v>
      </c>
      <c r="H664" s="657" t="s">
        <v>1782</v>
      </c>
      <c r="I664" s="657" t="s">
        <v>1782</v>
      </c>
      <c r="J664" s="588"/>
      <c r="K664" s="598" t="s">
        <v>445</v>
      </c>
      <c r="M664" s="759" t="str">
        <f>'[4]Project list'!E9</f>
        <v>Condition and risk</v>
      </c>
      <c r="N664" s="760"/>
      <c r="O664" s="761"/>
      <c r="P664" s="759" t="str">
        <f>'[4]Project list'!F9</f>
        <v>Various power transformer replacements</v>
      </c>
      <c r="Q664" s="760"/>
      <c r="R664" s="761"/>
    </row>
    <row r="665" spans="3:18" ht="30.4" customHeight="1" thickBot="1" x14ac:dyDescent="0.55000000000000004">
      <c r="C665" s="598" t="str">
        <f>'[4]Project list'!G10</f>
        <v>[deleted]</v>
      </c>
      <c r="D665" s="657" t="s">
        <v>1782</v>
      </c>
      <c r="E665" s="657" t="s">
        <v>1782</v>
      </c>
      <c r="F665" s="657" t="s">
        <v>1782</v>
      </c>
      <c r="G665" s="657" t="s">
        <v>1782</v>
      </c>
      <c r="H665" s="657" t="s">
        <v>1782</v>
      </c>
      <c r="I665" s="657" t="s">
        <v>1782</v>
      </c>
      <c r="J665" s="588"/>
      <c r="K665" s="598" t="s">
        <v>446</v>
      </c>
      <c r="M665" s="759">
        <f>'[4]Project list'!E10</f>
        <v>0</v>
      </c>
      <c r="N665" s="760"/>
      <c r="O665" s="761"/>
      <c r="P665" s="759">
        <f>'[4]Project list'!F10</f>
        <v>0</v>
      </c>
      <c r="Q665" s="760"/>
      <c r="R665" s="761"/>
    </row>
    <row r="666" spans="3:18" ht="30.4" customHeight="1" thickBot="1" x14ac:dyDescent="0.55000000000000004">
      <c r="C666" s="598" t="str">
        <f>'[4]Project list'!G11</f>
        <v>[deleted]</v>
      </c>
      <c r="D666" s="657" t="s">
        <v>1782</v>
      </c>
      <c r="E666" s="657" t="s">
        <v>1782</v>
      </c>
      <c r="F666" s="657" t="s">
        <v>1782</v>
      </c>
      <c r="G666" s="657" t="s">
        <v>1782</v>
      </c>
      <c r="H666" s="657" t="s">
        <v>1782</v>
      </c>
      <c r="I666" s="657" t="s">
        <v>1782</v>
      </c>
      <c r="J666" s="588"/>
      <c r="K666" s="598" t="s">
        <v>447</v>
      </c>
      <c r="M666" s="759">
        <f>'[4]Project list'!E11</f>
        <v>0</v>
      </c>
      <c r="N666" s="760"/>
      <c r="O666" s="761"/>
      <c r="P666" s="759">
        <f>'[4]Project list'!F11</f>
        <v>0</v>
      </c>
      <c r="Q666" s="760"/>
      <c r="R666" s="761"/>
    </row>
    <row r="667" spans="3:18" ht="30.4" customHeight="1" thickBot="1" x14ac:dyDescent="0.55000000000000004">
      <c r="C667" s="598" t="str">
        <f>'[4]Project list'!G12</f>
        <v>Darwin - Replace Humpty Doo ZSS</v>
      </c>
      <c r="D667" s="657" t="s">
        <v>1782</v>
      </c>
      <c r="E667" s="657" t="s">
        <v>1782</v>
      </c>
      <c r="F667" s="657" t="s">
        <v>1782</v>
      </c>
      <c r="G667" s="657" t="s">
        <v>1782</v>
      </c>
      <c r="H667" s="657" t="s">
        <v>1782</v>
      </c>
      <c r="I667" s="657" t="s">
        <v>1782</v>
      </c>
      <c r="J667" s="588"/>
      <c r="K667" s="598" t="s">
        <v>448</v>
      </c>
      <c r="M667" s="759" t="str">
        <f>'[4]Project list'!E12</f>
        <v>Condition and risk</v>
      </c>
      <c r="N667" s="760"/>
      <c r="O667" s="761"/>
      <c r="P667" s="759" t="str">
        <f>'[4]Project list'!F12</f>
        <v>Various power transformer replacements</v>
      </c>
      <c r="Q667" s="760"/>
      <c r="R667" s="761"/>
    </row>
    <row r="668" spans="3:18" ht="30.4" customHeight="1" thickBot="1" x14ac:dyDescent="0.55000000000000004">
      <c r="C668" s="598" t="str">
        <f>'[4]Project list'!G13</f>
        <v>[deleted]</v>
      </c>
      <c r="D668" s="657" t="s">
        <v>1782</v>
      </c>
      <c r="E668" s="657" t="s">
        <v>1782</v>
      </c>
      <c r="F668" s="657" t="s">
        <v>1782</v>
      </c>
      <c r="G668" s="657" t="s">
        <v>1782</v>
      </c>
      <c r="H668" s="657" t="s">
        <v>1782</v>
      </c>
      <c r="I668" s="657" t="s">
        <v>1782</v>
      </c>
      <c r="J668" s="588"/>
      <c r="K668" s="598" t="s">
        <v>449</v>
      </c>
      <c r="M668" s="759">
        <f>'[4]Project list'!E13</f>
        <v>0</v>
      </c>
      <c r="N668" s="760"/>
      <c r="O668" s="761"/>
      <c r="P668" s="759">
        <f>'[4]Project list'!F13</f>
        <v>0</v>
      </c>
      <c r="Q668" s="760"/>
      <c r="R668" s="761"/>
    </row>
    <row r="669" spans="3:18" ht="30.4" customHeight="1" thickBot="1" x14ac:dyDescent="0.55000000000000004">
      <c r="C669" s="598" t="str">
        <f>'[4]Project list'!G14</f>
        <v>Darwin - Energy Management System Upgrade</v>
      </c>
      <c r="D669" s="657" t="s">
        <v>1782</v>
      </c>
      <c r="E669" s="657" t="s">
        <v>1782</v>
      </c>
      <c r="F669" s="657" t="s">
        <v>1782</v>
      </c>
      <c r="G669" s="657" t="s">
        <v>1782</v>
      </c>
      <c r="H669" s="657" t="s">
        <v>1782</v>
      </c>
      <c r="I669" s="657" t="s">
        <v>1782</v>
      </c>
      <c r="J669" s="588"/>
      <c r="K669" s="598" t="s">
        <v>450</v>
      </c>
      <c r="M669" s="759" t="str">
        <f>'[4]Project list'!E14</f>
        <v>Condition and risk</v>
      </c>
      <c r="N669" s="760"/>
      <c r="O669" s="761"/>
      <c r="P669" s="759" t="str">
        <f>'[4]Project list'!F14</f>
        <v>Various SCADA and Communications’ replacement</v>
      </c>
      <c r="Q669" s="760"/>
      <c r="R669" s="761"/>
    </row>
    <row r="670" spans="3:18" ht="30.4" customHeight="1" thickBot="1" x14ac:dyDescent="0.55000000000000004">
      <c r="C670" s="598" t="str">
        <f>'[4]Project list'!G15</f>
        <v>[deleted]</v>
      </c>
      <c r="D670" s="657" t="s">
        <v>1782</v>
      </c>
      <c r="E670" s="657" t="s">
        <v>1782</v>
      </c>
      <c r="F670" s="657" t="s">
        <v>1782</v>
      </c>
      <c r="G670" s="657" t="s">
        <v>1782</v>
      </c>
      <c r="H670" s="657" t="s">
        <v>1782</v>
      </c>
      <c r="I670" s="657" t="s">
        <v>1782</v>
      </c>
      <c r="J670" s="588"/>
      <c r="K670" s="598" t="s">
        <v>451</v>
      </c>
      <c r="M670" s="759">
        <f>'[4]Project list'!E15</f>
        <v>0</v>
      </c>
      <c r="N670" s="760"/>
      <c r="O670" s="761"/>
      <c r="P670" s="759">
        <f>'[4]Project list'!F15</f>
        <v>0</v>
      </c>
      <c r="Q670" s="760"/>
      <c r="R670" s="761"/>
    </row>
    <row r="671" spans="3:18" ht="30.4" customHeight="1" thickBot="1" x14ac:dyDescent="0.55000000000000004">
      <c r="C671" s="598" t="str">
        <f>'[4]Project list'!G16</f>
        <v>66kV HLC Circuit Breaker Replacement Program</v>
      </c>
      <c r="D671" s="657" t="s">
        <v>1782</v>
      </c>
      <c r="E671" s="657" t="s">
        <v>1782</v>
      </c>
      <c r="F671" s="657" t="s">
        <v>1782</v>
      </c>
      <c r="G671" s="657" t="s">
        <v>1782</v>
      </c>
      <c r="H671" s="657" t="s">
        <v>1782</v>
      </c>
      <c r="I671" s="657" t="s">
        <v>1782</v>
      </c>
      <c r="J671" s="588"/>
      <c r="K671" s="598" t="s">
        <v>452</v>
      </c>
      <c r="M671" s="759" t="str">
        <f>'[4]Project list'!E16</f>
        <v>Condition and risk</v>
      </c>
      <c r="N671" s="760"/>
      <c r="O671" s="761"/>
      <c r="P671" s="759" t="str">
        <f>'[4]Project list'!F16</f>
        <v>Other minor projects</v>
      </c>
      <c r="Q671" s="760"/>
      <c r="R671" s="761"/>
    </row>
    <row r="672" spans="3:18" ht="30.4" customHeight="1" thickBot="1" x14ac:dyDescent="0.55000000000000004">
      <c r="C672" s="598" t="str">
        <f>'[4]Project list'!G17</f>
        <v>Substation Fire Protection Equipment Replacement Program</v>
      </c>
      <c r="D672" s="657" t="s">
        <v>1782</v>
      </c>
      <c r="E672" s="657" t="s">
        <v>1782</v>
      </c>
      <c r="F672" s="657" t="s">
        <v>1782</v>
      </c>
      <c r="G672" s="657" t="s">
        <v>1782</v>
      </c>
      <c r="H672" s="657" t="s">
        <v>1782</v>
      </c>
      <c r="I672" s="657" t="s">
        <v>1782</v>
      </c>
      <c r="J672" s="588"/>
      <c r="K672" s="598" t="s">
        <v>453</v>
      </c>
      <c r="M672" s="759" t="str">
        <f>'[4]Project list'!E17</f>
        <v>Condition and risk</v>
      </c>
      <c r="N672" s="760"/>
      <c r="O672" s="761"/>
      <c r="P672" s="759" t="str">
        <f>'[4]Project list'!F17</f>
        <v>Other minor projects</v>
      </c>
      <c r="Q672" s="760"/>
      <c r="R672" s="761"/>
    </row>
    <row r="673" spans="3:18" ht="30.4" customHeight="1" thickBot="1" x14ac:dyDescent="0.55000000000000004">
      <c r="C673" s="598" t="str">
        <f>'[4]Project list'!G18</f>
        <v>SCADA and Communications Obsolete Asset Replacement Program</v>
      </c>
      <c r="D673" s="657" t="s">
        <v>1782</v>
      </c>
      <c r="E673" s="657" t="s">
        <v>1782</v>
      </c>
      <c r="F673" s="657" t="s">
        <v>1782</v>
      </c>
      <c r="G673" s="657" t="s">
        <v>1782</v>
      </c>
      <c r="H673" s="657" t="s">
        <v>1782</v>
      </c>
      <c r="I673" s="657" t="s">
        <v>1782</v>
      </c>
      <c r="J673" s="588"/>
      <c r="K673" s="598" t="s">
        <v>454</v>
      </c>
      <c r="M673" s="759" t="str">
        <f>'[4]Project list'!E18</f>
        <v>Condition and risk</v>
      </c>
      <c r="N673" s="760"/>
      <c r="O673" s="761"/>
      <c r="P673" s="759" t="str">
        <f>'[4]Project list'!F18</f>
        <v>Various SCADA and Communications’ replacement</v>
      </c>
      <c r="Q673" s="760"/>
      <c r="R673" s="761"/>
    </row>
    <row r="674" spans="3:18" ht="30.4" customHeight="1" thickBot="1" x14ac:dyDescent="0.55000000000000004">
      <c r="C674" s="598" t="str">
        <f>'[4]Project list'!G19</f>
        <v>SCADA and Communications Battery Replacement Program</v>
      </c>
      <c r="D674" s="657" t="s">
        <v>1782</v>
      </c>
      <c r="E674" s="657" t="s">
        <v>1782</v>
      </c>
      <c r="F674" s="657" t="s">
        <v>1782</v>
      </c>
      <c r="G674" s="657" t="s">
        <v>1782</v>
      </c>
      <c r="H674" s="657" t="s">
        <v>1782</v>
      </c>
      <c r="I674" s="657" t="s">
        <v>1782</v>
      </c>
      <c r="J674" s="588"/>
      <c r="K674" s="598" t="s">
        <v>455</v>
      </c>
      <c r="M674" s="759" t="str">
        <f>'[4]Project list'!E19</f>
        <v>Condition and risk</v>
      </c>
      <c r="N674" s="760"/>
      <c r="O674" s="761"/>
      <c r="P674" s="759" t="str">
        <f>'[4]Project list'!F19</f>
        <v>Various SCADA and Communications’ replacement</v>
      </c>
      <c r="Q674" s="760"/>
      <c r="R674" s="761"/>
    </row>
    <row r="675" spans="3:18" ht="30.4" customHeight="1" thickBot="1" x14ac:dyDescent="0.55000000000000004">
      <c r="C675" s="598" t="str">
        <f>'[4]Project list'!G20</f>
        <v>SCADA and Communications Compliance and Safety Program</v>
      </c>
      <c r="D675" s="657" t="s">
        <v>1782</v>
      </c>
      <c r="E675" s="657" t="s">
        <v>1782</v>
      </c>
      <c r="F675" s="657" t="s">
        <v>1782</v>
      </c>
      <c r="G675" s="657" t="s">
        <v>1782</v>
      </c>
      <c r="H675" s="657" t="s">
        <v>1782</v>
      </c>
      <c r="I675" s="657" t="s">
        <v>1782</v>
      </c>
      <c r="J675" s="588"/>
      <c r="K675" s="598" t="s">
        <v>456</v>
      </c>
      <c r="M675" s="759" t="str">
        <f>'[4]Project list'!E20</f>
        <v>Compliance</v>
      </c>
      <c r="N675" s="760"/>
      <c r="O675" s="761"/>
      <c r="P675" s="759" t="str">
        <f>'[4]Project list'!F20</f>
        <v>SCADA and Comms</v>
      </c>
      <c r="Q675" s="760"/>
      <c r="R675" s="761"/>
    </row>
    <row r="676" spans="3:18" ht="30.4" customHeight="1" thickBot="1" x14ac:dyDescent="0.55000000000000004">
      <c r="C676" s="598" t="str">
        <f>'[4]Project list'!G21</f>
        <v>Protection Relay Replacement Program</v>
      </c>
      <c r="D676" s="657" t="s">
        <v>1782</v>
      </c>
      <c r="E676" s="657" t="s">
        <v>1782</v>
      </c>
      <c r="F676" s="657" t="s">
        <v>1782</v>
      </c>
      <c r="G676" s="657" t="s">
        <v>1782</v>
      </c>
      <c r="H676" s="657" t="s">
        <v>1782</v>
      </c>
      <c r="I676" s="657" t="s">
        <v>1782</v>
      </c>
      <c r="J676" s="588"/>
      <c r="K676" s="598" t="s">
        <v>457</v>
      </c>
      <c r="M676" s="759" t="str">
        <f>'[4]Project list'!E21</f>
        <v>Condition and risk</v>
      </c>
      <c r="N676" s="760"/>
      <c r="O676" s="761"/>
      <c r="P676" s="759" t="str">
        <f>'[4]Project list'!F21</f>
        <v>Various protection &amp; control replacement</v>
      </c>
      <c r="Q676" s="760"/>
      <c r="R676" s="761"/>
    </row>
    <row r="677" spans="3:18" ht="30.4" customHeight="1" thickBot="1" x14ac:dyDescent="0.55000000000000004">
      <c r="C677" s="598" t="str">
        <f>'[4]Project list'!G22</f>
        <v xml:space="preserve">Darwin Northern Suburbs High Voltage Cable Replacement Program </v>
      </c>
      <c r="D677" s="657" t="s">
        <v>1782</v>
      </c>
      <c r="E677" s="657" t="s">
        <v>1782</v>
      </c>
      <c r="F677" s="657" t="s">
        <v>1782</v>
      </c>
      <c r="G677" s="657" t="s">
        <v>1782</v>
      </c>
      <c r="H677" s="657" t="s">
        <v>1782</v>
      </c>
      <c r="I677" s="657" t="s">
        <v>1782</v>
      </c>
      <c r="J677" s="588"/>
      <c r="K677" s="598" t="s">
        <v>458</v>
      </c>
      <c r="M677" s="759" t="str">
        <f>'[4]Project list'!E22</f>
        <v>Condition and risk</v>
      </c>
      <c r="N677" s="760"/>
      <c r="O677" s="761"/>
      <c r="P677" s="759" t="str">
        <f>'[4]Project list'!F22</f>
        <v>Various cable replacements</v>
      </c>
      <c r="Q677" s="760"/>
      <c r="R677" s="761"/>
    </row>
    <row r="678" spans="3:18" ht="30.4" customHeight="1" thickBot="1" x14ac:dyDescent="0.55000000000000004">
      <c r="C678" s="598" t="str">
        <f>'[4]Project list'!G23</f>
        <v>Darwin Cullen Bay and Bayview Low Voltage Cable Replacement Program</v>
      </c>
      <c r="D678" s="657" t="s">
        <v>1782</v>
      </c>
      <c r="E678" s="657" t="s">
        <v>1782</v>
      </c>
      <c r="F678" s="657" t="s">
        <v>1782</v>
      </c>
      <c r="G678" s="657" t="s">
        <v>1782</v>
      </c>
      <c r="H678" s="657" t="s">
        <v>1782</v>
      </c>
      <c r="I678" s="657" t="s">
        <v>1782</v>
      </c>
      <c r="J678" s="588"/>
      <c r="K678" s="598" t="s">
        <v>459</v>
      </c>
      <c r="M678" s="759" t="str">
        <f>'[4]Project list'!E23</f>
        <v>Condition and risk</v>
      </c>
      <c r="N678" s="760"/>
      <c r="O678" s="761"/>
      <c r="P678" s="759" t="str">
        <f>'[4]Project list'!F23</f>
        <v>Various cable replacements</v>
      </c>
      <c r="Q678" s="760"/>
      <c r="R678" s="761"/>
    </row>
    <row r="679" spans="3:18" ht="30.4" customHeight="1" thickBot="1" x14ac:dyDescent="0.55000000000000004">
      <c r="C679" s="598" t="str">
        <f>'[4]Project list'!G24</f>
        <v>Darwin Lake Bennett Conductor Clearance Rectification Program</v>
      </c>
      <c r="D679" s="657" t="s">
        <v>1782</v>
      </c>
      <c r="E679" s="657" t="s">
        <v>1782</v>
      </c>
      <c r="F679" s="657" t="s">
        <v>1782</v>
      </c>
      <c r="G679" s="657" t="s">
        <v>1782</v>
      </c>
      <c r="H679" s="657" t="s">
        <v>1782</v>
      </c>
      <c r="I679" s="657" t="s">
        <v>1782</v>
      </c>
      <c r="J679" s="588"/>
      <c r="K679" s="598" t="s">
        <v>460</v>
      </c>
      <c r="M679" s="759" t="str">
        <f>'[4]Project list'!E24</f>
        <v>Compliance</v>
      </c>
      <c r="N679" s="760"/>
      <c r="O679" s="761"/>
      <c r="P679" s="759" t="str">
        <f>'[4]Project list'!F24</f>
        <v>Conductor clearance</v>
      </c>
      <c r="Q679" s="760"/>
      <c r="R679" s="761"/>
    </row>
    <row r="680" spans="3:18" ht="30.4" customHeight="1" thickBot="1" x14ac:dyDescent="0.55000000000000004">
      <c r="C680" s="598" t="str">
        <f>'[4]Project list'!G25</f>
        <v>[deleted]</v>
      </c>
      <c r="D680" s="657" t="s">
        <v>1782</v>
      </c>
      <c r="E680" s="657" t="s">
        <v>1782</v>
      </c>
      <c r="F680" s="657" t="s">
        <v>1782</v>
      </c>
      <c r="G680" s="657" t="s">
        <v>1782</v>
      </c>
      <c r="H680" s="657" t="s">
        <v>1782</v>
      </c>
      <c r="I680" s="657" t="s">
        <v>1782</v>
      </c>
      <c r="J680" s="588"/>
      <c r="K680" s="598" t="s">
        <v>461</v>
      </c>
      <c r="M680" s="759">
        <f>'[4]Project list'!E25</f>
        <v>0</v>
      </c>
      <c r="N680" s="760"/>
      <c r="O680" s="761"/>
      <c r="P680" s="759">
        <f>'[4]Project list'!F25</f>
        <v>0</v>
      </c>
      <c r="Q680" s="760"/>
      <c r="R680" s="761"/>
    </row>
    <row r="681" spans="3:18" ht="30.4" customHeight="1" thickBot="1" x14ac:dyDescent="0.55000000000000004">
      <c r="C681" s="598" t="str">
        <f>'[4]Project list'!G26</f>
        <v>Single Phase Substation Refurbishment Program</v>
      </c>
      <c r="D681" s="657" t="s">
        <v>1782</v>
      </c>
      <c r="E681" s="657" t="s">
        <v>1782</v>
      </c>
      <c r="F681" s="657" t="s">
        <v>1782</v>
      </c>
      <c r="G681" s="657" t="s">
        <v>1782</v>
      </c>
      <c r="H681" s="657" t="s">
        <v>1782</v>
      </c>
      <c r="I681" s="657" t="s">
        <v>1782</v>
      </c>
      <c r="J681" s="588"/>
      <c r="K681" s="598" t="s">
        <v>462</v>
      </c>
      <c r="M681" s="759" t="str">
        <f>'[4]Project list'!E26</f>
        <v>Condition and risk</v>
      </c>
      <c r="N681" s="760"/>
      <c r="O681" s="761"/>
      <c r="P681" s="759" t="str">
        <f>'[4]Project list'!F26</f>
        <v>Other minor projects</v>
      </c>
      <c r="Q681" s="760"/>
      <c r="R681" s="761"/>
    </row>
    <row r="682" spans="3:18" ht="30.4" customHeight="1" thickBot="1" x14ac:dyDescent="0.55000000000000004">
      <c r="C682" s="598" t="str">
        <f>'[4]Project list'!G27</f>
        <v>All Regions Condition and Failure Based Replacement Pooled Forecast</v>
      </c>
      <c r="D682" s="657" t="s">
        <v>1782</v>
      </c>
      <c r="E682" s="657" t="s">
        <v>1782</v>
      </c>
      <c r="F682" s="657" t="s">
        <v>1782</v>
      </c>
      <c r="G682" s="657" t="s">
        <v>1782</v>
      </c>
      <c r="H682" s="657" t="s">
        <v>1782</v>
      </c>
      <c r="I682" s="657" t="s">
        <v>1782</v>
      </c>
      <c r="J682" s="588"/>
      <c r="K682" s="598" t="s">
        <v>463</v>
      </c>
      <c r="M682" s="759" t="str">
        <f>'[4]Project list'!E27</f>
        <v>Condition and risk</v>
      </c>
      <c r="N682" s="760"/>
      <c r="O682" s="761"/>
      <c r="P682" s="759" t="str">
        <f>'[4]Project list'!F27</f>
        <v>Condition and Failure Based Replacement Pooled Forecast</v>
      </c>
      <c r="Q682" s="760"/>
      <c r="R682" s="761"/>
    </row>
    <row r="683" spans="3:18" ht="30.4" customHeight="1" thickBot="1" x14ac:dyDescent="0.55000000000000004">
      <c r="C683" s="598" t="str">
        <f>'[4]Project list'!G28</f>
        <v>Darwin Coastal Pole Top Corrosion Replacement Program</v>
      </c>
      <c r="D683" s="657" t="s">
        <v>1782</v>
      </c>
      <c r="E683" s="657" t="s">
        <v>1782</v>
      </c>
      <c r="F683" s="657" t="s">
        <v>1782</v>
      </c>
      <c r="G683" s="657" t="s">
        <v>1782</v>
      </c>
      <c r="H683" s="657" t="s">
        <v>1782</v>
      </c>
      <c r="I683" s="657" t="s">
        <v>1782</v>
      </c>
      <c r="J683" s="588"/>
      <c r="K683" s="598" t="s">
        <v>464</v>
      </c>
      <c r="M683" s="759" t="str">
        <f>'[4]Project list'!E28</f>
        <v>Condition and risk</v>
      </c>
      <c r="N683" s="760"/>
      <c r="O683" s="761"/>
      <c r="P683" s="759" t="str">
        <f>'[4]Project list'!F28</f>
        <v>Various pole and tower refurbishment</v>
      </c>
      <c r="Q683" s="760"/>
      <c r="R683" s="761"/>
    </row>
    <row r="684" spans="3:18" ht="30.4" customHeight="1" thickBot="1" x14ac:dyDescent="0.55000000000000004">
      <c r="C684" s="598" t="str">
        <f>'[4]Project list'!G29</f>
        <v>Substation DC System Replacement Program</v>
      </c>
      <c r="D684" s="657" t="s">
        <v>1782</v>
      </c>
      <c r="E684" s="657" t="s">
        <v>1782</v>
      </c>
      <c r="F684" s="657" t="s">
        <v>1782</v>
      </c>
      <c r="G684" s="657" t="s">
        <v>1782</v>
      </c>
      <c r="H684" s="657" t="s">
        <v>1782</v>
      </c>
      <c r="I684" s="657" t="s">
        <v>1782</v>
      </c>
      <c r="J684" s="588"/>
      <c r="K684" s="598" t="s">
        <v>465</v>
      </c>
      <c r="M684" s="759" t="str">
        <f>'[4]Project list'!E29</f>
        <v>Condition and risk</v>
      </c>
      <c r="N684" s="760"/>
      <c r="O684" s="761"/>
      <c r="P684" s="759" t="str">
        <f>'[4]Project list'!F29</f>
        <v>Other minor projects</v>
      </c>
      <c r="Q684" s="760"/>
      <c r="R684" s="761"/>
    </row>
    <row r="685" spans="3:18" ht="30.4" customHeight="1" thickBot="1" x14ac:dyDescent="0.55000000000000004">
      <c r="C685" s="598" t="str">
        <f>'[4]Project list'!G30</f>
        <v>All Regions Poorly Performing Feeder Improvement Program (REPEX Component)</v>
      </c>
      <c r="D685" s="657" t="s">
        <v>1782</v>
      </c>
      <c r="E685" s="657" t="s">
        <v>1782</v>
      </c>
      <c r="F685" s="657" t="s">
        <v>1782</v>
      </c>
      <c r="G685" s="657" t="s">
        <v>1782</v>
      </c>
      <c r="H685" s="657" t="s">
        <v>1782</v>
      </c>
      <c r="I685" s="657" t="s">
        <v>1782</v>
      </c>
      <c r="J685" s="588"/>
      <c r="K685" s="598" t="s">
        <v>466</v>
      </c>
      <c r="M685" s="759" t="str">
        <f>'[4]Project list'!E30</f>
        <v>Reliability and Quality of Supply</v>
      </c>
      <c r="N685" s="760"/>
      <c r="O685" s="761"/>
      <c r="P685" s="759" t="str">
        <f>'[4]Project list'!F30</f>
        <v>Reliability and Quality of Supply</v>
      </c>
      <c r="Q685" s="760"/>
      <c r="R685" s="761"/>
    </row>
    <row r="686" spans="3:18" ht="30.4" customHeight="1" thickBot="1" x14ac:dyDescent="0.55000000000000004">
      <c r="C686" s="598" t="str">
        <f>'[4]Project list'!G31</f>
        <v>[deleted]</v>
      </c>
      <c r="D686" s="657" t="s">
        <v>1782</v>
      </c>
      <c r="E686" s="657" t="s">
        <v>1782</v>
      </c>
      <c r="F686" s="657" t="s">
        <v>1782</v>
      </c>
      <c r="G686" s="657" t="s">
        <v>1782</v>
      </c>
      <c r="H686" s="657" t="s">
        <v>1782</v>
      </c>
      <c r="I686" s="657" t="s">
        <v>1782</v>
      </c>
      <c r="J686" s="588"/>
      <c r="K686" s="598" t="s">
        <v>467</v>
      </c>
      <c r="M686" s="759">
        <f>'[4]Project list'!E31</f>
        <v>0</v>
      </c>
      <c r="N686" s="760"/>
      <c r="O686" s="761"/>
      <c r="P686" s="759">
        <f>'[4]Project list'!F31</f>
        <v>0</v>
      </c>
      <c r="Q686" s="760"/>
      <c r="R686" s="761"/>
    </row>
    <row r="687" spans="3:18" ht="30.4" customHeight="1" thickBot="1" x14ac:dyDescent="0.55000000000000004">
      <c r="C687" s="598" t="str">
        <f>'[4]Project list'!G32</f>
        <v>FY18 budget and FY19 budget for Repex</v>
      </c>
      <c r="D687" s="657" t="s">
        <v>1782</v>
      </c>
      <c r="E687" s="657" t="s">
        <v>1782</v>
      </c>
      <c r="F687" s="657" t="s">
        <v>1782</v>
      </c>
      <c r="G687" s="657" t="s">
        <v>1782</v>
      </c>
      <c r="H687" s="657" t="s">
        <v>1782</v>
      </c>
      <c r="I687" s="657" t="s">
        <v>1782</v>
      </c>
      <c r="J687" s="588"/>
      <c r="K687" s="598" t="s">
        <v>468</v>
      </c>
      <c r="M687" s="759">
        <f>'[4]Project list'!E32</f>
        <v>0</v>
      </c>
      <c r="N687" s="760"/>
      <c r="O687" s="761"/>
      <c r="P687" s="759">
        <f>'[4]Project list'!F32</f>
        <v>0</v>
      </c>
      <c r="Q687" s="760"/>
      <c r="R687" s="761"/>
    </row>
    <row r="688" spans="3:18" ht="30.4" customHeight="1" thickBot="1" x14ac:dyDescent="0.55000000000000004">
      <c r="C688" s="598" t="str">
        <f>'[4]Project list'!G33</f>
        <v>Transmission Line Pole Top Corrosion Replacement Program</v>
      </c>
      <c r="D688" s="657" t="s">
        <v>1782</v>
      </c>
      <c r="E688" s="657" t="s">
        <v>1782</v>
      </c>
      <c r="F688" s="657" t="s">
        <v>1782</v>
      </c>
      <c r="G688" s="657" t="s">
        <v>1782</v>
      </c>
      <c r="H688" s="657" t="s">
        <v>1782</v>
      </c>
      <c r="I688" s="657" t="s">
        <v>1782</v>
      </c>
      <c r="J688" s="588"/>
      <c r="K688" s="598" t="s">
        <v>469</v>
      </c>
      <c r="M688" s="759" t="str">
        <f>'[4]Project list'!E33</f>
        <v>Condition and risk</v>
      </c>
      <c r="N688" s="760"/>
      <c r="O688" s="761"/>
      <c r="P688" s="759" t="str">
        <f>'[4]Project list'!F33</f>
        <v>Various pole and tower refurbishment</v>
      </c>
      <c r="Q688" s="760"/>
      <c r="R688" s="761"/>
    </row>
    <row r="689" spans="1:18" ht="30.4" customHeight="1" thickBot="1" x14ac:dyDescent="0.55000000000000004">
      <c r="C689" s="598" t="str">
        <f>'[4]Project list'!G34</f>
        <v>Transmission Tower Earthing System Refurbishment Program</v>
      </c>
      <c r="D689" s="657" t="s">
        <v>1782</v>
      </c>
      <c r="E689" s="657" t="s">
        <v>1782</v>
      </c>
      <c r="F689" s="657" t="s">
        <v>1782</v>
      </c>
      <c r="G689" s="657" t="s">
        <v>1782</v>
      </c>
      <c r="H689" s="657" t="s">
        <v>1782</v>
      </c>
      <c r="I689" s="657" t="s">
        <v>1782</v>
      </c>
      <c r="J689" s="588"/>
      <c r="K689" s="598" t="s">
        <v>470</v>
      </c>
      <c r="M689" s="759" t="str">
        <f>'[4]Project list'!E34</f>
        <v>Condition and risk</v>
      </c>
      <c r="N689" s="760"/>
      <c r="O689" s="761"/>
      <c r="P689" s="759" t="str">
        <f>'[4]Project list'!F34</f>
        <v>Various pole and tower refurbishment</v>
      </c>
      <c r="Q689" s="760"/>
      <c r="R689" s="761"/>
    </row>
    <row r="690" spans="1:18" ht="30.4" customHeight="1" thickBot="1" x14ac:dyDescent="0.55000000000000004">
      <c r="C690" s="598" t="str">
        <f>'[4]Project list'!G35</f>
        <v>Pine Creek 132kV Transformer Replacement</v>
      </c>
      <c r="D690" s="657" t="s">
        <v>1782</v>
      </c>
      <c r="E690" s="657" t="s">
        <v>1782</v>
      </c>
      <c r="F690" s="657" t="s">
        <v>1782</v>
      </c>
      <c r="G690" s="657" t="s">
        <v>1782</v>
      </c>
      <c r="H690" s="657" t="s">
        <v>1782</v>
      </c>
      <c r="I690" s="657" t="s">
        <v>1782</v>
      </c>
      <c r="J690" s="588"/>
      <c r="K690" s="598" t="s">
        <v>471</v>
      </c>
      <c r="M690" s="759" t="str">
        <f>'[4]Project list'!E35</f>
        <v>Condition and risk</v>
      </c>
      <c r="N690" s="760"/>
      <c r="O690" s="761"/>
      <c r="P690" s="759" t="str">
        <f>'[4]Project list'!F35</f>
        <v>Various power transformer replacements</v>
      </c>
      <c r="Q690" s="760"/>
      <c r="R690" s="761"/>
    </row>
    <row r="691" spans="1:18" ht="30.4" customHeight="1" thickBot="1" x14ac:dyDescent="0.55000000000000004">
      <c r="C691" s="598" t="str">
        <f>'[4]Project list'!G36</f>
        <v>[deleted]</v>
      </c>
      <c r="D691" s="657" t="s">
        <v>1782</v>
      </c>
      <c r="E691" s="657" t="s">
        <v>1782</v>
      </c>
      <c r="F691" s="657" t="s">
        <v>1782</v>
      </c>
      <c r="G691" s="657" t="s">
        <v>1782</v>
      </c>
      <c r="H691" s="657" t="s">
        <v>1782</v>
      </c>
      <c r="I691" s="657" t="s">
        <v>1782</v>
      </c>
      <c r="J691" s="588"/>
      <c r="K691" s="598" t="s">
        <v>472</v>
      </c>
      <c r="M691" s="759">
        <f>'[4]Project list'!E36</f>
        <v>0</v>
      </c>
      <c r="N691" s="760"/>
      <c r="O691" s="761"/>
      <c r="P691" s="759">
        <f>'[4]Project list'!F36</f>
        <v>0</v>
      </c>
      <c r="Q691" s="760"/>
      <c r="R691" s="761"/>
    </row>
    <row r="692" spans="1:18" ht="30.4" customHeight="1" thickBot="1" x14ac:dyDescent="0.55000000000000004">
      <c r="C692" s="598" t="str">
        <f>'[4]Project list'!G37</f>
        <v>Transmission Tower Corrosion Protection Life Extension Program</v>
      </c>
      <c r="D692" s="657" t="s">
        <v>1782</v>
      </c>
      <c r="E692" s="657" t="s">
        <v>1782</v>
      </c>
      <c r="F692" s="657" t="s">
        <v>1782</v>
      </c>
      <c r="G692" s="657" t="s">
        <v>1782</v>
      </c>
      <c r="H692" s="657" t="s">
        <v>1782</v>
      </c>
      <c r="I692" s="657" t="s">
        <v>1782</v>
      </c>
      <c r="J692" s="588"/>
      <c r="K692" s="598" t="s">
        <v>473</v>
      </c>
      <c r="M692" s="759" t="str">
        <f>'[4]Project list'!E37</f>
        <v>Condition and risk</v>
      </c>
      <c r="N692" s="760"/>
      <c r="O692" s="761"/>
      <c r="P692" s="759" t="str">
        <f>'[4]Project list'!F37</f>
        <v>Various pole and tower refurbishment</v>
      </c>
      <c r="Q692" s="760"/>
      <c r="R692" s="761"/>
    </row>
    <row r="693" spans="1:18" ht="13.8" thickBot="1" x14ac:dyDescent="0.55000000000000004">
      <c r="C693" s="590" t="s">
        <v>1292</v>
      </c>
      <c r="D693" s="591">
        <v>34.508522405223808</v>
      </c>
      <c r="E693" s="591">
        <v>37.832518584424655</v>
      </c>
      <c r="F693" s="591">
        <v>32.618122643172953</v>
      </c>
      <c r="G693" s="591">
        <v>21.298109026321352</v>
      </c>
      <c r="H693" s="591">
        <v>18.951066930514301</v>
      </c>
      <c r="I693" s="591">
        <f>SUM(D693:H693)</f>
        <v>145.20833958965707</v>
      </c>
      <c r="J693" s="588"/>
      <c r="K693" s="588"/>
    </row>
    <row r="694" spans="1:18" ht="13.8" thickBot="1" x14ac:dyDescent="0.55000000000000004">
      <c r="C694" s="588" t="s">
        <v>224</v>
      </c>
      <c r="D694" s="589">
        <f>D693*([4]Escalation!J$52-1)</f>
        <v>0.41359559964255566</v>
      </c>
      <c r="E694" s="589">
        <f>E693*([4]Escalation!K$52-1)</f>
        <v>0.68200189083023166</v>
      </c>
      <c r="F694" s="589">
        <f>F693*([4]Escalation!L$52-1)</f>
        <v>0.82589133517185986</v>
      </c>
      <c r="G694" s="589">
        <f>G693*([4]Escalation!M$52-1)</f>
        <v>0.70874831375221592</v>
      </c>
      <c r="H694" s="589">
        <f>H693*([4]Escalation!N$52-1)</f>
        <v>0.75923766574177765</v>
      </c>
      <c r="I694" s="591">
        <f>SUM(D694:H694)</f>
        <v>3.389474805138641</v>
      </c>
      <c r="J694" s="588"/>
      <c r="K694" s="588"/>
    </row>
    <row r="695" spans="1:18" ht="13.8" thickBot="1" x14ac:dyDescent="0.55000000000000004">
      <c r="C695" s="590" t="s">
        <v>1293</v>
      </c>
      <c r="D695" s="591">
        <f t="shared" ref="D695:I695" si="40">SUM(D693:D694)</f>
        <v>34.922118004866363</v>
      </c>
      <c r="E695" s="591">
        <f t="shared" si="40"/>
        <v>38.514520475254884</v>
      </c>
      <c r="F695" s="591">
        <f t="shared" si="40"/>
        <v>33.444013978344813</v>
      </c>
      <c r="G695" s="591">
        <f t="shared" si="40"/>
        <v>22.006857340073569</v>
      </c>
      <c r="H695" s="591">
        <f t="shared" si="40"/>
        <v>19.71030459625608</v>
      </c>
      <c r="I695" s="591">
        <f t="shared" si="40"/>
        <v>148.59781439479571</v>
      </c>
      <c r="J695" s="588"/>
      <c r="K695" s="588"/>
    </row>
    <row r="697" spans="1:18" ht="15" x14ac:dyDescent="0.5">
      <c r="A697" s="70">
        <f>IF(SUM(D697:H697)&lt;&gt;0,1,0)</f>
        <v>0</v>
      </c>
      <c r="C697" s="270" t="s">
        <v>1290</v>
      </c>
      <c r="D697" s="268">
        <f>IF(ROUND('[4]Total by category'!J26-D693,2)&lt;&gt;0,1,0)</f>
        <v>0</v>
      </c>
      <c r="E697" s="268">
        <f>IF(ROUND('[4]Total by category'!K26-E693,2)&lt;&gt;0,1,0)</f>
        <v>0</v>
      </c>
      <c r="F697" s="268">
        <f>IF(ROUND('[4]Total by category'!L26-F693,2)&lt;&gt;0,1,0)</f>
        <v>0</v>
      </c>
      <c r="G697" s="268">
        <f>IF(ROUND('[4]Total by category'!M26-G693,2)&lt;&gt;0,1,0)</f>
        <v>0</v>
      </c>
      <c r="H697" s="268">
        <f>IF(ROUND('[4]Total by category'!N26-H693,2)&lt;&gt;0,1,0)</f>
        <v>0</v>
      </c>
      <c r="I697" s="268"/>
    </row>
    <row r="698" spans="1:18" ht="15" x14ac:dyDescent="0.5">
      <c r="A698" s="70">
        <f>IF(SUM(D698:H698)&lt;&gt;0,1,0)</f>
        <v>0</v>
      </c>
      <c r="C698" s="270" t="s">
        <v>1291</v>
      </c>
      <c r="D698" s="268">
        <f>IF(ROUND('[4]Total by category'!U26-D695,2)&lt;&gt;0,1,0)</f>
        <v>0</v>
      </c>
      <c r="E698" s="268">
        <f>IF(ROUND('[4]Total by category'!V26-E695,2)&lt;&gt;0,1,0)</f>
        <v>0</v>
      </c>
      <c r="F698" s="268">
        <f>IF(ROUND('[4]Total by category'!W26-F695,2)&lt;&gt;0,1,0)</f>
        <v>0</v>
      </c>
      <c r="G698" s="268">
        <f>IF(ROUND('[4]Total by category'!X26-G695,2)&lt;&gt;0,1,0)</f>
        <v>0</v>
      </c>
      <c r="H698" s="268">
        <f>IF(ROUND('[4]Total by category'!Y26-H695,2)&lt;&gt;0,1,0)</f>
        <v>0</v>
      </c>
      <c r="I698" s="268"/>
    </row>
    <row r="700" spans="1:18" s="596" customFormat="1" x14ac:dyDescent="0.35">
      <c r="B700" s="596" t="s">
        <v>1579</v>
      </c>
    </row>
    <row r="701" spans="1:18" ht="13.2" thickBot="1" x14ac:dyDescent="0.55000000000000004">
      <c r="J701" s="656" t="s">
        <v>1766</v>
      </c>
    </row>
    <row r="702" spans="1:18" ht="13.2" thickBot="1" x14ac:dyDescent="0.55000000000000004">
      <c r="C702" s="597" t="s">
        <v>436</v>
      </c>
      <c r="D702" s="537" t="s">
        <v>236</v>
      </c>
      <c r="E702" s="537" t="s">
        <v>237</v>
      </c>
      <c r="F702" s="537" t="s">
        <v>238</v>
      </c>
      <c r="G702" s="537" t="s">
        <v>239</v>
      </c>
      <c r="H702" s="537" t="s">
        <v>240</v>
      </c>
      <c r="I702" s="537" t="s">
        <v>112</v>
      </c>
      <c r="J702" s="537" t="s">
        <v>437</v>
      </c>
      <c r="K702" s="537" t="s">
        <v>438</v>
      </c>
      <c r="M702" s="762" t="s">
        <v>1612</v>
      </c>
      <c r="N702" s="763"/>
      <c r="O702" s="764"/>
    </row>
    <row r="703" spans="1:18" ht="27.3" thickBot="1" x14ac:dyDescent="0.55000000000000004">
      <c r="C703" s="588" t="str">
        <f>'[4]Project list'!G38</f>
        <v>Darwin - Construct Wishart Zone Substation</v>
      </c>
      <c r="D703" s="657" t="s">
        <v>1782</v>
      </c>
      <c r="E703" s="657" t="s">
        <v>1782</v>
      </c>
      <c r="F703" s="657" t="s">
        <v>1782</v>
      </c>
      <c r="G703" s="657" t="s">
        <v>1782</v>
      </c>
      <c r="H703" s="657" t="s">
        <v>1782</v>
      </c>
      <c r="I703" s="657" t="s">
        <v>1782</v>
      </c>
      <c r="J703" s="588"/>
      <c r="K703" s="588" t="s">
        <v>474</v>
      </c>
      <c r="M703" s="759" t="str">
        <f>'[4]Project list'!E38</f>
        <v>Demand driven</v>
      </c>
      <c r="N703" s="760"/>
      <c r="O703" s="761"/>
    </row>
    <row r="704" spans="1:18" ht="13.8" thickBot="1" x14ac:dyDescent="0.55000000000000004">
      <c r="C704" s="588" t="str">
        <f>'[4]Project list'!G39</f>
        <v>Darwin - Archer ZSS Augmentation</v>
      </c>
      <c r="D704" s="657" t="s">
        <v>1782</v>
      </c>
      <c r="E704" s="657" t="s">
        <v>1782</v>
      </c>
      <c r="F704" s="657" t="s">
        <v>1782</v>
      </c>
      <c r="G704" s="657" t="s">
        <v>1782</v>
      </c>
      <c r="H704" s="657" t="s">
        <v>1782</v>
      </c>
      <c r="I704" s="657" t="s">
        <v>1782</v>
      </c>
      <c r="J704" s="588"/>
      <c r="K704" s="588" t="s">
        <v>475</v>
      </c>
      <c r="M704" s="759" t="str">
        <f>'[4]Project list'!E39</f>
        <v>Demand driven</v>
      </c>
      <c r="N704" s="760"/>
      <c r="O704" s="761"/>
    </row>
    <row r="705" spans="3:15" ht="13.8" thickBot="1" x14ac:dyDescent="0.55000000000000004">
      <c r="C705" s="588" t="str">
        <f>'[4]Project list'!G40</f>
        <v>Katherine Voltage Rectification</v>
      </c>
      <c r="D705" s="657" t="s">
        <v>1782</v>
      </c>
      <c r="E705" s="657" t="s">
        <v>1782</v>
      </c>
      <c r="F705" s="657" t="s">
        <v>1782</v>
      </c>
      <c r="G705" s="657" t="s">
        <v>1782</v>
      </c>
      <c r="H705" s="657" t="s">
        <v>1782</v>
      </c>
      <c r="I705" s="657" t="s">
        <v>1782</v>
      </c>
      <c r="J705" s="588"/>
      <c r="K705" s="588" t="s">
        <v>476</v>
      </c>
      <c r="M705" s="759" t="str">
        <f>'[4]Project list'!E40</f>
        <v>Reliability and Quality of Supply</v>
      </c>
      <c r="N705" s="760"/>
      <c r="O705" s="761"/>
    </row>
    <row r="706" spans="3:15" ht="13.8" thickBot="1" x14ac:dyDescent="0.55000000000000004">
      <c r="C706" s="588" t="str">
        <f>'[4]Project list'!G41</f>
        <v>Darwin - Transmission Line Uprating</v>
      </c>
      <c r="D706" s="657" t="s">
        <v>1782</v>
      </c>
      <c r="E706" s="657" t="s">
        <v>1782</v>
      </c>
      <c r="F706" s="657" t="s">
        <v>1782</v>
      </c>
      <c r="G706" s="657" t="s">
        <v>1782</v>
      </c>
      <c r="H706" s="657" t="s">
        <v>1782</v>
      </c>
      <c r="I706" s="657" t="s">
        <v>1782</v>
      </c>
      <c r="J706" s="588"/>
      <c r="K706" s="588" t="s">
        <v>477</v>
      </c>
      <c r="M706" s="759" t="str">
        <f>'[4]Project list'!E41</f>
        <v>Compliance</v>
      </c>
      <c r="N706" s="760"/>
      <c r="O706" s="761"/>
    </row>
    <row r="707" spans="3:15" ht="13.8" thickBot="1" x14ac:dyDescent="0.55000000000000004">
      <c r="C707" s="588" t="str">
        <f>'[4]Project list'!G42</f>
        <v>Power quality compliance program</v>
      </c>
      <c r="D707" s="657" t="s">
        <v>1782</v>
      </c>
      <c r="E707" s="657" t="s">
        <v>1782</v>
      </c>
      <c r="F707" s="657" t="s">
        <v>1782</v>
      </c>
      <c r="G707" s="657" t="s">
        <v>1782</v>
      </c>
      <c r="H707" s="657" t="s">
        <v>1782</v>
      </c>
      <c r="I707" s="657" t="s">
        <v>1782</v>
      </c>
      <c r="J707" s="588"/>
      <c r="K707" s="588" t="s">
        <v>478</v>
      </c>
      <c r="M707" s="759" t="str">
        <f>'[4]Project list'!E42</f>
        <v>Reliability and Quality of Supply</v>
      </c>
      <c r="N707" s="760"/>
      <c r="O707" s="761"/>
    </row>
    <row r="708" spans="3:15" ht="13.8" thickBot="1" x14ac:dyDescent="0.55000000000000004">
      <c r="C708" s="588" t="str">
        <f>'[4]Project list'!G43</f>
        <v>[deleted]</v>
      </c>
      <c r="D708" s="657" t="s">
        <v>1782</v>
      </c>
      <c r="E708" s="657" t="s">
        <v>1782</v>
      </c>
      <c r="F708" s="657" t="s">
        <v>1782</v>
      </c>
      <c r="G708" s="657" t="s">
        <v>1782</v>
      </c>
      <c r="H708" s="657" t="s">
        <v>1782</v>
      </c>
      <c r="I708" s="657" t="s">
        <v>1782</v>
      </c>
      <c r="J708" s="588"/>
      <c r="K708" s="588" t="s">
        <v>479</v>
      </c>
      <c r="M708" s="759">
        <f>'[4]Project list'!E43</f>
        <v>0</v>
      </c>
      <c r="N708" s="760"/>
      <c r="O708" s="761"/>
    </row>
    <row r="709" spans="3:15" ht="27.3" thickBot="1" x14ac:dyDescent="0.55000000000000004">
      <c r="C709" s="588" t="str">
        <f>'[4]Project list'!G44</f>
        <v>Darwin - Hudson Creek Spare 132kV Transformer</v>
      </c>
      <c r="D709" s="657" t="s">
        <v>1782</v>
      </c>
      <c r="E709" s="657" t="s">
        <v>1782</v>
      </c>
      <c r="F709" s="657" t="s">
        <v>1782</v>
      </c>
      <c r="G709" s="657" t="s">
        <v>1782</v>
      </c>
      <c r="H709" s="657" t="s">
        <v>1782</v>
      </c>
      <c r="I709" s="657" t="s">
        <v>1782</v>
      </c>
      <c r="J709" s="588"/>
      <c r="K709" s="588" t="s">
        <v>480</v>
      </c>
      <c r="M709" s="759" t="str">
        <f>'[4]Project list'!E44</f>
        <v>Compliance</v>
      </c>
      <c r="N709" s="760"/>
      <c r="O709" s="761"/>
    </row>
    <row r="710" spans="3:15" ht="27.3" thickBot="1" x14ac:dyDescent="0.55000000000000004">
      <c r="C710" s="588" t="str">
        <f>'[4]Project list'!G45</f>
        <v>Overloaded Feeders / Distribution Augmentation Program</v>
      </c>
      <c r="D710" s="657" t="s">
        <v>1782</v>
      </c>
      <c r="E710" s="657" t="s">
        <v>1782</v>
      </c>
      <c r="F710" s="657" t="s">
        <v>1782</v>
      </c>
      <c r="G710" s="657" t="s">
        <v>1782</v>
      </c>
      <c r="H710" s="657" t="s">
        <v>1782</v>
      </c>
      <c r="I710" s="657" t="s">
        <v>1782</v>
      </c>
      <c r="J710" s="588"/>
      <c r="K710" s="588" t="s">
        <v>481</v>
      </c>
      <c r="M710" s="759" t="str">
        <f>'[4]Project list'!E45</f>
        <v>Demand driven</v>
      </c>
      <c r="N710" s="760"/>
      <c r="O710" s="761"/>
    </row>
    <row r="711" spans="3:15" ht="27.3" thickBot="1" x14ac:dyDescent="0.55000000000000004">
      <c r="C711" s="588" t="str">
        <f>'[4]Project list'!G46</f>
        <v>Darwin Distribution Substation Fault Level Replacement Program</v>
      </c>
      <c r="D711" s="657" t="s">
        <v>1782</v>
      </c>
      <c r="E711" s="657" t="s">
        <v>1782</v>
      </c>
      <c r="F711" s="657" t="s">
        <v>1782</v>
      </c>
      <c r="G711" s="657" t="s">
        <v>1782</v>
      </c>
      <c r="H711" s="657" t="s">
        <v>1782</v>
      </c>
      <c r="I711" s="657" t="s">
        <v>1782</v>
      </c>
      <c r="J711" s="588"/>
      <c r="K711" s="588" t="s">
        <v>482</v>
      </c>
      <c r="M711" s="759" t="str">
        <f>'[4]Project list'!E46</f>
        <v>Compliance</v>
      </c>
      <c r="N711" s="760"/>
      <c r="O711" s="761"/>
    </row>
    <row r="712" spans="3:15" ht="13.8" thickBot="1" x14ac:dyDescent="0.55000000000000004">
      <c r="C712" s="588" t="str">
        <f>'[4]Project list'!G47</f>
        <v>[deleted]</v>
      </c>
      <c r="D712" s="657" t="s">
        <v>1782</v>
      </c>
      <c r="E712" s="657" t="s">
        <v>1782</v>
      </c>
      <c r="F712" s="657" t="s">
        <v>1782</v>
      </c>
      <c r="G712" s="657" t="s">
        <v>1782</v>
      </c>
      <c r="H712" s="657" t="s">
        <v>1782</v>
      </c>
      <c r="I712" s="657" t="s">
        <v>1782</v>
      </c>
      <c r="J712" s="588"/>
      <c r="K712" s="588" t="s">
        <v>483</v>
      </c>
      <c r="M712" s="759">
        <f>'[4]Project list'!E47</f>
        <v>0</v>
      </c>
      <c r="N712" s="760"/>
      <c r="O712" s="761"/>
    </row>
    <row r="713" spans="3:15" ht="27.3" thickBot="1" x14ac:dyDescent="0.55000000000000004">
      <c r="C713" s="588" t="str">
        <f>'[4]Project list'!G48</f>
        <v>Tennant Creek - Upgrade Tennant Creek 22/11kV Transformers</v>
      </c>
      <c r="D713" s="657" t="s">
        <v>1782</v>
      </c>
      <c r="E713" s="657" t="s">
        <v>1782</v>
      </c>
      <c r="F713" s="657" t="s">
        <v>1782</v>
      </c>
      <c r="G713" s="657" t="s">
        <v>1782</v>
      </c>
      <c r="H713" s="657" t="s">
        <v>1782</v>
      </c>
      <c r="I713" s="657" t="s">
        <v>1782</v>
      </c>
      <c r="J713" s="588"/>
      <c r="K713" s="588" t="s">
        <v>484</v>
      </c>
      <c r="M713" s="759" t="str">
        <f>'[4]Project list'!E48</f>
        <v>Demand driven</v>
      </c>
      <c r="N713" s="760"/>
      <c r="O713" s="761"/>
    </row>
    <row r="714" spans="3:15" ht="27.3" thickBot="1" x14ac:dyDescent="0.55000000000000004">
      <c r="C714" s="588" t="str">
        <f>'[4]Project list'!G49</f>
        <v>SCADA and Communications Optus Cable Extension Program</v>
      </c>
      <c r="D714" s="657" t="s">
        <v>1782</v>
      </c>
      <c r="E714" s="657" t="s">
        <v>1782</v>
      </c>
      <c r="F714" s="657" t="s">
        <v>1782</v>
      </c>
      <c r="G714" s="657" t="s">
        <v>1782</v>
      </c>
      <c r="H714" s="657" t="s">
        <v>1782</v>
      </c>
      <c r="I714" s="657" t="s">
        <v>1782</v>
      </c>
      <c r="J714" s="588"/>
      <c r="K714" s="588" t="s">
        <v>485</v>
      </c>
      <c r="M714" s="759" t="str">
        <f>'[4]Project list'!E49</f>
        <v>Compliance</v>
      </c>
      <c r="N714" s="760"/>
      <c r="O714" s="761"/>
    </row>
    <row r="715" spans="3:15" ht="40.799999999999997" thickBot="1" x14ac:dyDescent="0.55000000000000004">
      <c r="C715" s="588" t="str">
        <f>'[4]Project list'!G50</f>
        <v>All Regions Poorly Performing Feeder Improvement Program AUGEX Component)</v>
      </c>
      <c r="D715" s="657" t="s">
        <v>1782</v>
      </c>
      <c r="E715" s="657" t="s">
        <v>1782</v>
      </c>
      <c r="F715" s="657" t="s">
        <v>1782</v>
      </c>
      <c r="G715" s="657" t="s">
        <v>1782</v>
      </c>
      <c r="H715" s="657" t="s">
        <v>1782</v>
      </c>
      <c r="I715" s="657" t="s">
        <v>1782</v>
      </c>
      <c r="J715" s="588"/>
      <c r="K715" s="588" t="s">
        <v>486</v>
      </c>
      <c r="M715" s="759" t="str">
        <f>'[4]Project list'!E50</f>
        <v>Reliability and Quality of Supply</v>
      </c>
      <c r="N715" s="760"/>
      <c r="O715" s="761"/>
    </row>
    <row r="716" spans="3:15" ht="13.8" thickBot="1" x14ac:dyDescent="0.55000000000000004">
      <c r="C716" s="588" t="str">
        <f>'[4]Project list'!G51</f>
        <v>FY18 budget and FY19 budget for Augex</v>
      </c>
      <c r="D716" s="657" t="s">
        <v>1782</v>
      </c>
      <c r="E716" s="657" t="s">
        <v>1782</v>
      </c>
      <c r="F716" s="657" t="s">
        <v>1782</v>
      </c>
      <c r="G716" s="657" t="s">
        <v>1782</v>
      </c>
      <c r="H716" s="657" t="s">
        <v>1782</v>
      </c>
      <c r="I716" s="657" t="s">
        <v>1782</v>
      </c>
      <c r="J716" s="588"/>
      <c r="K716" s="588" t="s">
        <v>487</v>
      </c>
      <c r="M716" s="759">
        <f>'[4]Project list'!E51</f>
        <v>0</v>
      </c>
      <c r="N716" s="760"/>
      <c r="O716" s="761"/>
    </row>
    <row r="717" spans="3:15" ht="27.3" thickBot="1" x14ac:dyDescent="0.55000000000000004">
      <c r="C717" s="588" t="str">
        <f>'[4]Project list'!G52</f>
        <v>Power Transformer Online Moisture Treatment</v>
      </c>
      <c r="D717" s="657" t="s">
        <v>1782</v>
      </c>
      <c r="E717" s="657" t="s">
        <v>1782</v>
      </c>
      <c r="F717" s="657" t="s">
        <v>1782</v>
      </c>
      <c r="G717" s="657" t="s">
        <v>1782</v>
      </c>
      <c r="H717" s="657" t="s">
        <v>1782</v>
      </c>
      <c r="I717" s="657" t="s">
        <v>1782</v>
      </c>
      <c r="J717" s="588"/>
      <c r="K717" s="588" t="s">
        <v>1217</v>
      </c>
      <c r="M717" s="759" t="str">
        <f>'[4]Project list'!E52</f>
        <v>Compliance</v>
      </c>
      <c r="N717" s="760"/>
      <c r="O717" s="761"/>
    </row>
    <row r="718" spans="3:15" ht="13.8" thickBot="1" x14ac:dyDescent="0.55000000000000004">
      <c r="C718" s="590" t="s">
        <v>1292</v>
      </c>
      <c r="D718" s="591">
        <v>7.3073238302535408</v>
      </c>
      <c r="E718" s="591">
        <v>5.6540584427746552</v>
      </c>
      <c r="F718" s="591">
        <v>15.074702861966829</v>
      </c>
      <c r="G718" s="591">
        <v>17.018794578853608</v>
      </c>
      <c r="H718" s="591">
        <v>13.843363053168828</v>
      </c>
      <c r="I718" s="591">
        <v>58.898242767017464</v>
      </c>
      <c r="J718" s="588"/>
      <c r="K718" s="588"/>
    </row>
    <row r="719" spans="3:15" ht="13.8" thickBot="1" x14ac:dyDescent="0.55000000000000004">
      <c r="C719" s="588" t="s">
        <v>224</v>
      </c>
      <c r="D719" s="589">
        <f>D718*([4]Escalation!J$52-1)</f>
        <v>8.7580596638311747E-2</v>
      </c>
      <c r="E719" s="589">
        <f>E718*([4]Escalation!K$52-1)</f>
        <v>0.10192497600264093</v>
      </c>
      <c r="F719" s="589">
        <f>F718*([4]Escalation!L$52-1)</f>
        <v>0.38169169360808286</v>
      </c>
      <c r="G719" s="589">
        <f>G718*([4]Escalation!M$52-1)</f>
        <v>0.56634332864720183</v>
      </c>
      <c r="H719" s="589">
        <f>H718*([4]Escalation!N$52-1)</f>
        <v>0.55460743656497824</v>
      </c>
      <c r="I719" s="591">
        <f>SUM(D719:H719)</f>
        <v>1.6921480314612156</v>
      </c>
      <c r="J719" s="588"/>
      <c r="K719" s="588"/>
    </row>
    <row r="720" spans="3:15" ht="13.8" thickBot="1" x14ac:dyDescent="0.55000000000000004">
      <c r="C720" s="590" t="s">
        <v>1293</v>
      </c>
      <c r="D720" s="591">
        <f t="shared" ref="D720:I720" si="41">SUM(D718:D719)</f>
        <v>7.3949044268918529</v>
      </c>
      <c r="E720" s="591">
        <f t="shared" si="41"/>
        <v>5.755983418777296</v>
      </c>
      <c r="F720" s="591">
        <f t="shared" si="41"/>
        <v>15.456394555574912</v>
      </c>
      <c r="G720" s="591">
        <f t="shared" si="41"/>
        <v>17.585137907500812</v>
      </c>
      <c r="H720" s="591">
        <f t="shared" si="41"/>
        <v>14.397970489733806</v>
      </c>
      <c r="I720" s="591">
        <f t="shared" si="41"/>
        <v>60.59039079847868</v>
      </c>
      <c r="J720" s="588"/>
      <c r="K720" s="588"/>
    </row>
    <row r="722" spans="1:9" ht="15" x14ac:dyDescent="0.5">
      <c r="A722" s="70">
        <f>IF(SUM(D722:H722)&lt;&gt;0,1,0)</f>
        <v>0</v>
      </c>
      <c r="C722" s="270" t="s">
        <v>1290</v>
      </c>
      <c r="D722" s="268">
        <f>IF(ROUND('[4]Total by category'!J25-D718,2)&lt;&gt;0,1,0)</f>
        <v>0</v>
      </c>
      <c r="E722" s="268">
        <f>IF(ROUND('[4]Total by category'!K25-E718,2)&lt;&gt;0,1,0)</f>
        <v>0</v>
      </c>
      <c r="F722" s="268">
        <f>IF(ROUND('[4]Total by category'!L25-F718,2)&lt;&gt;0,1,0)</f>
        <v>0</v>
      </c>
      <c r="G722" s="268">
        <f>IF(ROUND('[4]Total by category'!M25-G718,2)&lt;&gt;0,1,0)</f>
        <v>0</v>
      </c>
      <c r="H722" s="268">
        <f>IF(ROUND('[4]Total by category'!N25-H718,2)&lt;&gt;0,1,0)</f>
        <v>0</v>
      </c>
      <c r="I722" s="268"/>
    </row>
    <row r="723" spans="1:9" ht="15" x14ac:dyDescent="0.5">
      <c r="A723" s="70">
        <f>IF(SUM(D723:H723)&lt;&gt;0,1,0)</f>
        <v>0</v>
      </c>
      <c r="C723" s="270" t="s">
        <v>1291</v>
      </c>
      <c r="D723" s="268">
        <f>IF(ROUND('[4]Total by category'!U25-D720,2)&lt;&gt;0,1,0)</f>
        <v>0</v>
      </c>
      <c r="E723" s="268">
        <f>IF(ROUND('[4]Total by category'!V25-E720,2)&lt;&gt;0,1,0)</f>
        <v>0</v>
      </c>
      <c r="F723" s="268">
        <f>IF(ROUND('[4]Total by category'!W25-F720,2)&lt;&gt;0,1,0)</f>
        <v>0</v>
      </c>
      <c r="G723" s="268">
        <f>IF(ROUND('[4]Total by category'!X25-G720,2)&lt;&gt;0,1,0)</f>
        <v>0</v>
      </c>
      <c r="H723" s="268">
        <f>IF(ROUND('[4]Total by category'!Y25-H720,2)&lt;&gt;0,1,0)</f>
        <v>0</v>
      </c>
      <c r="I723" s="268"/>
    </row>
    <row r="725" spans="1:9" s="139" customFormat="1" x14ac:dyDescent="0.35">
      <c r="B725" s="139" t="s">
        <v>32</v>
      </c>
    </row>
  </sheetData>
  <mergeCells count="109">
    <mergeCell ref="M714:O714"/>
    <mergeCell ref="M715:O715"/>
    <mergeCell ref="M716:O716"/>
    <mergeCell ref="M717:O717"/>
    <mergeCell ref="M709:O709"/>
    <mergeCell ref="M710:O710"/>
    <mergeCell ref="M711:O711"/>
    <mergeCell ref="M712:O712"/>
    <mergeCell ref="M713:O713"/>
    <mergeCell ref="M704:O704"/>
    <mergeCell ref="M705:O705"/>
    <mergeCell ref="M706:O706"/>
    <mergeCell ref="M707:O707"/>
    <mergeCell ref="M708:O708"/>
    <mergeCell ref="M690:O690"/>
    <mergeCell ref="P690:R690"/>
    <mergeCell ref="M691:O691"/>
    <mergeCell ref="P691:R691"/>
    <mergeCell ref="M692:O692"/>
    <mergeCell ref="P692:R692"/>
    <mergeCell ref="M687:O687"/>
    <mergeCell ref="P687:R687"/>
    <mergeCell ref="M688:O688"/>
    <mergeCell ref="P688:R688"/>
    <mergeCell ref="M689:O689"/>
    <mergeCell ref="P689:R689"/>
    <mergeCell ref="M684:O684"/>
    <mergeCell ref="P684:R684"/>
    <mergeCell ref="M685:O685"/>
    <mergeCell ref="P685:R685"/>
    <mergeCell ref="M686:O686"/>
    <mergeCell ref="P686:R686"/>
    <mergeCell ref="M681:O681"/>
    <mergeCell ref="P681:R681"/>
    <mergeCell ref="M682:O682"/>
    <mergeCell ref="P682:R682"/>
    <mergeCell ref="M683:O683"/>
    <mergeCell ref="P683:R683"/>
    <mergeCell ref="M678:O678"/>
    <mergeCell ref="P678:R678"/>
    <mergeCell ref="M679:O679"/>
    <mergeCell ref="P679:R679"/>
    <mergeCell ref="M680:O680"/>
    <mergeCell ref="P680:R680"/>
    <mergeCell ref="M676:O676"/>
    <mergeCell ref="P676:R676"/>
    <mergeCell ref="M677:O677"/>
    <mergeCell ref="P677:R677"/>
    <mergeCell ref="M672:O672"/>
    <mergeCell ref="P672:R672"/>
    <mergeCell ref="M673:O673"/>
    <mergeCell ref="P673:R673"/>
    <mergeCell ref="M674:O674"/>
    <mergeCell ref="P674:R674"/>
    <mergeCell ref="M671:O671"/>
    <mergeCell ref="P671:R671"/>
    <mergeCell ref="M666:O666"/>
    <mergeCell ref="P666:R666"/>
    <mergeCell ref="M667:O667"/>
    <mergeCell ref="P667:R667"/>
    <mergeCell ref="M668:O668"/>
    <mergeCell ref="P668:R668"/>
    <mergeCell ref="M675:O675"/>
    <mergeCell ref="P675:R675"/>
    <mergeCell ref="M663:O663"/>
    <mergeCell ref="P663:R663"/>
    <mergeCell ref="M664:O664"/>
    <mergeCell ref="P664:R664"/>
    <mergeCell ref="M665:O665"/>
    <mergeCell ref="P665:R665"/>
    <mergeCell ref="M702:O702"/>
    <mergeCell ref="M703:O703"/>
    <mergeCell ref="M657:O657"/>
    <mergeCell ref="P657:R657"/>
    <mergeCell ref="M658:O658"/>
    <mergeCell ref="P658:R658"/>
    <mergeCell ref="M659:O659"/>
    <mergeCell ref="P659:R659"/>
    <mergeCell ref="M660:O660"/>
    <mergeCell ref="P660:R660"/>
    <mergeCell ref="M661:O661"/>
    <mergeCell ref="P661:R661"/>
    <mergeCell ref="M662:O662"/>
    <mergeCell ref="P662:R662"/>
    <mergeCell ref="M669:O669"/>
    <mergeCell ref="P669:R669"/>
    <mergeCell ref="M670:O670"/>
    <mergeCell ref="P670:R670"/>
    <mergeCell ref="C534:C536"/>
    <mergeCell ref="C91:I91"/>
    <mergeCell ref="C107:I107"/>
    <mergeCell ref="C126:I126"/>
    <mergeCell ref="K451:O451"/>
    <mergeCell ref="K317:O317"/>
    <mergeCell ref="K318:O318"/>
    <mergeCell ref="K319:O319"/>
    <mergeCell ref="K320:O320"/>
    <mergeCell ref="K311:O311"/>
    <mergeCell ref="K312:O312"/>
    <mergeCell ref="K313:O313"/>
    <mergeCell ref="K314:O314"/>
    <mergeCell ref="K315:O315"/>
    <mergeCell ref="K316:O316"/>
    <mergeCell ref="K97:M97"/>
    <mergeCell ref="K98:M98"/>
    <mergeCell ref="K99:M99"/>
    <mergeCell ref="K100:M100"/>
    <mergeCell ref="K101:M101"/>
    <mergeCell ref="K102:M102"/>
  </mergeCells>
  <conditionalFormatting sqref="B2">
    <cfRule type="cellIs" dxfId="12" priority="1" operator="notEqual">
      <formula>"No Errors Found"</formula>
    </cfRule>
  </conditionalFormatting>
  <hyperlinks>
    <hyperlink ref="B3:D3" location="Cover!A1" display="Go to Cover Sheet" xr:uid="{00000000-0004-0000-2500-000000000000}"/>
  </hyperlinks>
  <pageMargins left="0.7" right="0.7" top="0.75" bottom="0.75" header="0.3" footer="0.3"/>
  <pageSetup paperSize="9"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4"/>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2" width="4.1328125" style="137" customWidth="1"/>
    <col min="3" max="3" width="39" style="137" customWidth="1"/>
    <col min="4" max="15" width="12.46484375" style="137" customWidth="1"/>
    <col min="16" max="16" width="10.1328125" style="137" customWidth="1"/>
    <col min="17" max="19" width="12.33203125" style="137" customWidth="1"/>
    <col min="20" max="16384" width="9.1328125" style="137"/>
  </cols>
  <sheetData>
    <row r="1" spans="1:10" ht="20.399999999999999" x14ac:dyDescent="0.5">
      <c r="A1" s="65">
        <f>IF(SUM($A6:$A34)&gt;0,1,0)</f>
        <v>0</v>
      </c>
      <c r="B1" s="136" t="s">
        <v>1751</v>
      </c>
    </row>
    <row r="2" spans="1:10" s="104" customFormat="1" ht="10.199999999999999" x14ac:dyDescent="0.35">
      <c r="B2" s="105" t="str">
        <f>Title_Msg</f>
        <v>No Errors Found</v>
      </c>
    </row>
    <row r="3" spans="1:10" s="104" customFormat="1" ht="12.3" x14ac:dyDescent="0.35">
      <c r="B3" s="106" t="s">
        <v>51</v>
      </c>
      <c r="C3" s="106"/>
      <c r="D3" s="106"/>
      <c r="E3" s="107"/>
    </row>
    <row r="4" spans="1:10" s="104" customFormat="1" ht="12.3" x14ac:dyDescent="0.35">
      <c r="B4" s="108" t="str">
        <f>Model_Name</f>
        <v>Power and Water Corporation (PWC) - Regulatory Proposal Tables and Charts</v>
      </c>
    </row>
    <row r="6" spans="1:10" s="139" customFormat="1" x14ac:dyDescent="0.35">
      <c r="B6" s="139" t="s">
        <v>1341</v>
      </c>
    </row>
    <row r="7" spans="1:10" ht="13.2" thickBot="1" x14ac:dyDescent="0.55000000000000004"/>
    <row r="8" spans="1:10" ht="23.1" customHeight="1" thickBot="1" x14ac:dyDescent="0.55000000000000004">
      <c r="C8" s="214" t="s">
        <v>1356</v>
      </c>
      <c r="D8" s="501" t="s">
        <v>236</v>
      </c>
      <c r="E8" s="520" t="s">
        <v>237</v>
      </c>
      <c r="F8" s="521" t="s">
        <v>238</v>
      </c>
      <c r="G8" s="522" t="s">
        <v>239</v>
      </c>
      <c r="H8" s="522" t="s">
        <v>240</v>
      </c>
      <c r="I8" s="523" t="s">
        <v>112</v>
      </c>
    </row>
    <row r="9" spans="1:10" ht="27.3" thickBot="1" x14ac:dyDescent="0.55000000000000004">
      <c r="C9" s="502" t="s">
        <v>1335</v>
      </c>
      <c r="D9" s="269">
        <f>'[10]Gross connection capex'!K25*Input_Inflation!T$46</f>
        <v>3.3843561533034112</v>
      </c>
      <c r="E9" s="269">
        <f>'[10]Gross connection capex'!L25*Input_Inflation!U$46</f>
        <v>4.0280067100666379</v>
      </c>
      <c r="F9" s="269">
        <f>'[10]Gross connection capex'!M25*Input_Inflation!V$46</f>
        <v>4.1162491251067559</v>
      </c>
      <c r="G9" s="269">
        <f>'[10]Gross connection capex'!N25*Input_Inflation!W$46</f>
        <v>2.0088126247368403</v>
      </c>
      <c r="H9" s="269">
        <f>'[10]Gross connection capex'!O25*Input_Inflation!X$46</f>
        <v>2.0295755459227509</v>
      </c>
      <c r="I9" s="269">
        <f t="shared" ref="I9:I11" si="0">SUM(D9:H9)</f>
        <v>15.567000159136395</v>
      </c>
      <c r="J9" s="587"/>
    </row>
    <row r="10" spans="1:10" ht="13.8" thickBot="1" x14ac:dyDescent="0.55000000000000004">
      <c r="C10" s="502" t="s">
        <v>292</v>
      </c>
      <c r="D10" s="269">
        <f>'[10]Gross connection capex'!K26*Input_Inflation!T$46</f>
        <v>9.1137438197259897</v>
      </c>
      <c r="E10" s="269">
        <f>'[10]Gross connection capex'!L26*Input_Inflation!U$46</f>
        <v>9.1137438197259897</v>
      </c>
      <c r="F10" s="269">
        <f>'[10]Gross connection capex'!M26*Input_Inflation!V$46</f>
        <v>9.1137438197259879</v>
      </c>
      <c r="G10" s="269">
        <f>'[10]Gross connection capex'!N26*Input_Inflation!W$46</f>
        <v>9.1137438197259879</v>
      </c>
      <c r="H10" s="269">
        <f>'[10]Gross connection capex'!O26*Input_Inflation!X$46</f>
        <v>9.1137438197259844</v>
      </c>
      <c r="I10" s="269">
        <f t="shared" si="0"/>
        <v>45.568719098629941</v>
      </c>
      <c r="J10" s="587"/>
    </row>
    <row r="11" spans="1:10" ht="27.3" thickBot="1" x14ac:dyDescent="0.55000000000000004">
      <c r="C11" s="502" t="s">
        <v>1336</v>
      </c>
      <c r="D11" s="269">
        <f>SUM(D9:D10)</f>
        <v>12.498099973029401</v>
      </c>
      <c r="E11" s="269">
        <f t="shared" ref="E11:H11" si="1">SUM(E9:E10)</f>
        <v>13.141750529792628</v>
      </c>
      <c r="F11" s="269">
        <f t="shared" si="1"/>
        <v>13.229992944832745</v>
      </c>
      <c r="G11" s="269">
        <f t="shared" si="1"/>
        <v>11.122556444462829</v>
      </c>
      <c r="H11" s="269">
        <f t="shared" si="1"/>
        <v>11.143319365648736</v>
      </c>
      <c r="I11" s="269">
        <f t="shared" si="0"/>
        <v>61.13571925776634</v>
      </c>
      <c r="J11" s="587"/>
    </row>
    <row r="13" spans="1:10" ht="15" x14ac:dyDescent="0.5">
      <c r="A13" s="70">
        <f>IF(SUM(D13:H13)&lt;&gt;0,1,0)</f>
        <v>0</v>
      </c>
      <c r="C13" s="270" t="s">
        <v>1337</v>
      </c>
      <c r="D13" s="268">
        <f>IF(ROUND('[4]Total by category'!J27-D11,1)&lt;&gt;0,1,0)</f>
        <v>0</v>
      </c>
      <c r="E13" s="268">
        <f>IF(ROUND('[4]Total by category'!K27-E11,1)&lt;&gt;0,1,0)</f>
        <v>0</v>
      </c>
      <c r="F13" s="268">
        <f>IF(ROUND('[4]Total by category'!L27-F11,1)&lt;&gt;0,1,0)</f>
        <v>0</v>
      </c>
      <c r="G13" s="268">
        <f>IF(ROUND('[4]Total by category'!M27-G11,1)&lt;&gt;0,1,0)</f>
        <v>0</v>
      </c>
      <c r="H13" s="268">
        <f>IF(ROUND('[4]Total by category'!N27-H11,1)&lt;&gt;0,1,0)</f>
        <v>0</v>
      </c>
      <c r="I13" s="268"/>
    </row>
    <row r="15" spans="1:10" s="139" customFormat="1" x14ac:dyDescent="0.35">
      <c r="B15" s="139" t="s">
        <v>1340</v>
      </c>
    </row>
    <row r="16" spans="1:10" ht="13.2" thickBot="1" x14ac:dyDescent="0.55000000000000004"/>
    <row r="17" spans="2:20" ht="23.1" customHeight="1" thickBot="1" x14ac:dyDescent="0.55000000000000004">
      <c r="C17" s="214" t="s">
        <v>245</v>
      </c>
      <c r="D17" s="501" t="s">
        <v>236</v>
      </c>
      <c r="E17" s="501" t="s">
        <v>237</v>
      </c>
      <c r="F17" s="501" t="s">
        <v>238</v>
      </c>
      <c r="G17" s="501" t="s">
        <v>239</v>
      </c>
      <c r="H17" s="501" t="s">
        <v>240</v>
      </c>
      <c r="I17" s="501" t="s">
        <v>112</v>
      </c>
    </row>
    <row r="18" spans="2:20" ht="13.8" thickBot="1" x14ac:dyDescent="0.55000000000000004">
      <c r="C18" s="502" t="s">
        <v>1338</v>
      </c>
      <c r="D18" s="269">
        <f>D9</f>
        <v>3.3843561533034112</v>
      </c>
      <c r="E18" s="269">
        <f t="shared" ref="E18:H18" si="2">E9</f>
        <v>4.0280067100666379</v>
      </c>
      <c r="F18" s="269">
        <f t="shared" si="2"/>
        <v>4.1162491251067559</v>
      </c>
      <c r="G18" s="269">
        <f t="shared" si="2"/>
        <v>2.0088126247368403</v>
      </c>
      <c r="H18" s="269">
        <f t="shared" si="2"/>
        <v>2.0295755459227509</v>
      </c>
      <c r="I18" s="269">
        <f t="shared" ref="I18" si="3">SUM(D18:H18)</f>
        <v>15.567000159136395</v>
      </c>
    </row>
    <row r="20" spans="2:20" s="139" customFormat="1" x14ac:dyDescent="0.35">
      <c r="B20" s="139" t="s">
        <v>1339</v>
      </c>
    </row>
    <row r="21" spans="2:20" ht="13.2" thickBot="1" x14ac:dyDescent="0.55000000000000004"/>
    <row r="22" spans="2:20" ht="28.15" customHeight="1" thickBot="1" x14ac:dyDescent="0.55000000000000004">
      <c r="C22" s="214" t="s">
        <v>245</v>
      </c>
      <c r="D22" s="501" t="s">
        <v>246</v>
      </c>
      <c r="E22" s="501" t="s">
        <v>247</v>
      </c>
      <c r="F22" s="501" t="s">
        <v>248</v>
      </c>
      <c r="G22" s="501" t="s">
        <v>249</v>
      </c>
      <c r="H22" s="501" t="s">
        <v>250</v>
      </c>
      <c r="I22" s="501" t="s">
        <v>112</v>
      </c>
      <c r="K22" s="768" t="s">
        <v>1354</v>
      </c>
      <c r="L22" s="769"/>
      <c r="M22" s="770"/>
      <c r="N22" s="519" t="s">
        <v>246</v>
      </c>
      <c r="O22" s="519" t="s">
        <v>247</v>
      </c>
      <c r="P22" s="519" t="s">
        <v>248</v>
      </c>
      <c r="Q22" s="519" t="s">
        <v>249</v>
      </c>
      <c r="R22" s="519" t="s">
        <v>250</v>
      </c>
      <c r="S22" s="519" t="s">
        <v>112</v>
      </c>
    </row>
    <row r="23" spans="2:20" ht="13.8" thickBot="1" x14ac:dyDescent="0.55000000000000004">
      <c r="C23" s="502" t="s">
        <v>282</v>
      </c>
      <c r="D23" s="269">
        <f>N25*Input_Inflation!P47+N31*Input_Inflation!P47</f>
        <v>20.081898841359774</v>
      </c>
      <c r="E23" s="269">
        <f>O25*Input_Inflation!Q47+O31*Input_Inflation!Q47</f>
        <v>20.321747796033996</v>
      </c>
      <c r="F23" s="269">
        <f>P25*Input_Inflation!R47+P31*Input_Inflation!R47</f>
        <v>21.259339164305949</v>
      </c>
      <c r="G23" s="269">
        <f>Q25*Input_Inflation!S47+Q31*Input_Inflation!S47</f>
        <v>21.90257045184136</v>
      </c>
      <c r="H23" s="269">
        <f>R25*Input_Inflation!T47+R31*Input_Inflation!T47</f>
        <v>26.873985148725211</v>
      </c>
      <c r="I23" s="269">
        <f t="shared" ref="I23:I24" si="4">SUM(D23:H23)</f>
        <v>110.43954140226629</v>
      </c>
      <c r="K23" s="765" t="s">
        <v>1344</v>
      </c>
      <c r="L23" s="766"/>
      <c r="M23" s="767"/>
      <c r="N23" s="524">
        <v>10.37</v>
      </c>
      <c r="O23" s="524">
        <v>10.55</v>
      </c>
      <c r="P23" s="524">
        <v>11.41</v>
      </c>
      <c r="Q23" s="524">
        <v>12.01</v>
      </c>
      <c r="R23" s="524">
        <v>16.579999999999998</v>
      </c>
      <c r="S23" s="524">
        <f>SUM(N23:R23)</f>
        <v>60.919999999999995</v>
      </c>
      <c r="T23" s="518" t="s">
        <v>1346</v>
      </c>
    </row>
    <row r="24" spans="2:20" ht="13.8" thickBot="1" x14ac:dyDescent="0.55000000000000004">
      <c r="C24" s="502" t="s">
        <v>1342</v>
      </c>
      <c r="D24" s="269">
        <f>'10'!N12</f>
        <v>18.034972361039578</v>
      </c>
      <c r="E24" s="269">
        <f>'10'!O12</f>
        <v>14.731192292311784</v>
      </c>
      <c r="F24" s="269">
        <f>'10'!P12</f>
        <v>12.309522059828577</v>
      </c>
      <c r="G24" s="269">
        <f>'10'!Q12</f>
        <v>11.071070222845824</v>
      </c>
      <c r="H24" s="269">
        <f>'10'!R12</f>
        <v>11.582349621752176</v>
      </c>
      <c r="I24" s="269">
        <f t="shared" si="4"/>
        <v>67.729106557777939</v>
      </c>
      <c r="K24" s="765" t="s">
        <v>1345</v>
      </c>
      <c r="L24" s="766"/>
      <c r="M24" s="767"/>
      <c r="N24" s="524">
        <v>-1.18</v>
      </c>
      <c r="O24" s="524">
        <v>-1.39</v>
      </c>
      <c r="P24" s="524">
        <v>-1.65</v>
      </c>
      <c r="Q24" s="524">
        <v>-1.92</v>
      </c>
      <c r="R24" s="524">
        <v>-2.2000000000000002</v>
      </c>
      <c r="S24" s="524">
        <f t="shared" ref="S24" si="5">SUM(N24:R24)</f>
        <v>-8.34</v>
      </c>
      <c r="T24" s="518" t="s">
        <v>1347</v>
      </c>
    </row>
    <row r="25" spans="2:20" ht="13.8" thickBot="1" x14ac:dyDescent="0.55000000000000004">
      <c r="C25" s="502" t="s">
        <v>1343</v>
      </c>
      <c r="D25" s="269">
        <f>D24-D23</f>
        <v>-2.0469264803201952</v>
      </c>
      <c r="E25" s="269">
        <f t="shared" ref="E25:I25" si="6">E24-E23</f>
        <v>-5.5905555037222125</v>
      </c>
      <c r="F25" s="269">
        <f t="shared" si="6"/>
        <v>-8.949817104477372</v>
      </c>
      <c r="G25" s="269">
        <f t="shared" si="6"/>
        <v>-10.831500228995536</v>
      </c>
      <c r="H25" s="269">
        <f t="shared" si="6"/>
        <v>-15.291635526973035</v>
      </c>
      <c r="I25" s="269">
        <f t="shared" si="6"/>
        <v>-42.710434844488347</v>
      </c>
      <c r="K25" s="765" t="s">
        <v>282</v>
      </c>
      <c r="L25" s="766"/>
      <c r="M25" s="767"/>
      <c r="N25" s="524">
        <f>SUM(N23:N24)</f>
        <v>9.19</v>
      </c>
      <c r="O25" s="524">
        <f t="shared" ref="O25:S25" si="7">SUM(O23:O24)</f>
        <v>9.16</v>
      </c>
      <c r="P25" s="524">
        <f t="shared" si="7"/>
        <v>9.76</v>
      </c>
      <c r="Q25" s="524">
        <f t="shared" si="7"/>
        <v>10.09</v>
      </c>
      <c r="R25" s="524">
        <f t="shared" si="7"/>
        <v>14.379999999999999</v>
      </c>
      <c r="S25" s="524">
        <f t="shared" si="7"/>
        <v>52.58</v>
      </c>
    </row>
    <row r="27" spans="2:20" s="139" customFormat="1" x14ac:dyDescent="0.35">
      <c r="B27" s="139" t="s">
        <v>1348</v>
      </c>
    </row>
    <row r="28" spans="2:20" ht="13.2" thickBot="1" x14ac:dyDescent="0.55000000000000004"/>
    <row r="29" spans="2:20" ht="23.1" customHeight="1" thickBot="1" x14ac:dyDescent="0.55000000000000004">
      <c r="C29" s="214" t="s">
        <v>245</v>
      </c>
      <c r="D29" s="501" t="s">
        <v>246</v>
      </c>
      <c r="E29" s="501" t="s">
        <v>247</v>
      </c>
      <c r="F29" s="501" t="s">
        <v>248</v>
      </c>
      <c r="G29" s="501" t="s">
        <v>249</v>
      </c>
      <c r="H29" s="501" t="s">
        <v>250</v>
      </c>
      <c r="I29" s="501" t="s">
        <v>112</v>
      </c>
      <c r="K29" s="771" t="s">
        <v>1349</v>
      </c>
      <c r="L29" s="772"/>
      <c r="M29" s="773"/>
      <c r="N29" s="519" t="s">
        <v>246</v>
      </c>
      <c r="O29" s="519" t="s">
        <v>247</v>
      </c>
      <c r="P29" s="519" t="s">
        <v>248</v>
      </c>
      <c r="Q29" s="519" t="s">
        <v>249</v>
      </c>
      <c r="R29" s="519" t="s">
        <v>250</v>
      </c>
      <c r="S29" s="519" t="s">
        <v>112</v>
      </c>
    </row>
    <row r="30" spans="2:20" ht="13.8" thickBot="1" x14ac:dyDescent="0.55000000000000004">
      <c r="C30" s="502" t="s">
        <v>282</v>
      </c>
      <c r="D30" s="269">
        <f>D23-N31*Input_Inflation!P47</f>
        <v>10.019144970254958</v>
      </c>
      <c r="E30" s="269">
        <f>E23-O31*Input_Inflation!Q47</f>
        <v>9.9864382946175656</v>
      </c>
      <c r="F30" s="269">
        <f>F23-P31*Input_Inflation!R47</f>
        <v>10.64057180736544</v>
      </c>
      <c r="G30" s="269">
        <f>G23-Q31*Input_Inflation!S47</f>
        <v>11.00034523937677</v>
      </c>
      <c r="H30" s="269">
        <f>H23-R31*Input_Inflation!T47</f>
        <v>15.677399855524078</v>
      </c>
      <c r="I30" s="269">
        <f t="shared" ref="I30:I31" si="8">SUM(D30:H30)</f>
        <v>57.32390016713881</v>
      </c>
      <c r="K30" s="765" t="s">
        <v>1351</v>
      </c>
      <c r="L30" s="766"/>
      <c r="M30" s="767"/>
      <c r="N30" s="524">
        <v>2.61</v>
      </c>
      <c r="O30" s="524">
        <v>2.65</v>
      </c>
      <c r="P30" s="524">
        <v>2.68</v>
      </c>
      <c r="Q30" s="524">
        <v>2.72</v>
      </c>
      <c r="R30" s="524">
        <v>2.75</v>
      </c>
      <c r="S30" s="524">
        <f>SUM(N30:R30)</f>
        <v>13.41</v>
      </c>
      <c r="T30" s="518" t="s">
        <v>1350</v>
      </c>
    </row>
    <row r="31" spans="2:20" ht="13.8" thickBot="1" x14ac:dyDescent="0.55000000000000004">
      <c r="C31" s="502" t="s">
        <v>1342</v>
      </c>
      <c r="D31" s="269">
        <f>'10'!N12-'10'!N19</f>
        <v>8.5899264441321179</v>
      </c>
      <c r="E31" s="269">
        <f>'10'!O12-'10'!O19</f>
        <v>6.4038091796820016</v>
      </c>
      <c r="F31" s="269">
        <f>'10'!P12-'10'!P19</f>
        <v>3.4881707592329629</v>
      </c>
      <c r="G31" s="269">
        <f>'10'!Q12-'10'!Q19</f>
        <v>1.9573264031198345</v>
      </c>
      <c r="H31" s="269">
        <f>'10'!R12-'10'!R19</f>
        <v>2.4686058020261861</v>
      </c>
      <c r="I31" s="269">
        <f t="shared" si="8"/>
        <v>22.907838588193105</v>
      </c>
      <c r="K31" s="765" t="s">
        <v>1352</v>
      </c>
      <c r="L31" s="766"/>
      <c r="M31" s="767"/>
      <c r="N31" s="524">
        <v>9.23</v>
      </c>
      <c r="O31" s="524">
        <v>9.48</v>
      </c>
      <c r="P31" s="524">
        <v>9.74</v>
      </c>
      <c r="Q31" s="524">
        <v>10</v>
      </c>
      <c r="R31" s="524">
        <v>10.27</v>
      </c>
      <c r="S31" s="524">
        <f t="shared" ref="S31" si="9">SUM(N31:R31)</f>
        <v>48.72</v>
      </c>
      <c r="T31" s="518"/>
    </row>
    <row r="32" spans="2:20" ht="13.8" thickBot="1" x14ac:dyDescent="0.55000000000000004">
      <c r="C32" s="502" t="s">
        <v>1343</v>
      </c>
      <c r="D32" s="269">
        <f>D31-D30</f>
        <v>-1.4292185261228401</v>
      </c>
      <c r="E32" s="269">
        <f t="shared" ref="E32" si="10">E31-E30</f>
        <v>-3.582629114935564</v>
      </c>
      <c r="F32" s="269">
        <f t="shared" ref="F32" si="11">F31-F30</f>
        <v>-7.1524010481324769</v>
      </c>
      <c r="G32" s="269">
        <f t="shared" ref="G32" si="12">G31-G30</f>
        <v>-9.0430188362569357</v>
      </c>
      <c r="H32" s="269">
        <f t="shared" ref="H32" si="13">H31-H30</f>
        <v>-13.208794053497892</v>
      </c>
      <c r="I32" s="269">
        <f t="shared" ref="I32" si="14">I31-I30</f>
        <v>-34.416061578945701</v>
      </c>
      <c r="K32" s="765" t="s">
        <v>1353</v>
      </c>
      <c r="L32" s="766"/>
      <c r="M32" s="767"/>
      <c r="N32" s="524">
        <v>11.85</v>
      </c>
      <c r="O32" s="524">
        <v>12.13</v>
      </c>
      <c r="P32" s="524">
        <v>12.42</v>
      </c>
      <c r="Q32" s="524">
        <v>12.72</v>
      </c>
      <c r="R32" s="524">
        <v>13.03</v>
      </c>
      <c r="S32" s="524">
        <f t="shared" ref="S32" si="15">SUM(S30:S31)</f>
        <v>62.129999999999995</v>
      </c>
      <c r="T32" s="518" t="s">
        <v>1355</v>
      </c>
    </row>
    <row r="34" spans="2:2" s="139" customFormat="1" x14ac:dyDescent="0.35">
      <c r="B34" s="139" t="s">
        <v>32</v>
      </c>
    </row>
  </sheetData>
  <mergeCells count="8">
    <mergeCell ref="K31:M31"/>
    <mergeCell ref="K32:M32"/>
    <mergeCell ref="K22:M22"/>
    <mergeCell ref="K23:M23"/>
    <mergeCell ref="K24:M24"/>
    <mergeCell ref="K25:M25"/>
    <mergeCell ref="K29:M29"/>
    <mergeCell ref="K30:M30"/>
  </mergeCells>
  <conditionalFormatting sqref="B2">
    <cfRule type="cellIs" dxfId="11" priority="1" operator="notEqual">
      <formula>"No Errors Found"</formula>
    </cfRule>
  </conditionalFormatting>
  <hyperlinks>
    <hyperlink ref="B3:D3" location="Cover!A1" display="Go to Cover Sheet" xr:uid="{00000000-0004-0000-2600-000000000000}"/>
  </hyperlinks>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A1:Y57"/>
  <sheetViews>
    <sheetView showGridLines="0" zoomScaleNormal="100" workbookViewId="0">
      <pane xSplit="1" ySplit="10" topLeftCell="B11" activePane="bottomRight" state="frozen"/>
      <selection activeCell="F202" sqref="F202"/>
      <selection pane="topRight" activeCell="F202" sqref="F202"/>
      <selection pane="bottomLeft" activeCell="F202" sqref="F202"/>
      <selection pane="bottomRight" activeCell="B11" sqref="B11"/>
    </sheetView>
  </sheetViews>
  <sheetFormatPr defaultColWidth="9.1328125" defaultRowHeight="10.199999999999999" outlineLevelRow="1" x14ac:dyDescent="0.35"/>
  <cols>
    <col min="1" max="1" width="3.1328125" style="7" customWidth="1"/>
    <col min="2" max="2" width="2.796875" style="7" customWidth="1"/>
    <col min="3" max="3" width="5" style="7" customWidth="1"/>
    <col min="4" max="4" width="25.796875" style="7" customWidth="1"/>
    <col min="5" max="5" width="11.796875" style="7" customWidth="1"/>
    <col min="6" max="6" width="9.1328125" style="7" customWidth="1"/>
    <col min="7" max="7" width="12" style="7" customWidth="1"/>
    <col min="8" max="8" width="10" style="7" customWidth="1"/>
    <col min="9" max="14" width="10.796875" style="7" customWidth="1"/>
    <col min="15" max="25" width="12.796875" style="7" customWidth="1"/>
    <col min="26" max="28" width="4.1328125" style="7" customWidth="1"/>
    <col min="29" max="30" width="10.796875" style="7" customWidth="1"/>
    <col min="31" max="16384" width="9.1328125" style="7"/>
  </cols>
  <sheetData>
    <row r="1" spans="1:25" ht="18.899999999999999" x14ac:dyDescent="0.35">
      <c r="A1" s="65">
        <f>IF(SUM($A11:$A57)&gt;0,1,0)</f>
        <v>0</v>
      </c>
      <c r="B1" s="5" t="s">
        <v>142</v>
      </c>
    </row>
    <row r="2" spans="1:25" x14ac:dyDescent="0.35">
      <c r="B2" s="18" t="str">
        <f>Title_Msg</f>
        <v>No Errors Found</v>
      </c>
    </row>
    <row r="3" spans="1:25" x14ac:dyDescent="0.35">
      <c r="B3" s="55" t="str">
        <f>TOC!B1</f>
        <v>Table of Contents</v>
      </c>
      <c r="C3" s="49"/>
      <c r="D3" s="49"/>
      <c r="E3" s="49"/>
    </row>
    <row r="4" spans="1:25" ht="12.3" x14ac:dyDescent="0.35">
      <c r="B4" s="46" t="str">
        <f>Model_Name</f>
        <v>Power and Water Corporation (PWC) - Regulatory Proposal Tables and Charts</v>
      </c>
    </row>
    <row r="5" spans="1:25" ht="12.3" hidden="1" outlineLevel="1" x14ac:dyDescent="0.35">
      <c r="B5" s="15" t="str">
        <f>Lookup!B15</f>
        <v>Period Start Date</v>
      </c>
      <c r="O5" s="60"/>
      <c r="P5" s="60">
        <f>Lookup!P15</f>
        <v>41821</v>
      </c>
      <c r="Q5" s="60">
        <f>Lookup!Q15</f>
        <v>42186</v>
      </c>
      <c r="R5" s="60">
        <f>Lookup!R15</f>
        <v>42552</v>
      </c>
      <c r="S5" s="60">
        <f>Lookup!S15</f>
        <v>42917</v>
      </c>
      <c r="T5" s="60">
        <f>Lookup!T15</f>
        <v>43282</v>
      </c>
      <c r="U5" s="60">
        <f>Lookup!U15</f>
        <v>43647</v>
      </c>
      <c r="V5" s="60">
        <f>Lookup!V15</f>
        <v>44013</v>
      </c>
      <c r="W5" s="60">
        <f>Lookup!W15</f>
        <v>44378</v>
      </c>
      <c r="X5" s="60">
        <f>Lookup!X15</f>
        <v>44743</v>
      </c>
      <c r="Y5" s="60">
        <f>Lookup!Y15</f>
        <v>45108</v>
      </c>
    </row>
    <row r="6" spans="1:25" ht="12.3" hidden="1" outlineLevel="1" x14ac:dyDescent="0.35">
      <c r="B6" s="15" t="str">
        <f>Lookup!B16</f>
        <v>Period End Date</v>
      </c>
      <c r="O6" s="60"/>
      <c r="P6" s="60">
        <f>Lookup!P16</f>
        <v>42185</v>
      </c>
      <c r="Q6" s="60">
        <f>Lookup!Q16</f>
        <v>42551</v>
      </c>
      <c r="R6" s="60">
        <f>Lookup!R16</f>
        <v>42916</v>
      </c>
      <c r="S6" s="60">
        <f>Lookup!S16</f>
        <v>43281</v>
      </c>
      <c r="T6" s="60">
        <f>Lookup!T16</f>
        <v>43646</v>
      </c>
      <c r="U6" s="60">
        <f>Lookup!U16</f>
        <v>44012</v>
      </c>
      <c r="V6" s="60">
        <f>Lookup!V16</f>
        <v>44377</v>
      </c>
      <c r="W6" s="60">
        <f>Lookup!W16</f>
        <v>44742</v>
      </c>
      <c r="X6" s="60">
        <f>Lookup!X16</f>
        <v>45107</v>
      </c>
      <c r="Y6" s="60">
        <f>Lookup!Y16</f>
        <v>45473</v>
      </c>
    </row>
    <row r="7" spans="1:25" ht="12.3" hidden="1" outlineLevel="1" x14ac:dyDescent="0.35">
      <c r="B7" s="15" t="str">
        <f>Lookup!B17</f>
        <v>Period Counter</v>
      </c>
      <c r="O7" s="61"/>
      <c r="P7" s="61">
        <f>Lookup!P17</f>
        <v>1</v>
      </c>
      <c r="Q7" s="61">
        <f>Lookup!Q17</f>
        <v>2</v>
      </c>
      <c r="R7" s="61">
        <f>Lookup!R17</f>
        <v>3</v>
      </c>
      <c r="S7" s="61">
        <f>Lookup!S17</f>
        <v>4</v>
      </c>
      <c r="T7" s="61">
        <f>Lookup!T17</f>
        <v>5</v>
      </c>
      <c r="U7" s="61">
        <f>Lookup!U17</f>
        <v>6</v>
      </c>
      <c r="V7" s="61">
        <f>Lookup!V17</f>
        <v>7</v>
      </c>
      <c r="W7" s="61">
        <f>Lookup!W17</f>
        <v>8</v>
      </c>
      <c r="X7" s="61">
        <f>Lookup!X17</f>
        <v>9</v>
      </c>
      <c r="Y7" s="61">
        <f>Lookup!Y17</f>
        <v>10</v>
      </c>
    </row>
    <row r="8" spans="1:25" ht="12.3" hidden="1" outlineLevel="1" x14ac:dyDescent="0.35">
      <c r="B8" s="15" t="str">
        <f>Lookup!B18</f>
        <v>Year</v>
      </c>
      <c r="O8" s="62"/>
      <c r="P8" s="62">
        <f>Lookup!P18</f>
        <v>2015</v>
      </c>
      <c r="Q8" s="62">
        <f>Lookup!Q18</f>
        <v>2016</v>
      </c>
      <c r="R8" s="62">
        <f>Lookup!R18</f>
        <v>2017</v>
      </c>
      <c r="S8" s="62">
        <f>Lookup!S18</f>
        <v>2018</v>
      </c>
      <c r="T8" s="62">
        <f>Lookup!T18</f>
        <v>2019</v>
      </c>
      <c r="U8" s="62">
        <f>Lookup!U18</f>
        <v>2020</v>
      </c>
      <c r="V8" s="62">
        <f>Lookup!V18</f>
        <v>2021</v>
      </c>
      <c r="W8" s="62">
        <f>Lookup!W18</f>
        <v>2022</v>
      </c>
      <c r="X8" s="62">
        <f>Lookup!X18</f>
        <v>2023</v>
      </c>
      <c r="Y8" s="62">
        <f>Lookup!Y18</f>
        <v>2024</v>
      </c>
    </row>
    <row r="9" spans="1:25" ht="12.3" hidden="1" outlineLevel="1" x14ac:dyDescent="0.35">
      <c r="B9" s="15" t="str">
        <f>Lookup!B19</f>
        <v>Period Type</v>
      </c>
      <c r="O9" s="62"/>
      <c r="P9" s="62" t="str">
        <f>Lookup!P19</f>
        <v>Actual</v>
      </c>
      <c r="Q9" s="62" t="str">
        <f>Lookup!Q19</f>
        <v>Actual</v>
      </c>
      <c r="R9" s="62" t="str">
        <f>Lookup!R19</f>
        <v>Actual</v>
      </c>
      <c r="S9" s="62" t="str">
        <f>Lookup!S19</f>
        <v>Base Year</v>
      </c>
      <c r="T9" s="62" t="str">
        <f>Lookup!T19</f>
        <v>Forecast</v>
      </c>
      <c r="U9" s="62" t="str">
        <f>Lookup!U19</f>
        <v>Forecast</v>
      </c>
      <c r="V9" s="62" t="str">
        <f>Lookup!V19</f>
        <v>Forecast</v>
      </c>
      <c r="W9" s="62" t="str">
        <f>Lookup!W19</f>
        <v>Forecast</v>
      </c>
      <c r="X9" s="62" t="str">
        <f>Lookup!X19</f>
        <v>Forecast</v>
      </c>
      <c r="Y9" s="62" t="str">
        <f>Lookup!Y19</f>
        <v>Forecast</v>
      </c>
    </row>
    <row r="10" spans="1:25" ht="12.3" collapsed="1" x14ac:dyDescent="0.35">
      <c r="B10" s="10" t="str">
        <f>Lookup!B20</f>
        <v>Regulatory Year</v>
      </c>
      <c r="E10" s="59" t="str">
        <f>Lookup!E20</f>
        <v>Source</v>
      </c>
      <c r="F10" s="59" t="str">
        <f>Lookup!F20</f>
        <v>Unit</v>
      </c>
      <c r="G10" s="59" t="str">
        <f>Lookup!G20</f>
        <v>Basis</v>
      </c>
      <c r="H10" s="59" t="str">
        <f>Lookup!H20</f>
        <v>Timing</v>
      </c>
      <c r="I10" s="66"/>
      <c r="J10" s="59" t="s">
        <v>168</v>
      </c>
      <c r="K10" s="59" t="s">
        <v>166</v>
      </c>
      <c r="L10" s="59" t="s">
        <v>165</v>
      </c>
      <c r="M10" s="59" t="s">
        <v>164</v>
      </c>
      <c r="N10" s="59" t="s">
        <v>163</v>
      </c>
      <c r="O10" s="59" t="str">
        <f>Lookup!O20</f>
        <v>RY14</v>
      </c>
      <c r="P10" s="59" t="str">
        <f>Lookup!P20</f>
        <v>RY15</v>
      </c>
      <c r="Q10" s="59" t="str">
        <f>Lookup!Q20</f>
        <v>RY16</v>
      </c>
      <c r="R10" s="59" t="str">
        <f>Lookup!R20</f>
        <v>RY17</v>
      </c>
      <c r="S10" s="59" t="str">
        <f>Lookup!S20</f>
        <v>RY18</v>
      </c>
      <c r="T10" s="59" t="str">
        <f>Lookup!T20</f>
        <v>RY19</v>
      </c>
      <c r="U10" s="59" t="str">
        <f>Lookup!U20</f>
        <v>RY20</v>
      </c>
      <c r="V10" s="59" t="str">
        <f>Lookup!V20</f>
        <v>RY21</v>
      </c>
      <c r="W10" s="59" t="str">
        <f>Lookup!W20</f>
        <v>RY22</v>
      </c>
      <c r="X10" s="59" t="str">
        <f>Lookup!X20</f>
        <v>RY23</v>
      </c>
      <c r="Y10" s="59" t="str">
        <f>Lookup!Y20</f>
        <v>RY24</v>
      </c>
    </row>
    <row r="11" spans="1:25" x14ac:dyDescent="0.35">
      <c r="K11" s="7" t="s">
        <v>167</v>
      </c>
    </row>
    <row r="12" spans="1:25" s="139" customFormat="1" ht="12.9" x14ac:dyDescent="0.35">
      <c r="B12" s="139" t="s">
        <v>121</v>
      </c>
    </row>
    <row r="13" spans="1:25" s="6" customFormat="1" ht="4.5" customHeight="1" x14ac:dyDescent="0.35"/>
    <row r="14" spans="1:25" s="162" customFormat="1" ht="14.4" x14ac:dyDescent="0.35">
      <c r="C14" s="162" t="s">
        <v>14</v>
      </c>
    </row>
    <row r="16" spans="1:25" ht="12.3" x14ac:dyDescent="0.35">
      <c r="D16" s="68" t="s">
        <v>111</v>
      </c>
      <c r="E16" s="67" t="str">
        <f>Lookup!E$20</f>
        <v>Source</v>
      </c>
      <c r="F16" s="67" t="str">
        <f>Lookup!F$20</f>
        <v>Unit</v>
      </c>
      <c r="G16" s="67" t="str">
        <f>Lookup!G$20</f>
        <v>Basis</v>
      </c>
      <c r="H16" s="67" t="str">
        <f>Lookup!H$20</f>
        <v>Timing</v>
      </c>
      <c r="I16" s="67"/>
      <c r="J16" s="67" t="str">
        <f t="shared" ref="J16:N16" si="0">J$10</f>
        <v>RY09</v>
      </c>
      <c r="K16" s="67" t="str">
        <f t="shared" si="0"/>
        <v>RY10</v>
      </c>
      <c r="L16" s="67" t="str">
        <f t="shared" si="0"/>
        <v>RY11</v>
      </c>
      <c r="M16" s="67" t="str">
        <f t="shared" si="0"/>
        <v>RY12</v>
      </c>
      <c r="N16" s="67" t="str">
        <f t="shared" si="0"/>
        <v>RY13</v>
      </c>
      <c r="O16" s="67" t="str">
        <f>O$10</f>
        <v>RY14</v>
      </c>
      <c r="P16" s="67" t="str">
        <f>P$10</f>
        <v>RY15</v>
      </c>
      <c r="Q16" s="67" t="str">
        <f t="shared" ref="Q16:Y16" si="1">Q$10</f>
        <v>RY16</v>
      </c>
      <c r="R16" s="67" t="str">
        <f t="shared" si="1"/>
        <v>RY17</v>
      </c>
      <c r="S16" s="67" t="str">
        <f t="shared" si="1"/>
        <v>RY18</v>
      </c>
      <c r="T16" s="79" t="str">
        <f t="shared" si="1"/>
        <v>RY19</v>
      </c>
      <c r="U16" s="67" t="str">
        <f t="shared" si="1"/>
        <v>RY20</v>
      </c>
      <c r="V16" s="67" t="str">
        <f t="shared" si="1"/>
        <v>RY21</v>
      </c>
      <c r="W16" s="67" t="str">
        <f t="shared" si="1"/>
        <v>RY22</v>
      </c>
      <c r="X16" s="67" t="str">
        <f t="shared" si="1"/>
        <v>RY23</v>
      </c>
      <c r="Y16" s="67" t="str">
        <f t="shared" si="1"/>
        <v>RY24</v>
      </c>
    </row>
    <row r="17" spans="3:25" x14ac:dyDescent="0.35">
      <c r="O17" s="80"/>
      <c r="P17" s="80"/>
      <c r="Q17" s="80"/>
      <c r="R17" s="80"/>
      <c r="S17" s="80"/>
      <c r="T17" s="77"/>
    </row>
    <row r="18" spans="3:25" ht="12.3" x14ac:dyDescent="0.35">
      <c r="D18" s="12" t="s">
        <v>1626</v>
      </c>
      <c r="E18" s="69" t="s">
        <v>156</v>
      </c>
      <c r="F18" s="62" t="str">
        <f>Percent</f>
        <v>Percent</v>
      </c>
      <c r="G18" s="62" t="str">
        <f>NA</f>
        <v>N/A</v>
      </c>
      <c r="H18" s="62" t="str">
        <f>NA</f>
        <v>N/A</v>
      </c>
      <c r="J18" s="90">
        <v>1.4192139737991383E-2</v>
      </c>
      <c r="K18" s="90">
        <v>3.1216361679224924E-2</v>
      </c>
      <c r="L18" s="90">
        <v>3.5490605427975108E-2</v>
      </c>
      <c r="M18" s="90">
        <v>1.2096774193548487E-2</v>
      </c>
      <c r="N18" s="90">
        <v>2.3904382470119501E-2</v>
      </c>
      <c r="O18" s="90">
        <v>3.0155642023346418E-2</v>
      </c>
      <c r="P18" s="81">
        <f>[1]Input_Data!J18</f>
        <v>1.5108593012275628E-2</v>
      </c>
      <c r="Q18" s="81">
        <f>[1]Input_Data!K18</f>
        <v>1.0232558139534831E-2</v>
      </c>
      <c r="R18" s="81">
        <f>[1]Input_Data!L18</f>
        <v>1.9337016574585641E-2</v>
      </c>
      <c r="S18" s="81">
        <f>[1]Input_Data!M19</f>
        <v>0.02</v>
      </c>
      <c r="T18" s="82">
        <f>[1]Input_Data!N19</f>
        <v>2.2499999999999999E-2</v>
      </c>
      <c r="U18" s="78">
        <f>[1]Output_PTRM!$O$18</f>
        <v>2.4248746575396662E-2</v>
      </c>
      <c r="V18" s="76">
        <f t="shared" ref="V18:Y18" si="2">U18</f>
        <v>2.4248746575396662E-2</v>
      </c>
      <c r="W18" s="76">
        <f t="shared" si="2"/>
        <v>2.4248746575396662E-2</v>
      </c>
      <c r="X18" s="76">
        <f t="shared" si="2"/>
        <v>2.4248746575396662E-2</v>
      </c>
      <c r="Y18" s="76">
        <f t="shared" si="2"/>
        <v>2.4248746575396662E-2</v>
      </c>
    </row>
    <row r="19" spans="3:25" ht="12.3" x14ac:dyDescent="0.35">
      <c r="D19" s="12" t="s">
        <v>1630</v>
      </c>
      <c r="E19" s="69" t="s">
        <v>134</v>
      </c>
      <c r="F19" s="62" t="str">
        <f>Percent</f>
        <v>Percent</v>
      </c>
      <c r="G19" s="62" t="str">
        <f>NA</f>
        <v>N/A</v>
      </c>
      <c r="H19" s="62" t="str">
        <f>NA</f>
        <v>N/A</v>
      </c>
      <c r="J19" s="90" t="str">
        <f t="shared" ref="J19:O19" si="3">NA</f>
        <v>N/A</v>
      </c>
      <c r="K19" s="90" t="str">
        <f t="shared" si="3"/>
        <v>N/A</v>
      </c>
      <c r="L19" s="90" t="str">
        <f t="shared" si="3"/>
        <v>N/A</v>
      </c>
      <c r="M19" s="90" t="str">
        <f t="shared" si="3"/>
        <v>N/A</v>
      </c>
      <c r="N19" s="90" t="str">
        <f t="shared" si="3"/>
        <v>N/A</v>
      </c>
      <c r="O19" s="90" t="str">
        <f t="shared" si="3"/>
        <v>N/A</v>
      </c>
      <c r="P19" s="81">
        <v>2.5899999999999999E-2</v>
      </c>
      <c r="Q19" s="81">
        <v>1.72E-2</v>
      </c>
      <c r="R19" s="81">
        <v>1.6899999999999998E-2</v>
      </c>
      <c r="S19" s="81">
        <v>1.4800000000000001E-2</v>
      </c>
      <c r="T19" s="82">
        <v>0.02</v>
      </c>
      <c r="U19" s="604">
        <f>U18</f>
        <v>2.4248746575396662E-2</v>
      </c>
      <c r="V19" s="76">
        <f t="shared" ref="V19:Y19" si="4">V18</f>
        <v>2.4248746575396662E-2</v>
      </c>
      <c r="W19" s="76">
        <f t="shared" si="4"/>
        <v>2.4248746575396662E-2</v>
      </c>
      <c r="X19" s="76">
        <f t="shared" si="4"/>
        <v>2.4248746575396662E-2</v>
      </c>
      <c r="Y19" s="76">
        <f t="shared" si="4"/>
        <v>2.4248746575396662E-2</v>
      </c>
    </row>
    <row r="20" spans="3:25" x14ac:dyDescent="0.35">
      <c r="Q20" s="605"/>
      <c r="R20" s="605"/>
      <c r="S20" s="605"/>
      <c r="T20" s="605"/>
    </row>
    <row r="21" spans="3:25" ht="12.3" x14ac:dyDescent="0.35">
      <c r="C21" s="72" t="s">
        <v>123</v>
      </c>
    </row>
    <row r="23" spans="3:25" ht="12.3" x14ac:dyDescent="0.35">
      <c r="D23" s="12" t="s">
        <v>122</v>
      </c>
      <c r="E23" s="69" t="s">
        <v>134</v>
      </c>
      <c r="F23" s="62" t="str">
        <f>Factor</f>
        <v>Factor</v>
      </c>
      <c r="G23" s="62" t="str">
        <f>NA</f>
        <v>N/A</v>
      </c>
      <c r="H23" s="62" t="str">
        <f>NA</f>
        <v>N/A</v>
      </c>
      <c r="I23" s="63">
        <v>0.5</v>
      </c>
      <c r="J23" s="72" t="s">
        <v>141</v>
      </c>
    </row>
    <row r="25" spans="3:25" s="162" customFormat="1" ht="14.4" x14ac:dyDescent="0.35">
      <c r="C25" s="162" t="s">
        <v>1627</v>
      </c>
    </row>
    <row r="26" spans="3:25" s="6" customFormat="1" ht="11.25" customHeight="1" x14ac:dyDescent="0.35"/>
    <row r="27" spans="3:25" ht="12.3" x14ac:dyDescent="0.35">
      <c r="D27" s="68" t="s">
        <v>111</v>
      </c>
      <c r="E27" s="67" t="str">
        <f>Lookup!E$20</f>
        <v>Source</v>
      </c>
      <c r="F27" s="67" t="str">
        <f>Lookup!F$20</f>
        <v>Unit</v>
      </c>
      <c r="G27" s="67" t="str">
        <f>Lookup!G$20</f>
        <v>Basis</v>
      </c>
      <c r="H27" s="67" t="str">
        <f>Lookup!H$20</f>
        <v>Timing</v>
      </c>
      <c r="I27" s="67"/>
      <c r="J27" s="67" t="str">
        <f t="shared" ref="J27:N27" si="5">J$10</f>
        <v>RY09</v>
      </c>
      <c r="K27" s="67" t="str">
        <f t="shared" si="5"/>
        <v>RY10</v>
      </c>
      <c r="L27" s="67" t="str">
        <f t="shared" si="5"/>
        <v>RY11</v>
      </c>
      <c r="M27" s="67" t="str">
        <f t="shared" si="5"/>
        <v>RY12</v>
      </c>
      <c r="N27" s="67" t="str">
        <f t="shared" si="5"/>
        <v>RY13</v>
      </c>
      <c r="O27" s="67" t="str">
        <f>O$10</f>
        <v>RY14</v>
      </c>
      <c r="P27" s="67" t="str">
        <f>P$10</f>
        <v>RY15</v>
      </c>
      <c r="Q27" s="67" t="str">
        <f t="shared" ref="Q27:Y27" si="6">Q$10</f>
        <v>RY16</v>
      </c>
      <c r="R27" s="67" t="str">
        <f t="shared" si="6"/>
        <v>RY17</v>
      </c>
      <c r="S27" s="67" t="str">
        <f t="shared" si="6"/>
        <v>RY18</v>
      </c>
      <c r="T27" s="79" t="str">
        <f t="shared" si="6"/>
        <v>RY19</v>
      </c>
      <c r="U27" s="67" t="str">
        <f t="shared" si="6"/>
        <v>RY20</v>
      </c>
      <c r="V27" s="67" t="str">
        <f t="shared" si="6"/>
        <v>RY21</v>
      </c>
      <c r="W27" s="67" t="str">
        <f t="shared" si="6"/>
        <v>RY22</v>
      </c>
      <c r="X27" s="67" t="str">
        <f t="shared" si="6"/>
        <v>RY23</v>
      </c>
      <c r="Y27" s="67" t="str">
        <f t="shared" si="6"/>
        <v>RY24</v>
      </c>
    </row>
    <row r="28" spans="3:25" s="6" customFormat="1" ht="11.25" customHeight="1" x14ac:dyDescent="0.35">
      <c r="O28" s="84"/>
      <c r="P28" s="84"/>
      <c r="Q28" s="84"/>
      <c r="R28" s="84"/>
      <c r="S28" s="84"/>
      <c r="T28" s="85"/>
    </row>
    <row r="29" spans="3:25" s="6" customFormat="1" ht="11.25" customHeight="1" x14ac:dyDescent="0.35">
      <c r="D29" s="12" t="s">
        <v>169</v>
      </c>
      <c r="E29" s="69" t="s">
        <v>113</v>
      </c>
      <c r="F29" s="62" t="str">
        <f t="shared" ref="F29:F33" si="7">Factor</f>
        <v>Factor</v>
      </c>
      <c r="G29" s="62" t="str">
        <f t="shared" ref="G29:H33" si="8">NA</f>
        <v>N/A</v>
      </c>
      <c r="H29" s="62" t="str">
        <f t="shared" si="8"/>
        <v>N/A</v>
      </c>
      <c r="J29" s="73">
        <f>1/(1+J$18)^($I$23)</f>
        <v>0.99297857910308851</v>
      </c>
      <c r="K29" s="86">
        <f t="shared" ref="K29" si="9">J29*(1+J$18)^(1-$I$23)*(1+K$18)^$I$23</f>
        <v>1.0154882380801979</v>
      </c>
      <c r="L29" s="86">
        <f t="shared" ref="L29" si="10">K29*(1+K$18)^(1-$I$23)*(1+L$18)^$I$23</f>
        <v>1.0493560641615745</v>
      </c>
      <c r="M29" s="86">
        <f t="shared" ref="M29" si="11">L29*(1+L$18)^(1-$I$23)*(1+M$18)^$I$23</f>
        <v>1.0742539975940548</v>
      </c>
      <c r="N29" s="86">
        <f t="shared" ref="N29" si="12">M29*(1+M$18)^(1-$I$23)*(1+N$18)^$I$23</f>
        <v>1.0935728002008975</v>
      </c>
      <c r="O29" s="86">
        <f t="shared" ref="O29" si="13">N29*(1+N$18)^(1-$I$23)*(1+O$18)^$I$23</f>
        <v>1.1231268850980847</v>
      </c>
      <c r="P29" s="86">
        <f t="shared" ref="P29" si="14">O29*(1+O$18)^(1-$I$23)*(1+P$18)^$I$23</f>
        <v>1.1485145413892139</v>
      </c>
      <c r="Q29" s="86">
        <f t="shared" ref="Q29" si="15">P29*(1+P$18)^(1-$I$23)*(1+Q$18)^$I$23</f>
        <v>1.1630635110444769</v>
      </c>
      <c r="R29" s="86">
        <f t="shared" ref="R29" si="16">Q29*(1+Q$18)^(1-$I$23)*(1+R$18)^$I$23</f>
        <v>1.1802472822923953</v>
      </c>
      <c r="S29" s="86">
        <f t="shared" ref="S29" si="17">R29*(1+R$18)^(1-$I$23)*(1+S$18)^$I$23</f>
        <v>1.2034609221492811</v>
      </c>
      <c r="T29" s="87">
        <f t="shared" ref="T29" si="18">S29*(1+S$18)^(1-$I$23)*(1+T$18)^$I$23</f>
        <v>1.2290335461043682</v>
      </c>
      <c r="U29" s="71">
        <f t="shared" ref="U29" si="19">T29*(1+T$18)^(1-$I$23)*(1+U$18)^$I$23</f>
        <v>1.2577609759091755</v>
      </c>
      <c r="V29" s="86">
        <f t="shared" ref="V29" si="20">U29*(1+U$18)^(1-$I$23)*(1+V$18)^$I$23</f>
        <v>1.2882601030664207</v>
      </c>
      <c r="W29" s="86">
        <f t="shared" ref="W29" si="21">V29*(1+V$18)^(1-$I$23)*(1+W$18)^$I$23</f>
        <v>1.3194987958288726</v>
      </c>
      <c r="X29" s="86">
        <f t="shared" ref="X29" si="22">W29*(1+W$18)^(1-$I$23)*(1+X$18)^$I$23</f>
        <v>1.3514949877354681</v>
      </c>
      <c r="Y29" s="86">
        <f t="shared" ref="Y29" si="23">X29*(1+X$18)^(1-$I$23)*(1+Y$18)^$I$23</f>
        <v>1.3842670471909841</v>
      </c>
    </row>
    <row r="30" spans="3:25" s="6" customFormat="1" ht="11.25" customHeight="1" x14ac:dyDescent="0.35">
      <c r="D30" s="12" t="s">
        <v>170</v>
      </c>
      <c r="E30" s="69" t="s">
        <v>113</v>
      </c>
      <c r="F30" s="62" t="str">
        <f t="shared" si="7"/>
        <v>Factor</v>
      </c>
      <c r="G30" s="62" t="str">
        <f t="shared" si="8"/>
        <v>N/A</v>
      </c>
      <c r="H30" s="62" t="str">
        <f t="shared" si="8"/>
        <v>N/A</v>
      </c>
      <c r="J30" s="86">
        <f>K30/((1+K$18)^(1-$I$23)*(1+J$18)^$I$23)</f>
        <v>0.9629197285874419</v>
      </c>
      <c r="K30" s="73">
        <f>1/(1+K$18)^($I$23)</f>
        <v>0.98474798870198754</v>
      </c>
      <c r="L30" s="86">
        <f t="shared" ref="L30" si="24">K30*(1+K$18)^(1-$I$23)*(1+L$18)^$I$23</f>
        <v>1.0175905883153475</v>
      </c>
      <c r="M30" s="86">
        <f t="shared" ref="M30" si="25">L30*(1+L$18)^(1-$I$23)*(1+M$18)^$I$23</f>
        <v>1.0417348264769071</v>
      </c>
      <c r="N30" s="86">
        <f t="shared" ref="N30" si="26">M30*(1+M$18)^(1-$I$23)*(1+N$18)^$I$23</f>
        <v>1.060468821906716</v>
      </c>
      <c r="O30" s="86">
        <f t="shared" ref="O30" si="27">N30*(1+N$18)^(1-$I$23)*(1+O$18)^$I$23</f>
        <v>1.0891282633153663</v>
      </c>
      <c r="P30" s="86">
        <f t="shared" ref="P30" si="28">O30*(1+O$18)^(1-$I$23)*(1+P$18)^$I$23</f>
        <v>1.1137473997396452</v>
      </c>
      <c r="Q30" s="86">
        <f t="shared" ref="Q30" si="29">P30*(1+P$18)^(1-$I$23)*(1+Q$18)^$I$23</f>
        <v>1.1278559517331099</v>
      </c>
      <c r="R30" s="86">
        <f t="shared" ref="R30" si="30">Q30*(1+Q$18)^(1-$I$23)*(1+R$18)^$I$23</f>
        <v>1.1445195461895985</v>
      </c>
      <c r="S30" s="86">
        <f t="shared" ref="S30" si="31">R30*(1+R$18)^(1-$I$23)*(1+S$18)^$I$23</f>
        <v>1.1670304766979982</v>
      </c>
      <c r="T30" s="87">
        <f t="shared" ref="T30" si="32">S30*(1+S$18)^(1-$I$23)*(1+T$18)^$I$23</f>
        <v>1.1918289815563239</v>
      </c>
      <c r="U30" s="71">
        <f t="shared" ref="U30" si="33">T30*(1+T$18)^(1-$I$23)*(1+U$18)^$I$23</f>
        <v>1.2196867918785224</v>
      </c>
      <c r="V30" s="86">
        <f t="shared" ref="V30" si="34">U30*(1+U$18)^(1-$I$23)*(1+V$18)^$I$23</f>
        <v>1.2492626677961431</v>
      </c>
      <c r="W30" s="86">
        <f t="shared" ref="W30" si="35">V30*(1+V$18)^(1-$I$23)*(1+W$18)^$I$23</f>
        <v>1.2795557216336357</v>
      </c>
      <c r="X30" s="86">
        <f t="shared" ref="X30" si="36">W30*(1+W$18)^(1-$I$23)*(1+X$18)^$I$23</f>
        <v>1.3105833440566284</v>
      </c>
      <c r="Y30" s="86">
        <f t="shared" ref="Y30" si="37">X30*(1+X$18)^(1-$I$23)*(1+Y$18)^$I$23</f>
        <v>1.3423633474325933</v>
      </c>
    </row>
    <row r="31" spans="3:25" s="6" customFormat="1" ht="11.25" customHeight="1" x14ac:dyDescent="0.35">
      <c r="D31" s="12" t="s">
        <v>171</v>
      </c>
      <c r="E31" s="69" t="s">
        <v>113</v>
      </c>
      <c r="F31" s="62" t="str">
        <f t="shared" si="7"/>
        <v>Factor</v>
      </c>
      <c r="G31" s="62" t="str">
        <f t="shared" si="8"/>
        <v>N/A</v>
      </c>
      <c r="H31" s="62" t="str">
        <f t="shared" si="8"/>
        <v>N/A</v>
      </c>
      <c r="J31" s="86">
        <f>K31/((1+K$18)^(1-$I$23)*(1+J$18)^$I$23)</f>
        <v>0.92991643143827551</v>
      </c>
      <c r="K31" s="86">
        <f t="shared" ref="K31" si="38">L31/((1+L$18)^(1-$I$23)*(1+K$18)^$I$23)</f>
        <v>0.95099654554083057</v>
      </c>
      <c r="L31" s="73">
        <f>1/(1+L$18)^($I$23)</f>
        <v>0.98271349153841003</v>
      </c>
      <c r="M31" s="86">
        <f t="shared" ref="M31" si="39">L31*(1+L$18)^(1-$I$23)*(1+M$18)^$I$23</f>
        <v>1.006030205408142</v>
      </c>
      <c r="N31" s="86">
        <f t="shared" ref="N31" si="40">M31*(1+M$18)^(1-$I$23)*(1+N$18)^$I$23</f>
        <v>1.024122108252655</v>
      </c>
      <c r="O31" s="86">
        <f t="shared" ref="O31" si="41">N31*(1+N$18)^(1-$I$23)*(1+O$18)^$I$23</f>
        <v>1.0517992704194767</v>
      </c>
      <c r="P31" s="86">
        <f t="shared" ref="P31" si="42">O31*(1+O$18)^(1-$I$23)*(1+P$18)^$I$23</f>
        <v>1.0755746057969557</v>
      </c>
      <c r="Q31" s="86">
        <f t="shared" ref="Q31" si="43">P31*(1+P$18)^(1-$I$23)*(1+Q$18)^$I$23</f>
        <v>1.0891995985487093</v>
      </c>
      <c r="R31" s="86">
        <f t="shared" ref="R31" si="44">Q31*(1+Q$18)^(1-$I$23)*(1+R$18)^$I$23</f>
        <v>1.1052920617435842</v>
      </c>
      <c r="S31" s="86">
        <f t="shared" ref="S31" si="45">R31*(1+R$18)^(1-$I$23)*(1+S$18)^$I$23</f>
        <v>1.1270314482627848</v>
      </c>
      <c r="T31" s="87">
        <f t="shared" ref="T31" si="46">S31*(1+S$18)^(1-$I$23)*(1+T$18)^$I$23</f>
        <v>1.1509800043658855</v>
      </c>
      <c r="U31" s="71">
        <f t="shared" ref="U31" si="47">T31*(1+T$18)^(1-$I$23)*(1+U$18)^$I$23</f>
        <v>1.1778830107052667</v>
      </c>
      <c r="V31" s="86">
        <f t="shared" ref="V31" si="48">U31*(1+U$18)^(1-$I$23)*(1+V$18)^$I$23</f>
        <v>1.2064451973273238</v>
      </c>
      <c r="W31" s="86">
        <f t="shared" ref="W31" si="49">V31*(1+V$18)^(1-$I$23)*(1+W$18)^$I$23</f>
        <v>1.2356999811744185</v>
      </c>
      <c r="X31" s="86">
        <f t="shared" ref="X31" si="50">W31*(1+W$18)^(1-$I$23)*(1+X$18)^$I$23</f>
        <v>1.2656641568611393</v>
      </c>
      <c r="Y31" s="86">
        <f t="shared" ref="Y31" si="51">X31*(1+X$18)^(1-$I$23)*(1+Y$18)^$I$23</f>
        <v>1.2963549262504281</v>
      </c>
    </row>
    <row r="32" spans="3:25" s="6" customFormat="1" ht="11.25" customHeight="1" x14ac:dyDescent="0.35">
      <c r="D32" s="12" t="s">
        <v>172</v>
      </c>
      <c r="E32" s="69" t="s">
        <v>113</v>
      </c>
      <c r="F32" s="62" t="str">
        <f t="shared" si="7"/>
        <v>Factor</v>
      </c>
      <c r="G32" s="62" t="str">
        <f t="shared" si="8"/>
        <v>N/A</v>
      </c>
      <c r="H32" s="62" t="str">
        <f t="shared" si="8"/>
        <v>N/A</v>
      </c>
      <c r="J32" s="86">
        <f t="shared" ref="J32" si="52">K32/((1+K$18)^(1-$I$23)*(1+J$18)^$I$23)</f>
        <v>0.91880189241710097</v>
      </c>
      <c r="K32" s="86">
        <f t="shared" ref="K32" si="53">L32/((1+L$18)^(1-$I$23)*(1+K$18)^$I$23)</f>
        <v>0.93963005296464541</v>
      </c>
      <c r="L32" s="86">
        <f t="shared" ref="L32" si="54">M32/((1+M$18)^(1-$I$23)*(1+L$18)^$I$23)</f>
        <v>0.9709679119582697</v>
      </c>
      <c r="M32" s="73">
        <f>1/(1+M$18)^($I$23)</f>
        <v>0.99400594000485742</v>
      </c>
      <c r="N32" s="86">
        <f t="shared" ref="N32" si="55">M32*(1+M$18)^(1-$I$23)*(1+N$18)^$I$23</f>
        <v>1.0118816049667667</v>
      </c>
      <c r="O32" s="86">
        <f t="shared" ref="O32" si="56">N32*(1+N$18)^(1-$I$23)*(1+O$18)^$I$23</f>
        <v>1.0392279643985267</v>
      </c>
      <c r="P32" s="86">
        <f t="shared" ref="P32" si="57">O32*(1+O$18)^(1-$I$23)*(1+P$18)^$I$23</f>
        <v>1.0627191324208964</v>
      </c>
      <c r="Q32" s="86">
        <f t="shared" ref="Q32" si="58">P32*(1+P$18)^(1-$I$23)*(1+Q$18)^$I$23</f>
        <v>1.0761812766537047</v>
      </c>
      <c r="R32" s="86">
        <f t="shared" ref="R32" si="59">Q32*(1+Q$18)^(1-$I$23)*(1+R$18)^$I$23</f>
        <v>1.0920813996510315</v>
      </c>
      <c r="S32" s="86">
        <f t="shared" ref="S32" si="60">R32*(1+R$18)^(1-$I$23)*(1+S$18)^$I$23</f>
        <v>1.1135609528652217</v>
      </c>
      <c r="T32" s="87">
        <f t="shared" ref="T32" si="61">S32*(1+S$18)^(1-$I$23)*(1+T$18)^$I$23</f>
        <v>1.1372232712459747</v>
      </c>
      <c r="U32" s="71">
        <f t="shared" ref="U32" si="62">T32*(1+T$18)^(1-$I$23)*(1+U$18)^$I$23</f>
        <v>1.1638047277087895</v>
      </c>
      <c r="V32" s="86">
        <f t="shared" ref="V32" si="63">U32*(1+U$18)^(1-$I$23)*(1+V$18)^$I$23</f>
        <v>1.1920255336142482</v>
      </c>
      <c r="W32" s="86">
        <f t="shared" ref="W32" si="64">V32*(1+V$18)^(1-$I$23)*(1+W$18)^$I$23</f>
        <v>1.2209306586902622</v>
      </c>
      <c r="X32" s="86">
        <f t="shared" ref="X32" si="65">W32*(1+W$18)^(1-$I$23)*(1+X$18)^$I$23</f>
        <v>1.2505366968189744</v>
      </c>
      <c r="Y32" s="86">
        <f t="shared" ref="Y32" si="66">X32*(1+X$18)^(1-$I$23)*(1+Y$18)^$I$23</f>
        <v>1.2808606442633714</v>
      </c>
    </row>
    <row r="33" spans="4:25" s="6" customFormat="1" ht="11.25" customHeight="1" x14ac:dyDescent="0.35">
      <c r="D33" s="12" t="s">
        <v>173</v>
      </c>
      <c r="E33" s="69" t="s">
        <v>113</v>
      </c>
      <c r="F33" s="62" t="str">
        <f t="shared" si="7"/>
        <v>Factor</v>
      </c>
      <c r="G33" s="62" t="str">
        <f t="shared" si="8"/>
        <v>N/A</v>
      </c>
      <c r="H33" s="62" t="str">
        <f t="shared" si="8"/>
        <v>N/A</v>
      </c>
      <c r="J33" s="86">
        <f t="shared" ref="J33" si="67">K33/((1+K$18)^(1-$I$23)*(1+J$18)^$I$23)</f>
        <v>0.89735126457856929</v>
      </c>
      <c r="K33" s="86">
        <f t="shared" ref="K33" si="68">L33/((1+L$18)^(1-$I$23)*(1+K$18)^$I$23)</f>
        <v>0.91769316456858352</v>
      </c>
      <c r="L33" s="86">
        <f t="shared" ref="L33" si="69">M33/((1+M$18)^(1-$I$23)*(1+L$18)^$I$23)</f>
        <v>0.94829940039504157</v>
      </c>
      <c r="M33" s="86">
        <f t="shared" ref="M33" si="70">N33/((1+N$18)^(1-$I$23)*(1+M$18)^$I$23)</f>
        <v>0.97079957564676722</v>
      </c>
      <c r="N33" s="73">
        <f>1/(1+N$18)^($I$23)</f>
        <v>0.98825790990917661</v>
      </c>
      <c r="O33" s="86">
        <f t="shared" ref="O33" si="71">N33*(1+N$18)^(1-$I$23)*(1+O$18)^$I$23</f>
        <v>1.0149658329339695</v>
      </c>
      <c r="P33" s="86">
        <f t="shared" ref="P33" si="72">O33*(1+O$18)^(1-$I$23)*(1+P$18)^$I$23</f>
        <v>1.0379085690180736</v>
      </c>
      <c r="Q33" s="86">
        <f t="shared" ref="Q33" si="73">P33*(1+P$18)^(1-$I$23)*(1+Q$18)^$I$23</f>
        <v>1.0510564219458356</v>
      </c>
      <c r="R33" s="86">
        <f t="shared" ref="R33" si="74">Q33*(1+Q$18)^(1-$I$23)*(1+R$18)^$I$23</f>
        <v>1.0665853358459483</v>
      </c>
      <c r="S33" s="86">
        <f t="shared" ref="S33" si="75">R33*(1+R$18)^(1-$I$23)*(1+S$18)^$I$23</f>
        <v>1.0875634208917138</v>
      </c>
      <c r="T33" s="87">
        <f t="shared" ref="T33" si="76">S33*(1+S$18)^(1-$I$23)*(1+T$18)^$I$23</f>
        <v>1.1106733116059899</v>
      </c>
      <c r="U33" s="71">
        <f t="shared" ref="U33" si="77">T33*(1+T$18)^(1-$I$23)*(1+U$18)^$I$23</f>
        <v>1.1366341893187002</v>
      </c>
      <c r="V33" s="86">
        <f t="shared" ref="V33" si="78">U33*(1+U$18)^(1-$I$23)*(1+V$18)^$I$23</f>
        <v>1.1641961437244206</v>
      </c>
      <c r="W33" s="86">
        <f t="shared" ref="W33" si="79">V33*(1+V$18)^(1-$I$23)*(1+W$18)^$I$23</f>
        <v>1.1924264409776479</v>
      </c>
      <c r="X33" s="86">
        <f t="shared" ref="X33" si="80">W33*(1+W$18)^(1-$I$23)*(1+X$18)^$I$23</f>
        <v>1.2213412875547172</v>
      </c>
      <c r="Y33" s="86">
        <f t="shared" ref="Y33" si="81">X33*(1+X$18)^(1-$I$23)*(1+Y$18)^$I$23</f>
        <v>1.2509572829187001</v>
      </c>
    </row>
    <row r="34" spans="4:25" s="6" customFormat="1" ht="11.25" customHeight="1" x14ac:dyDescent="0.35">
      <c r="D34" s="12" t="s">
        <v>154</v>
      </c>
      <c r="E34" s="69" t="s">
        <v>113</v>
      </c>
      <c r="F34" s="62" t="str">
        <f t="shared" ref="F34:F47" si="82">Factor</f>
        <v>Factor</v>
      </c>
      <c r="G34" s="62" t="str">
        <f t="shared" ref="G34:H47" si="83">NA</f>
        <v>N/A</v>
      </c>
      <c r="H34" s="62" t="str">
        <f t="shared" si="83"/>
        <v>N/A</v>
      </c>
      <c r="J34" s="86">
        <f t="shared" ref="J34" si="84">K34/((1+K$18)^(1-$I$23)*(1+J$18)^$I$23)</f>
        <v>0.87108319167778003</v>
      </c>
      <c r="K34" s="86">
        <f t="shared" ref="K34" si="85">L34/((1+L$18)^(1-$I$23)*(1+K$18)^$I$23)</f>
        <v>0.89082962528470611</v>
      </c>
      <c r="L34" s="86">
        <f t="shared" ref="L34" si="86">M34/((1+M$18)^(1-$I$23)*(1+L$18)^$I$23)</f>
        <v>0.92053992786223093</v>
      </c>
      <c r="M34" s="86">
        <f t="shared" ref="M34" si="87">N34/((1+N$18)^(1-$I$23)*(1+M$18)^$I$23)</f>
        <v>0.94238145775720172</v>
      </c>
      <c r="N34" s="86">
        <f t="shared" ref="N34:N44" si="88">O34/((1+O$18)^(1-$I$23)*(1+N$18)^$I$23)</f>
        <v>0.95932873596471524</v>
      </c>
      <c r="O34" s="73">
        <f>1/(1+O$18)^($I$23)</f>
        <v>0.98525484065733759</v>
      </c>
      <c r="P34" s="86">
        <f t="shared" ref="P34:Y34" si="89">O34*(1+O$18)^(1-$I$23)*(1+P$18)^$I$23</f>
        <v>1.0075259763461564</v>
      </c>
      <c r="Q34" s="86">
        <f t="shared" si="89"/>
        <v>1.0202889535036062</v>
      </c>
      <c r="R34" s="86">
        <f t="shared" si="89"/>
        <v>1.0353632910761426</v>
      </c>
      <c r="S34" s="86">
        <f t="shared" si="89"/>
        <v>1.0557272867579621</v>
      </c>
      <c r="T34" s="87">
        <f t="shared" si="89"/>
        <v>1.0781606839763531</v>
      </c>
      <c r="U34" s="71">
        <f t="shared" si="89"/>
        <v>1.1033616115388329</v>
      </c>
      <c r="V34" s="71">
        <f t="shared" si="89"/>
        <v>1.1301167476380594</v>
      </c>
      <c r="W34" s="71">
        <f t="shared" si="89"/>
        <v>1.1575206622521461</v>
      </c>
      <c r="X34" s="71">
        <f t="shared" si="89"/>
        <v>1.1855890874468837</v>
      </c>
      <c r="Y34" s="71">
        <f t="shared" si="89"/>
        <v>1.2143381367709389</v>
      </c>
    </row>
    <row r="35" spans="4:25" s="6" customFormat="1" ht="11.25" customHeight="1" x14ac:dyDescent="0.35">
      <c r="D35" s="12" t="s">
        <v>124</v>
      </c>
      <c r="E35" s="69" t="s">
        <v>113</v>
      </c>
      <c r="F35" s="62" t="str">
        <f t="shared" si="82"/>
        <v>Factor</v>
      </c>
      <c r="G35" s="62" t="str">
        <f t="shared" si="83"/>
        <v>N/A</v>
      </c>
      <c r="H35" s="62" t="str">
        <f t="shared" si="83"/>
        <v>N/A</v>
      </c>
      <c r="J35" s="86">
        <f t="shared" ref="J35:M44" si="90">K35/((1+K$18)^(1-$I$23)*(1+J$18)^$I$23)</f>
        <v>0.85811823254583175</v>
      </c>
      <c r="K35" s="86">
        <f t="shared" si="90"/>
        <v>0.8775707657455849</v>
      </c>
      <c r="L35" s="86">
        <f t="shared" si="90"/>
        <v>0.90683886847079309</v>
      </c>
      <c r="M35" s="86">
        <f t="shared" si="90"/>
        <v>0.92835531513011771</v>
      </c>
      <c r="N35" s="86">
        <f t="shared" si="88"/>
        <v>0.9450503547782636</v>
      </c>
      <c r="O35" s="86">
        <f t="shared" ref="O35:O44" si="91">P35/((1+P$18)^(1-$I$23)*(1+O$18)^$I$23)</f>
        <v>0.97059058256383302</v>
      </c>
      <c r="P35" s="73">
        <f>1/(1+P$18)^($I$23)</f>
        <v>0.99253024088426012</v>
      </c>
      <c r="Q35" s="86">
        <f>P35*(1+P$18)^(1-$I$23)*(1+Q$18)^$I$23</f>
        <v>1.0051032574514593</v>
      </c>
      <c r="R35" s="86">
        <f t="shared" ref="R35:Y35" si="92">Q35*(1+Q$18)^(1-$I$23)*(1+R$18)^$I$23</f>
        <v>1.019953232790358</v>
      </c>
      <c r="S35" s="86">
        <f t="shared" si="92"/>
        <v>1.040014136443425</v>
      </c>
      <c r="T35" s="87">
        <f t="shared" si="92"/>
        <v>1.0621136412381003</v>
      </c>
      <c r="U35" s="71">
        <f t="shared" si="92"/>
        <v>1.0869394852275571</v>
      </c>
      <c r="V35" s="71">
        <f t="shared" si="92"/>
        <v>1.1132964053476322</v>
      </c>
      <c r="W35" s="71">
        <f t="shared" si="92"/>
        <v>1.1402924477442069</v>
      </c>
      <c r="X35" s="71">
        <f t="shared" si="92"/>
        <v>1.1679431103313949</v>
      </c>
      <c r="Y35" s="71">
        <f t="shared" si="92"/>
        <v>1.1962642668283014</v>
      </c>
    </row>
    <row r="36" spans="4:25" s="6" customFormat="1" ht="11.25" customHeight="1" x14ac:dyDescent="0.35">
      <c r="D36" s="12" t="s">
        <v>125</v>
      </c>
      <c r="E36" s="69" t="s">
        <v>113</v>
      </c>
      <c r="F36" s="62" t="str">
        <f t="shared" si="82"/>
        <v>Factor</v>
      </c>
      <c r="G36" s="62" t="str">
        <f t="shared" si="83"/>
        <v>N/A</v>
      </c>
      <c r="H36" s="62" t="str">
        <f t="shared" si="83"/>
        <v>N/A</v>
      </c>
      <c r="J36" s="86">
        <f t="shared" si="90"/>
        <v>0.84942642724380202</v>
      </c>
      <c r="K36" s="86">
        <f t="shared" si="90"/>
        <v>0.86868192741851169</v>
      </c>
      <c r="L36" s="86">
        <f t="shared" si="90"/>
        <v>0.8976535760645511</v>
      </c>
      <c r="M36" s="86">
        <f t="shared" si="90"/>
        <v>0.91895208449804466</v>
      </c>
      <c r="N36" s="86">
        <f t="shared" si="88"/>
        <v>0.9354780215346532</v>
      </c>
      <c r="O36" s="86">
        <f t="shared" si="91"/>
        <v>0.96075955456364681</v>
      </c>
      <c r="P36" s="86">
        <f t="shared" ref="P36:P44" si="93">Q36/((1+Q$18)^(1-$I$23)*(1+P$18)^$I$23)</f>
        <v>0.9824769879839591</v>
      </c>
      <c r="Q36" s="73">
        <f>1/(1+Q$18)^($I$23)</f>
        <v>0.99492265355462151</v>
      </c>
      <c r="R36" s="86">
        <f t="shared" ref="R36:Y36" si="94">Q36*(1+Q$18)^(1-$I$23)*(1+R$18)^$I$23</f>
        <v>1.0096222147786693</v>
      </c>
      <c r="S36" s="86">
        <f t="shared" si="94"/>
        <v>1.0294799232750294</v>
      </c>
      <c r="T36" s="87">
        <f t="shared" si="94"/>
        <v>1.0513555840984878</v>
      </c>
      <c r="U36" s="71">
        <f t="shared" si="94"/>
        <v>1.0759299692630055</v>
      </c>
      <c r="V36" s="71">
        <f t="shared" si="94"/>
        <v>1.1020199224205385</v>
      </c>
      <c r="W36" s="71">
        <f t="shared" si="94"/>
        <v>1.1287425242403524</v>
      </c>
      <c r="X36" s="71">
        <f t="shared" si="94"/>
        <v>1.1561131156595301</v>
      </c>
      <c r="Y36" s="71">
        <f t="shared" si="94"/>
        <v>1.1841474096136504</v>
      </c>
    </row>
    <row r="37" spans="4:25" s="6" customFormat="1" ht="11.25" customHeight="1" x14ac:dyDescent="0.35">
      <c r="D37" s="12" t="s">
        <v>126</v>
      </c>
      <c r="E37" s="69" t="s">
        <v>113</v>
      </c>
      <c r="F37" s="62" t="str">
        <f t="shared" si="82"/>
        <v>Factor</v>
      </c>
      <c r="G37" s="62" t="str">
        <f t="shared" si="83"/>
        <v>N/A</v>
      </c>
      <c r="H37" s="62" t="str">
        <f t="shared" si="83"/>
        <v>N/A</v>
      </c>
      <c r="J37" s="86">
        <f t="shared" si="90"/>
        <v>0.83331264678118255</v>
      </c>
      <c r="K37" s="86">
        <f t="shared" si="90"/>
        <v>0.85220286646477306</v>
      </c>
      <c r="L37" s="86">
        <f t="shared" si="90"/>
        <v>0.88062491744002047</v>
      </c>
      <c r="M37" s="86">
        <f t="shared" si="90"/>
        <v>0.90151938912816321</v>
      </c>
      <c r="N37" s="86">
        <f t="shared" si="88"/>
        <v>0.91773182600418568</v>
      </c>
      <c r="O37" s="86">
        <f t="shared" si="91"/>
        <v>0.94253376355566454</v>
      </c>
      <c r="P37" s="86">
        <f t="shared" si="93"/>
        <v>0.96383921314415522</v>
      </c>
      <c r="Q37" s="86">
        <f t="shared" ref="Q37:Q44" si="95">R37/((1+R$18)^(1-$I$23)*(1+Q$18)^$I$23)</f>
        <v>0.97604878207797574</v>
      </c>
      <c r="R37" s="73">
        <f>1/(1+R$18)^($I$23)</f>
        <v>0.99046948983706873</v>
      </c>
      <c r="S37" s="86">
        <f t="shared" ref="S37:Y37" si="96">R37*(1+R$18)^(1-$I$23)*(1+S$18)^$I$23</f>
        <v>1.0099504938362078</v>
      </c>
      <c r="T37" s="87">
        <f t="shared" si="96"/>
        <v>1.0314111692239909</v>
      </c>
      <c r="U37" s="71">
        <f t="shared" si="96"/>
        <v>1.0555193736401303</v>
      </c>
      <c r="V37" s="71">
        <f t="shared" si="96"/>
        <v>1.0811143954369511</v>
      </c>
      <c r="W37" s="71">
        <f t="shared" si="96"/>
        <v>1.107330064430915</v>
      </c>
      <c r="X37" s="71">
        <f t="shared" si="96"/>
        <v>1.1341814305386178</v>
      </c>
      <c r="Y37" s="71">
        <f t="shared" si="96"/>
        <v>1.1616839086182695</v>
      </c>
    </row>
    <row r="38" spans="4:25" s="6" customFormat="1" ht="11.25" customHeight="1" x14ac:dyDescent="0.35">
      <c r="D38" s="12" t="s">
        <v>127</v>
      </c>
      <c r="E38" s="69" t="s">
        <v>113</v>
      </c>
      <c r="F38" s="62" t="str">
        <f t="shared" si="82"/>
        <v>Factor</v>
      </c>
      <c r="G38" s="62" t="str">
        <f t="shared" si="83"/>
        <v>N/A</v>
      </c>
      <c r="H38" s="62" t="str">
        <f t="shared" si="83"/>
        <v>N/A</v>
      </c>
      <c r="J38" s="86">
        <f t="shared" si="90"/>
        <v>0.81697318311880651</v>
      </c>
      <c r="K38" s="86">
        <f t="shared" si="90"/>
        <v>0.83549300633801282</v>
      </c>
      <c r="L38" s="86">
        <f t="shared" si="90"/>
        <v>0.8633577621960985</v>
      </c>
      <c r="M38" s="86">
        <f t="shared" si="90"/>
        <v>0.88384253836094429</v>
      </c>
      <c r="N38" s="86">
        <f t="shared" si="88"/>
        <v>0.89973708431782906</v>
      </c>
      <c r="O38" s="86">
        <f t="shared" si="91"/>
        <v>0.92405270936829853</v>
      </c>
      <c r="P38" s="86">
        <f t="shared" si="93"/>
        <v>0.94494040504328936</v>
      </c>
      <c r="Q38" s="86">
        <f t="shared" si="95"/>
        <v>0.95691057066468199</v>
      </c>
      <c r="R38" s="86">
        <f t="shared" ref="R38:R44" si="97">S38/((1+S$18)^(1-$I$23)*(1+R$18)^$I$23)</f>
        <v>0.97104851944810655</v>
      </c>
      <c r="S38" s="73">
        <f>1/(1+S$18)^($I$23)</f>
        <v>0.99014754297667429</v>
      </c>
      <c r="T38" s="87">
        <f t="shared" ref="T38:Y38" si="98">S38*(1+S$18)^(1-$I$23)*(1+T$18)^$I$23</f>
        <v>1.0111874208078342</v>
      </c>
      <c r="U38" s="71">
        <f t="shared" si="98"/>
        <v>1.0348229153334609</v>
      </c>
      <c r="V38" s="71">
        <f t="shared" si="98"/>
        <v>1.0599160739577951</v>
      </c>
      <c r="W38" s="71">
        <f t="shared" si="98"/>
        <v>1.0856177102263869</v>
      </c>
      <c r="X38" s="71">
        <f t="shared" si="98"/>
        <v>1.1119425789594288</v>
      </c>
      <c r="Y38" s="71">
        <f t="shared" si="98"/>
        <v>1.1389057927630089</v>
      </c>
    </row>
    <row r="39" spans="4:25" s="6" customFormat="1" ht="11.25" customHeight="1" x14ac:dyDescent="0.35">
      <c r="D39" s="12" t="s">
        <v>128</v>
      </c>
      <c r="E39" s="69" t="s">
        <v>113</v>
      </c>
      <c r="F39" s="62" t="str">
        <f t="shared" si="82"/>
        <v>Factor</v>
      </c>
      <c r="G39" s="62" t="str">
        <f t="shared" si="83"/>
        <v>N/A</v>
      </c>
      <c r="H39" s="62" t="str">
        <f t="shared" si="83"/>
        <v>N/A</v>
      </c>
      <c r="J39" s="86">
        <f t="shared" si="90"/>
        <v>0.79899577811130218</v>
      </c>
      <c r="K39" s="86">
        <f t="shared" si="90"/>
        <v>0.81710807465820323</v>
      </c>
      <c r="L39" s="86">
        <f t="shared" si="90"/>
        <v>0.84435966962943609</v>
      </c>
      <c r="M39" s="86">
        <f t="shared" si="90"/>
        <v>0.86439368054860066</v>
      </c>
      <c r="N39" s="86">
        <f t="shared" si="88"/>
        <v>0.87993846877049287</v>
      </c>
      <c r="O39" s="86">
        <f t="shared" si="91"/>
        <v>0.90371903116704</v>
      </c>
      <c r="P39" s="86">
        <f t="shared" si="93"/>
        <v>0.92414709539685991</v>
      </c>
      <c r="Q39" s="86">
        <f t="shared" si="95"/>
        <v>0.93585385884076477</v>
      </c>
      <c r="R39" s="86">
        <f t="shared" si="97"/>
        <v>0.94968070361673007</v>
      </c>
      <c r="S39" s="86">
        <f t="shared" ref="S39:S44" si="99">T39/((1+T$18)^(1-$I$23)*(1+S$18)^$I$23)</f>
        <v>0.9683594552339112</v>
      </c>
      <c r="T39" s="73">
        <f>1/(1+T$18)^($I$23)</f>
        <v>0.98893635286829751</v>
      </c>
      <c r="U39" s="71">
        <f>T39*(1+T$18)^(1-$I$23)*(1+U$18)^$I$23</f>
        <v>1.0120517509373701</v>
      </c>
      <c r="V39" s="71">
        <f>U39*(1+U$18)^(1-$I$23)*(1+V$18)^$I$23</f>
        <v>1.0365927373670369</v>
      </c>
      <c r="W39" s="71">
        <f>V39*(1+V$18)^(1-$I$23)*(1+W$18)^$I$23</f>
        <v>1.0617288119573469</v>
      </c>
      <c r="X39" s="71">
        <f>W39*(1+W$18)^(1-$I$23)*(1+X$18)^$I$23</f>
        <v>1.0874744048502976</v>
      </c>
      <c r="Y39" s="71">
        <f>X39*(1+X$18)^(1-$I$23)*(1+Y$18)^$I$23</f>
        <v>1.1138442961007426</v>
      </c>
    </row>
    <row r="40" spans="4:25" s="6" customFormat="1" ht="11.25" customHeight="1" x14ac:dyDescent="0.35">
      <c r="D40" s="12" t="s">
        <v>129</v>
      </c>
      <c r="E40" s="69" t="s">
        <v>113</v>
      </c>
      <c r="F40" s="62" t="str">
        <f t="shared" si="82"/>
        <v>Factor</v>
      </c>
      <c r="G40" s="62" t="str">
        <f t="shared" si="83"/>
        <v>N/A</v>
      </c>
      <c r="H40" s="62" t="str">
        <f t="shared" si="83"/>
        <v>N/A</v>
      </c>
      <c r="J40" s="86">
        <f t="shared" si="90"/>
        <v>0.78007982024168054</v>
      </c>
      <c r="K40" s="86">
        <f t="shared" si="90"/>
        <v>0.79776331422442648</v>
      </c>
      <c r="L40" s="86">
        <f t="shared" si="90"/>
        <v>0.82436973679740921</v>
      </c>
      <c r="M40" s="86">
        <f t="shared" si="90"/>
        <v>0.84392944920725976</v>
      </c>
      <c r="N40" s="86">
        <f t="shared" si="88"/>
        <v>0.85910621976603918</v>
      </c>
      <c r="O40" s="86">
        <f t="shared" si="91"/>
        <v>0.88232378529985911</v>
      </c>
      <c r="P40" s="86">
        <f t="shared" si="93"/>
        <v>0.90226822194000311</v>
      </c>
      <c r="Q40" s="86">
        <f t="shared" si="95"/>
        <v>0.91369783167401231</v>
      </c>
      <c r="R40" s="86">
        <f t="shared" si="97"/>
        <v>0.92719733052348197</v>
      </c>
      <c r="S40" s="86">
        <f t="shared" si="99"/>
        <v>0.94543386894213666</v>
      </c>
      <c r="T40" s="87">
        <f>U40/((1+U$18)^(1-$I$23)*(1+T$18)^$I$23)</f>
        <v>0.96552361540576259</v>
      </c>
      <c r="U40" s="83">
        <f>1/(1+U$18)^($I$23)</f>
        <v>0.98809176415513567</v>
      </c>
      <c r="V40" s="71">
        <f>U40*(1+U$18)^(1-$I$23)*(1+V$18)^$I$23</f>
        <v>1.0120517509373701</v>
      </c>
      <c r="W40" s="71">
        <f>V40*(1+V$18)^(1-$I$23)*(1+W$18)^$I$23</f>
        <v>1.0365927373670369</v>
      </c>
      <c r="X40" s="71">
        <f>W40*(1+W$18)^(1-$I$23)*(1+X$18)^$I$23</f>
        <v>1.0617288119573469</v>
      </c>
      <c r="Y40" s="71">
        <f>X40*(1+X$18)^(1-$I$23)*(1+Y$18)^$I$23</f>
        <v>1.0874744048502976</v>
      </c>
    </row>
    <row r="41" spans="4:25" s="6" customFormat="1" ht="11.25" customHeight="1" x14ac:dyDescent="0.35">
      <c r="D41" s="12" t="s">
        <v>130</v>
      </c>
      <c r="E41" s="69" t="s">
        <v>113</v>
      </c>
      <c r="F41" s="62" t="str">
        <f t="shared" si="82"/>
        <v>Factor</v>
      </c>
      <c r="G41" s="62" t="str">
        <f t="shared" si="83"/>
        <v>N/A</v>
      </c>
      <c r="H41" s="62" t="str">
        <f t="shared" si="83"/>
        <v>N/A</v>
      </c>
      <c r="J41" s="86">
        <f t="shared" si="90"/>
        <v>0.76161169134929263</v>
      </c>
      <c r="K41" s="86">
        <f t="shared" si="90"/>
        <v>0.778876534525202</v>
      </c>
      <c r="L41" s="86">
        <f t="shared" si="90"/>
        <v>0.80485305894072312</v>
      </c>
      <c r="M41" s="86">
        <f t="shared" si="90"/>
        <v>0.82394970169986625</v>
      </c>
      <c r="N41" s="86">
        <f t="shared" si="88"/>
        <v>0.83876716729064515</v>
      </c>
      <c r="O41" s="86">
        <f t="shared" si="91"/>
        <v>0.86143506472420162</v>
      </c>
      <c r="P41" s="86">
        <f t="shared" si="93"/>
        <v>0.88090732349613443</v>
      </c>
      <c r="Q41" s="86">
        <f t="shared" si="95"/>
        <v>0.89206634104165194</v>
      </c>
      <c r="R41" s="86">
        <f t="shared" si="97"/>
        <v>0.90524624376997409</v>
      </c>
      <c r="S41" s="86">
        <f t="shared" si="99"/>
        <v>0.92305103823970525</v>
      </c>
      <c r="T41" s="87">
        <f>U41/((1+U$18)^(1-$I$23)*(1+T$18)^$I$23)</f>
        <v>0.94266516667363942</v>
      </c>
      <c r="U41" s="71">
        <f>V41/((1+V$18)^(1-$I$23)*(1+U$18)^$I$23)</f>
        <v>0.96469902204796165</v>
      </c>
      <c r="V41" s="73">
        <f>1/(1+V$18)^($I$23)</f>
        <v>0.98809176415513567</v>
      </c>
      <c r="W41" s="71">
        <f>V41*(1+V$18)^(1-$I$23)*(1+W$18)^$I$23</f>
        <v>1.0120517509373701</v>
      </c>
      <c r="X41" s="71">
        <f>W41*(1+W$18)^(1-$I$23)*(1+X$18)^$I$23</f>
        <v>1.0365927373670369</v>
      </c>
      <c r="Y41" s="71">
        <f>X41*(1+X$18)^(1-$I$23)*(1+Y$18)^$I$23</f>
        <v>1.0617288119573469</v>
      </c>
    </row>
    <row r="42" spans="4:25" s="6" customFormat="1" ht="11.25" customHeight="1" x14ac:dyDescent="0.35">
      <c r="D42" s="12" t="s">
        <v>131</v>
      </c>
      <c r="E42" s="69" t="s">
        <v>113</v>
      </c>
      <c r="F42" s="62" t="str">
        <f t="shared" si="82"/>
        <v>Factor</v>
      </c>
      <c r="G42" s="62" t="str">
        <f t="shared" si="83"/>
        <v>N/A</v>
      </c>
      <c r="H42" s="62" t="str">
        <f t="shared" si="83"/>
        <v>N/A</v>
      </c>
      <c r="J42" s="86">
        <f t="shared" si="90"/>
        <v>0.74358078923285154</v>
      </c>
      <c r="K42" s="86">
        <f t="shared" si="90"/>
        <v>0.76043689301978301</v>
      </c>
      <c r="L42" s="86">
        <f t="shared" si="90"/>
        <v>0.78579843190608811</v>
      </c>
      <c r="M42" s="86">
        <f t="shared" si="90"/>
        <v>0.804442968033658</v>
      </c>
      <c r="N42" s="86">
        <f t="shared" si="88"/>
        <v>0.81890963508140546</v>
      </c>
      <c r="O42" s="86">
        <f t="shared" si="91"/>
        <v>0.84104087762316815</v>
      </c>
      <c r="P42" s="86">
        <f t="shared" si="93"/>
        <v>0.8600521371800276</v>
      </c>
      <c r="Q42" s="86">
        <f t="shared" si="95"/>
        <v>0.87094696871663235</v>
      </c>
      <c r="R42" s="86">
        <f t="shared" si="97"/>
        <v>0.88381484165510515</v>
      </c>
      <c r="S42" s="86">
        <f t="shared" si="99"/>
        <v>0.90119811356953217</v>
      </c>
      <c r="T42" s="87">
        <f>U42/((1+U$18)^(1-$I$23)*(1+T$18)^$I$23)</f>
        <v>0.92034788407158497</v>
      </c>
      <c r="U42" s="71">
        <f>V42/((1+V$18)^(1-$I$23)*(1+U$18)^$I$23)</f>
        <v>0.94186009528784764</v>
      </c>
      <c r="V42" s="71">
        <f>W42/((1+W$18)^(1-$I$23)*(1+V$18)^$I$23)</f>
        <v>0.96469902204796165</v>
      </c>
      <c r="W42" s="73">
        <f>1/(1+W$18)^($I$23)</f>
        <v>0.98809176415513567</v>
      </c>
      <c r="X42" s="71">
        <f>W42*(1+W$18)^(1-$I$23)*(1+X$18)^$I$23</f>
        <v>1.0120517509373701</v>
      </c>
      <c r="Y42" s="71">
        <f>X42*(1+X$18)^(1-$I$23)*(1+Y$18)^$I$23</f>
        <v>1.0365927373670369</v>
      </c>
    </row>
    <row r="43" spans="4:25" s="6" customFormat="1" ht="11.25" customHeight="1" x14ac:dyDescent="0.35">
      <c r="D43" s="12" t="s">
        <v>132</v>
      </c>
      <c r="E43" s="69" t="s">
        <v>113</v>
      </c>
      <c r="F43" s="62" t="str">
        <f t="shared" si="82"/>
        <v>Factor</v>
      </c>
      <c r="G43" s="62" t="str">
        <f t="shared" si="83"/>
        <v>N/A</v>
      </c>
      <c r="H43" s="62" t="str">
        <f t="shared" si="83"/>
        <v>N/A</v>
      </c>
      <c r="J43" s="86">
        <f t="shared" si="90"/>
        <v>0.7259767626946424</v>
      </c>
      <c r="K43" s="86">
        <f t="shared" si="90"/>
        <v>0.74243380386095115</v>
      </c>
      <c r="L43" s="86">
        <f t="shared" si="90"/>
        <v>0.76719491679479856</v>
      </c>
      <c r="M43" s="86">
        <f t="shared" si="90"/>
        <v>0.7853980497641172</v>
      </c>
      <c r="N43" s="86">
        <f t="shared" si="88"/>
        <v>0.79952222330703548</v>
      </c>
      <c r="O43" s="86">
        <f t="shared" si="91"/>
        <v>0.82112951608211482</v>
      </c>
      <c r="P43" s="86">
        <f t="shared" si="93"/>
        <v>0.83969069042616373</v>
      </c>
      <c r="Q43" s="86">
        <f t="shared" si="95"/>
        <v>0.8503275904692752</v>
      </c>
      <c r="R43" s="86">
        <f t="shared" si="97"/>
        <v>0.86289082081883317</v>
      </c>
      <c r="S43" s="86">
        <f t="shared" si="99"/>
        <v>0.87986254958349941</v>
      </c>
      <c r="T43" s="87">
        <f>U43/((1+U$18)^(1-$I$23)*(1+T$18)^$I$23)</f>
        <v>0.89855895567243105</v>
      </c>
      <c r="U43" s="71">
        <f>V43/((1+V$18)^(1-$I$23)*(1+U$18)^$I$23)</f>
        <v>0.91956187248164301</v>
      </c>
      <c r="V43" s="71">
        <f>W43/((1+W$18)^(1-$I$23)*(1+V$18)^$I$23)</f>
        <v>0.94186009528784764</v>
      </c>
      <c r="W43" s="71">
        <f>X43/((1+X$18)^(1-$I$23)*(1+W$18)^$I$23)</f>
        <v>0.96469902204796165</v>
      </c>
      <c r="X43" s="73">
        <f>1/(1+X$18)^($I$23)</f>
        <v>0.98809176415513567</v>
      </c>
      <c r="Y43" s="71">
        <f>X43*(1+X$18)^(1-$I$23)*(1+Y$18)^$I$23</f>
        <v>1.0120517509373701</v>
      </c>
    </row>
    <row r="44" spans="4:25" s="6" customFormat="1" ht="11.25" customHeight="1" x14ac:dyDescent="0.35">
      <c r="D44" s="12" t="s">
        <v>133</v>
      </c>
      <c r="E44" s="69" t="s">
        <v>113</v>
      </c>
      <c r="F44" s="62" t="str">
        <f t="shared" si="82"/>
        <v>Factor</v>
      </c>
      <c r="G44" s="62" t="str">
        <f t="shared" si="83"/>
        <v>N/A</v>
      </c>
      <c r="H44" s="62" t="str">
        <f t="shared" si="83"/>
        <v>N/A</v>
      </c>
      <c r="J44" s="86">
        <f t="shared" si="90"/>
        <v>0.70878950559809351</v>
      </c>
      <c r="K44" s="86">
        <f t="shared" si="90"/>
        <v>0.7248569318178798</v>
      </c>
      <c r="L44" s="86">
        <f t="shared" si="90"/>
        <v>0.74903183368291681</v>
      </c>
      <c r="M44" s="86">
        <f t="shared" si="90"/>
        <v>0.76680401356615446</v>
      </c>
      <c r="N44" s="86">
        <f t="shared" si="88"/>
        <v>0.78059380202344364</v>
      </c>
      <c r="O44" s="86">
        <f t="shared" si="91"/>
        <v>0.8016895493673617</v>
      </c>
      <c r="P44" s="86">
        <f t="shared" si="93"/>
        <v>0.81981129411550879</v>
      </c>
      <c r="Q44" s="86">
        <f t="shared" si="95"/>
        <v>0.83019636910698547</v>
      </c>
      <c r="R44" s="86">
        <f t="shared" si="97"/>
        <v>0.84246216917905148</v>
      </c>
      <c r="S44" s="86">
        <f t="shared" si="99"/>
        <v>0.85903209794041113</v>
      </c>
      <c r="T44" s="87">
        <f>U44/((1+U$18)^(1-$I$23)*(1+T$18)^$I$23)</f>
        <v>0.87728587286710114</v>
      </c>
      <c r="U44" s="71">
        <f>V44/((1+V$18)^(1-$I$23)*(1+U$18)^$I$23)</f>
        <v>0.89779155264404564</v>
      </c>
      <c r="V44" s="71">
        <f>W44/((1+W$18)^(1-$I$23)*(1+V$18)^$I$23)</f>
        <v>0.91956187248164301</v>
      </c>
      <c r="W44" s="71">
        <f>X44/((1+X$18)^(1-$I$23)*(1+W$18)^$I$23)</f>
        <v>0.94186009528784764</v>
      </c>
      <c r="X44" s="71">
        <f>Y44/((1+Y$18)^(1-$I$23)*(1+X$18)^$I$23)</f>
        <v>0.96469902204796165</v>
      </c>
      <c r="Y44" s="73">
        <f>1/(1+Y$18)^($I$23)</f>
        <v>0.98809176415513567</v>
      </c>
    </row>
    <row r="45" spans="4:25" s="6" customFormat="1" ht="11.25" customHeight="1" x14ac:dyDescent="0.35">
      <c r="J45" s="84"/>
      <c r="K45" s="84"/>
      <c r="L45" s="84"/>
      <c r="M45" s="84"/>
      <c r="N45" s="84"/>
      <c r="O45" s="84"/>
      <c r="P45" s="84"/>
      <c r="Q45" s="84"/>
      <c r="R45" s="84"/>
      <c r="S45" s="84"/>
      <c r="T45" s="85"/>
    </row>
    <row r="46" spans="4:25" s="6" customFormat="1" ht="11.25" customHeight="1" x14ac:dyDescent="0.35">
      <c r="D46" s="12" t="s">
        <v>151</v>
      </c>
      <c r="E46" s="69" t="s">
        <v>113</v>
      </c>
      <c r="F46" s="62" t="str">
        <f t="shared" si="82"/>
        <v>Factor</v>
      </c>
      <c r="G46" s="62" t="str">
        <f t="shared" si="83"/>
        <v>N/A</v>
      </c>
      <c r="H46" s="62" t="str">
        <f t="shared" si="83"/>
        <v>N/A</v>
      </c>
      <c r="J46" s="86">
        <f>J38/J39</f>
        <v>1.0225</v>
      </c>
      <c r="K46" s="86">
        <f t="shared" ref="K46:Y46" si="100">K38/K39</f>
        <v>1.0225</v>
      </c>
      <c r="L46" s="86">
        <f t="shared" si="100"/>
        <v>1.0225000000000002</v>
      </c>
      <c r="M46" s="86">
        <f t="shared" si="100"/>
        <v>1.0225000000000002</v>
      </c>
      <c r="N46" s="86">
        <f t="shared" si="100"/>
        <v>1.0225000000000002</v>
      </c>
      <c r="O46" s="86">
        <f t="shared" si="100"/>
        <v>1.0225000000000002</v>
      </c>
      <c r="P46" s="86">
        <f t="shared" si="100"/>
        <v>1.0225000000000002</v>
      </c>
      <c r="Q46" s="86">
        <f t="shared" si="100"/>
        <v>1.0225</v>
      </c>
      <c r="R46" s="86">
        <f t="shared" si="100"/>
        <v>1.0225</v>
      </c>
      <c r="S46" s="86">
        <f t="shared" si="100"/>
        <v>1.0225000000000002</v>
      </c>
      <c r="T46" s="87">
        <f t="shared" si="100"/>
        <v>1.0225</v>
      </c>
      <c r="U46" s="71">
        <f t="shared" si="100"/>
        <v>1.0225</v>
      </c>
      <c r="V46" s="71">
        <f t="shared" si="100"/>
        <v>1.0224999999999997</v>
      </c>
      <c r="W46" s="71">
        <f t="shared" si="100"/>
        <v>1.0224999999999997</v>
      </c>
      <c r="X46" s="71">
        <f t="shared" si="100"/>
        <v>1.0224999999999995</v>
      </c>
      <c r="Y46" s="71">
        <f t="shared" si="100"/>
        <v>1.0224999999999995</v>
      </c>
    </row>
    <row r="47" spans="4:25" s="6" customFormat="1" ht="11.25" customHeight="1" x14ac:dyDescent="0.35">
      <c r="D47" s="12" t="s">
        <v>382</v>
      </c>
      <c r="E47" s="69" t="s">
        <v>113</v>
      </c>
      <c r="F47" s="62" t="str">
        <f t="shared" si="82"/>
        <v>Factor</v>
      </c>
      <c r="G47" s="62" t="str">
        <f t="shared" si="83"/>
        <v>N/A</v>
      </c>
      <c r="H47" s="62" t="str">
        <f t="shared" si="83"/>
        <v>N/A</v>
      </c>
      <c r="J47" s="86">
        <f>J34/J39</f>
        <v>1.0902225212464589</v>
      </c>
      <c r="K47" s="86">
        <f t="shared" ref="K47:Y47" si="101">K34/K39</f>
        <v>1.0902225212464589</v>
      </c>
      <c r="L47" s="86">
        <f t="shared" si="101"/>
        <v>1.0902225212464589</v>
      </c>
      <c r="M47" s="86">
        <f t="shared" si="101"/>
        <v>1.0902225212464591</v>
      </c>
      <c r="N47" s="86">
        <f t="shared" si="101"/>
        <v>1.0902225212464589</v>
      </c>
      <c r="O47" s="86">
        <f t="shared" si="101"/>
        <v>1.0902225212464589</v>
      </c>
      <c r="P47" s="86">
        <f t="shared" si="101"/>
        <v>1.0902225212464589</v>
      </c>
      <c r="Q47" s="86">
        <f t="shared" si="101"/>
        <v>1.0902225212464589</v>
      </c>
      <c r="R47" s="86">
        <f t="shared" si="101"/>
        <v>1.0902225212464589</v>
      </c>
      <c r="S47" s="86">
        <f t="shared" si="101"/>
        <v>1.0902225212464589</v>
      </c>
      <c r="T47" s="86">
        <f t="shared" si="101"/>
        <v>1.0902225212464589</v>
      </c>
      <c r="U47" s="86">
        <f t="shared" si="101"/>
        <v>1.0902225212464589</v>
      </c>
      <c r="V47" s="86">
        <f t="shared" si="101"/>
        <v>1.0902225212464589</v>
      </c>
      <c r="W47" s="86">
        <f t="shared" si="101"/>
        <v>1.0902225212464589</v>
      </c>
      <c r="X47" s="86">
        <f t="shared" si="101"/>
        <v>1.0902225212464589</v>
      </c>
      <c r="Y47" s="86">
        <f t="shared" si="101"/>
        <v>1.0902225212464589</v>
      </c>
    </row>
    <row r="48" spans="4:25" s="6" customFormat="1" ht="11.25" customHeight="1" x14ac:dyDescent="0.35"/>
    <row r="49" spans="1:25" s="6" customFormat="1" ht="11.25" customHeight="1" x14ac:dyDescent="0.35">
      <c r="A49" s="65">
        <f>IF(SUM($P49:$AB49)&gt;0,1,0)</f>
        <v>0</v>
      </c>
      <c r="D49" s="15" t="s">
        <v>116</v>
      </c>
      <c r="J49" s="70">
        <f>IF(ISERROR(SUM(J29:J44)),1,0)</f>
        <v>0</v>
      </c>
      <c r="K49" s="70">
        <f t="shared" ref="K49:Y49" si="102">IF(ISERROR(SUM(K29:K44)),1,0)</f>
        <v>0</v>
      </c>
      <c r="L49" s="70">
        <f t="shared" si="102"/>
        <v>0</v>
      </c>
      <c r="M49" s="70">
        <f t="shared" si="102"/>
        <v>0</v>
      </c>
      <c r="N49" s="70">
        <f t="shared" si="102"/>
        <v>0</v>
      </c>
      <c r="O49" s="70">
        <f t="shared" si="102"/>
        <v>0</v>
      </c>
      <c r="P49" s="70">
        <f t="shared" si="102"/>
        <v>0</v>
      </c>
      <c r="Q49" s="70">
        <f t="shared" si="102"/>
        <v>0</v>
      </c>
      <c r="R49" s="70">
        <f t="shared" si="102"/>
        <v>0</v>
      </c>
      <c r="S49" s="70">
        <f t="shared" si="102"/>
        <v>0</v>
      </c>
      <c r="T49" s="70">
        <f t="shared" si="102"/>
        <v>0</v>
      </c>
      <c r="U49" s="70">
        <f t="shared" si="102"/>
        <v>0</v>
      </c>
      <c r="V49" s="70">
        <f t="shared" si="102"/>
        <v>0</v>
      </c>
      <c r="W49" s="70">
        <f t="shared" si="102"/>
        <v>0</v>
      </c>
      <c r="X49" s="70">
        <f t="shared" si="102"/>
        <v>0</v>
      </c>
      <c r="Y49" s="70">
        <f t="shared" si="102"/>
        <v>0</v>
      </c>
    </row>
    <row r="50" spans="1:25" s="6" customFormat="1" ht="11.25" customHeight="1" x14ac:dyDescent="0.35"/>
    <row r="51" spans="1:25" s="162" customFormat="1" ht="14.4" x14ac:dyDescent="0.35">
      <c r="C51" s="162" t="s">
        <v>1628</v>
      </c>
    </row>
    <row r="52" spans="1:25" s="6" customFormat="1" ht="11.25" customHeight="1" x14ac:dyDescent="0.35"/>
    <row r="53" spans="1:25" ht="12.3" x14ac:dyDescent="0.35">
      <c r="D53" s="68" t="s">
        <v>111</v>
      </c>
      <c r="E53" s="67" t="str">
        <f>Lookup!E$20</f>
        <v>Source</v>
      </c>
      <c r="F53" s="67" t="str">
        <f>Lookup!F$20</f>
        <v>Unit</v>
      </c>
      <c r="G53" s="67" t="str">
        <f>Lookup!G$20</f>
        <v>Basis</v>
      </c>
      <c r="H53" s="67" t="str">
        <f>Lookup!H$20</f>
        <v>Timing</v>
      </c>
      <c r="I53" s="67"/>
      <c r="J53" s="67" t="str">
        <f t="shared" ref="J53:N53" si="103">J$10</f>
        <v>RY09</v>
      </c>
      <c r="K53" s="67" t="str">
        <f t="shared" si="103"/>
        <v>RY10</v>
      </c>
      <c r="L53" s="67" t="str">
        <f t="shared" si="103"/>
        <v>RY11</v>
      </c>
      <c r="M53" s="67" t="str">
        <f t="shared" si="103"/>
        <v>RY12</v>
      </c>
      <c r="N53" s="67" t="str">
        <f t="shared" si="103"/>
        <v>RY13</v>
      </c>
      <c r="O53" s="67" t="str">
        <f>O$10</f>
        <v>RY14</v>
      </c>
      <c r="P53" s="67" t="str">
        <f>P$10</f>
        <v>RY15</v>
      </c>
      <c r="Q53" s="67" t="str">
        <f t="shared" ref="Q53:Y53" si="104">Q$10</f>
        <v>RY16</v>
      </c>
      <c r="R53" s="67" t="str">
        <f t="shared" si="104"/>
        <v>RY17</v>
      </c>
      <c r="S53" s="67" t="str">
        <f t="shared" si="104"/>
        <v>RY18</v>
      </c>
      <c r="T53" s="79" t="str">
        <f t="shared" si="104"/>
        <v>RY19</v>
      </c>
      <c r="U53" s="67" t="str">
        <f t="shared" si="104"/>
        <v>RY20</v>
      </c>
      <c r="V53" s="67" t="str">
        <f t="shared" si="104"/>
        <v>RY21</v>
      </c>
      <c r="W53" s="67" t="str">
        <f t="shared" si="104"/>
        <v>RY22</v>
      </c>
      <c r="X53" s="67" t="str">
        <f t="shared" si="104"/>
        <v>RY23</v>
      </c>
      <c r="Y53" s="67" t="str">
        <f t="shared" si="104"/>
        <v>RY24</v>
      </c>
    </row>
    <row r="54" spans="1:25" s="6" customFormat="1" ht="11.25" customHeight="1" x14ac:dyDescent="0.35">
      <c r="O54" s="84"/>
      <c r="P54" s="84"/>
      <c r="Q54" s="84"/>
      <c r="R54" s="84"/>
      <c r="S54" s="84"/>
      <c r="T54" s="85"/>
    </row>
    <row r="55" spans="1:25" s="6" customFormat="1" ht="11.25" customHeight="1" x14ac:dyDescent="0.35">
      <c r="D55" s="12" t="s">
        <v>154</v>
      </c>
      <c r="E55" s="69" t="s">
        <v>113</v>
      </c>
      <c r="F55" s="62" t="str">
        <f t="shared" ref="F55" si="105">Factor</f>
        <v>Factor</v>
      </c>
      <c r="G55" s="62" t="str">
        <f t="shared" ref="G55:H55" si="106">NA</f>
        <v>N/A</v>
      </c>
      <c r="H55" s="62" t="str">
        <f t="shared" si="106"/>
        <v>N/A</v>
      </c>
      <c r="J55" s="86" t="str">
        <f>NA</f>
        <v>N/A</v>
      </c>
      <c r="K55" s="86" t="str">
        <f>NA</f>
        <v>N/A</v>
      </c>
      <c r="L55" s="86" t="str">
        <f>NA</f>
        <v>N/A</v>
      </c>
      <c r="M55" s="86" t="str">
        <f>NA</f>
        <v>N/A</v>
      </c>
      <c r="N55" s="86" t="str">
        <f>NA</f>
        <v>N/A</v>
      </c>
      <c r="O55" s="73">
        <v>1</v>
      </c>
      <c r="P55" s="73">
        <f>O55*(1+P$19)</f>
        <v>1.0259</v>
      </c>
      <c r="Q55" s="86">
        <f t="shared" ref="Q55:Y55" si="107">P55*(1+Q$19)</f>
        <v>1.0435454800000001</v>
      </c>
      <c r="R55" s="86">
        <f t="shared" si="107"/>
        <v>1.061181398612</v>
      </c>
      <c r="S55" s="86">
        <f t="shared" si="107"/>
        <v>1.0768868833114575</v>
      </c>
      <c r="T55" s="87">
        <f t="shared" si="107"/>
        <v>1.0984246209776867</v>
      </c>
      <c r="U55" s="71">
        <f t="shared" si="107"/>
        <v>1.1250600412439506</v>
      </c>
      <c r="V55" s="71">
        <f t="shared" si="107"/>
        <v>1.1523413370661806</v>
      </c>
      <c r="W55" s="71">
        <f t="shared" si="107"/>
        <v>1.1802841701170521</v>
      </c>
      <c r="X55" s="71">
        <f t="shared" si="107"/>
        <v>1.2089045818451729</v>
      </c>
      <c r="Y55" s="71">
        <f t="shared" si="107"/>
        <v>1.2382190026841724</v>
      </c>
    </row>
    <row r="56" spans="1:25" s="6" customFormat="1" ht="11.25" customHeight="1" x14ac:dyDescent="0.35"/>
    <row r="57" spans="1:25" s="139" customFormat="1" ht="12.9" x14ac:dyDescent="0.35">
      <c r="B57" s="139" t="s">
        <v>32</v>
      </c>
    </row>
  </sheetData>
  <conditionalFormatting sqref="B2">
    <cfRule type="cellIs" dxfId="47" priority="1" operator="notEqual">
      <formula>"No Errors Found"</formula>
    </cfRule>
  </conditionalFormatting>
  <hyperlinks>
    <hyperlink ref="B3:E3" location="TOC!A1" display="TOC!A1"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S130"/>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9" width="14.46484375" style="137" customWidth="1"/>
    <col min="10" max="10" width="14.46484375" style="300" customWidth="1"/>
    <col min="11" max="16" width="14.46484375" style="137" customWidth="1"/>
    <col min="17" max="18" width="12.33203125" style="137" customWidth="1"/>
    <col min="19" max="16384" width="9.1328125" style="137"/>
  </cols>
  <sheetData>
    <row r="1" spans="1:10" ht="20.399999999999999" x14ac:dyDescent="0.5">
      <c r="A1" s="65">
        <f>IF(SUM($A58:$A105)&gt;0,1,0)</f>
        <v>0</v>
      </c>
      <c r="B1" s="136" t="s">
        <v>1371</v>
      </c>
    </row>
    <row r="2" spans="1:10" s="104" customFormat="1" ht="10.199999999999999" x14ac:dyDescent="0.35">
      <c r="B2" s="105" t="str">
        <f>Title_Msg</f>
        <v>No Errors Found</v>
      </c>
      <c r="J2" s="301"/>
    </row>
    <row r="3" spans="1:10" s="104" customFormat="1" ht="12.3" x14ac:dyDescent="0.35">
      <c r="B3" s="106" t="s">
        <v>51</v>
      </c>
      <c r="C3" s="106"/>
      <c r="D3" s="106"/>
      <c r="E3" s="107"/>
      <c r="J3" s="301"/>
    </row>
    <row r="4" spans="1:10" s="104" customFormat="1" ht="12.3" x14ac:dyDescent="0.35">
      <c r="B4" s="108" t="str">
        <f>Model_Name</f>
        <v>Power and Water Corporation (PWC) - Regulatory Proposal Tables and Charts</v>
      </c>
      <c r="J4" s="301"/>
    </row>
    <row r="6" spans="1:10" s="139" customFormat="1" x14ac:dyDescent="0.35">
      <c r="B6" s="139" t="s">
        <v>1640</v>
      </c>
      <c r="J6" s="302"/>
    </row>
    <row r="7" spans="1:10" ht="13.2" thickBot="1" x14ac:dyDescent="0.55000000000000004">
      <c r="B7" s="226"/>
    </row>
    <row r="8" spans="1:10" ht="13.2" thickBot="1" x14ac:dyDescent="0.55000000000000004">
      <c r="B8" s="226"/>
      <c r="D8" s="146" t="s">
        <v>1641</v>
      </c>
      <c r="E8" s="610" t="s">
        <v>416</v>
      </c>
      <c r="F8" s="610" t="s">
        <v>417</v>
      </c>
      <c r="G8" s="610" t="s">
        <v>418</v>
      </c>
      <c r="H8" s="610" t="s">
        <v>419</v>
      </c>
      <c r="I8" s="610" t="s">
        <v>246</v>
      </c>
      <c r="J8" s="303" t="s">
        <v>247</v>
      </c>
    </row>
    <row r="9" spans="1:10" ht="13.8" thickBot="1" x14ac:dyDescent="0.55000000000000004">
      <c r="B9" s="226"/>
      <c r="D9" s="608" t="s">
        <v>551</v>
      </c>
      <c r="E9" s="282">
        <v>0.49050918951491407</v>
      </c>
      <c r="F9" s="282">
        <v>0.40859614847892828</v>
      </c>
      <c r="G9" s="282">
        <v>2.3723137036003351E-2</v>
      </c>
      <c r="H9" s="282">
        <v>0.18460441910192449</v>
      </c>
      <c r="I9" s="282">
        <v>0.14311270125223613</v>
      </c>
      <c r="J9" s="282">
        <v>1.3062409288824383E-2</v>
      </c>
    </row>
    <row r="10" spans="1:10" ht="13.8" thickBot="1" x14ac:dyDescent="0.55000000000000004">
      <c r="B10" s="226"/>
      <c r="D10" s="608" t="s">
        <v>1642</v>
      </c>
      <c r="E10" s="282">
        <v>33.803738317757016</v>
      </c>
      <c r="F10" s="282">
        <v>22.866828087167068</v>
      </c>
      <c r="G10" s="282">
        <v>48.046370967741964</v>
      </c>
      <c r="H10" s="282">
        <v>16.457434733257664</v>
      </c>
      <c r="I10" s="282">
        <v>9.5970464135021061</v>
      </c>
      <c r="J10" s="282">
        <v>11.071503680336493</v>
      </c>
    </row>
    <row r="11" spans="1:10" ht="13.8" thickBot="1" x14ac:dyDescent="0.55000000000000004">
      <c r="B11" s="226"/>
      <c r="D11" s="608" t="s">
        <v>1643</v>
      </c>
      <c r="E11" s="282">
        <v>5.1232204221894877</v>
      </c>
      <c r="F11" s="282">
        <v>4.0908536416313153</v>
      </c>
      <c r="G11" s="282">
        <v>4.0696104040460286</v>
      </c>
      <c r="H11" s="282">
        <v>1.7670909667699619</v>
      </c>
      <c r="I11" s="282">
        <v>2.1600276551614082</v>
      </c>
      <c r="J11" s="282">
        <v>3.5153789870193024</v>
      </c>
    </row>
    <row r="12" spans="1:10" ht="13.8" thickBot="1" x14ac:dyDescent="0.55000000000000004">
      <c r="B12" s="226"/>
      <c r="D12" s="608" t="s">
        <v>1644</v>
      </c>
      <c r="E12" s="282">
        <v>2.6526278155166252</v>
      </c>
      <c r="F12" s="282">
        <v>2.6456451094525595</v>
      </c>
      <c r="G12" s="282">
        <v>3.056437014162495</v>
      </c>
      <c r="H12" s="282">
        <v>1.7899774411859459</v>
      </c>
      <c r="I12" s="282">
        <v>1.5335785146954286</v>
      </c>
      <c r="J12" s="282">
        <v>1.7765680399108865</v>
      </c>
    </row>
    <row r="13" spans="1:10" x14ac:dyDescent="0.5">
      <c r="B13" s="226"/>
    </row>
    <row r="14" spans="1:10" x14ac:dyDescent="0.5">
      <c r="B14" s="226"/>
    </row>
    <row r="15" spans="1:10" x14ac:dyDescent="0.5">
      <c r="B15" s="226"/>
    </row>
    <row r="16" spans="1:10" x14ac:dyDescent="0.5">
      <c r="B16" s="226"/>
    </row>
    <row r="17" spans="2:2" x14ac:dyDescent="0.5">
      <c r="B17" s="226"/>
    </row>
    <row r="18" spans="2:2" x14ac:dyDescent="0.5">
      <c r="B18" s="226"/>
    </row>
    <row r="19" spans="2:2" x14ac:dyDescent="0.5">
      <c r="B19" s="226"/>
    </row>
    <row r="20" spans="2:2" x14ac:dyDescent="0.5">
      <c r="B20" s="226"/>
    </row>
    <row r="21" spans="2:2" x14ac:dyDescent="0.5">
      <c r="B21" s="226"/>
    </row>
    <row r="22" spans="2:2" x14ac:dyDescent="0.5">
      <c r="B22" s="226"/>
    </row>
    <row r="23" spans="2:2" x14ac:dyDescent="0.5">
      <c r="B23" s="226"/>
    </row>
    <row r="24" spans="2:2" x14ac:dyDescent="0.5">
      <c r="B24" s="226"/>
    </row>
    <row r="25" spans="2:2" x14ac:dyDescent="0.5">
      <c r="B25" s="226"/>
    </row>
    <row r="26" spans="2:2" x14ac:dyDescent="0.5">
      <c r="B26" s="226"/>
    </row>
    <row r="27" spans="2:2" x14ac:dyDescent="0.5">
      <c r="B27" s="226"/>
    </row>
    <row r="28" spans="2:2" x14ac:dyDescent="0.5">
      <c r="B28" s="226"/>
    </row>
    <row r="29" spans="2:2" x14ac:dyDescent="0.5">
      <c r="B29" s="226"/>
    </row>
    <row r="30" spans="2:2" x14ac:dyDescent="0.5">
      <c r="B30" s="226"/>
    </row>
    <row r="31" spans="2:2" x14ac:dyDescent="0.5">
      <c r="B31" s="226"/>
    </row>
    <row r="32" spans="2:2" x14ac:dyDescent="0.5">
      <c r="B32" s="226"/>
    </row>
    <row r="33" spans="2:19" s="139" customFormat="1" x14ac:dyDescent="0.35">
      <c r="B33" s="139" t="s">
        <v>1637</v>
      </c>
      <c r="J33" s="302"/>
    </row>
    <row r="34" spans="2:19" ht="13.2" thickBot="1" x14ac:dyDescent="0.55000000000000004">
      <c r="B34" s="226"/>
    </row>
    <row r="35" spans="2:19" ht="13.2" thickBot="1" x14ac:dyDescent="0.55000000000000004">
      <c r="D35" s="146" t="s">
        <v>828</v>
      </c>
      <c r="E35" s="206" t="s">
        <v>246</v>
      </c>
      <c r="F35" s="206" t="s">
        <v>247</v>
      </c>
      <c r="G35" s="206" t="s">
        <v>248</v>
      </c>
      <c r="H35" s="206" t="s">
        <v>249</v>
      </c>
      <c r="I35" s="206" t="s">
        <v>250</v>
      </c>
      <c r="J35" s="303" t="s">
        <v>236</v>
      </c>
      <c r="K35" s="278" t="s">
        <v>237</v>
      </c>
      <c r="L35" s="278" t="s">
        <v>238</v>
      </c>
      <c r="M35" s="278" t="s">
        <v>239</v>
      </c>
      <c r="N35" s="278" t="s">
        <v>240</v>
      </c>
      <c r="O35" s="278" t="s">
        <v>891</v>
      </c>
      <c r="P35" s="278" t="s">
        <v>892</v>
      </c>
      <c r="Q35" s="290" t="s">
        <v>890</v>
      </c>
    </row>
    <row r="36" spans="2:19" ht="13.8" thickBot="1" x14ac:dyDescent="0.55000000000000004">
      <c r="D36" s="279" t="s">
        <v>831</v>
      </c>
      <c r="E36" s="282">
        <f>'11'!E43</f>
        <v>80.833403341474423</v>
      </c>
      <c r="F36" s="282">
        <f>'11'!F43</f>
        <v>85.9020533380328</v>
      </c>
      <c r="G36" s="282">
        <f>'11'!G43</f>
        <v>70.912937930713994</v>
      </c>
      <c r="H36" s="282">
        <f>'11'!H43</f>
        <v>75.793555074662947</v>
      </c>
      <c r="I36" s="282">
        <f>'11'!I43</f>
        <v>75.793555074662947</v>
      </c>
      <c r="J36" s="282">
        <f>'11'!E9</f>
        <v>66.045886352030877</v>
      </c>
      <c r="K36" s="282">
        <f>'11'!F9</f>
        <v>66.948958828524951</v>
      </c>
      <c r="L36" s="282">
        <f>'11'!G9</f>
        <v>67.954893904293939</v>
      </c>
      <c r="M36" s="282">
        <f>'11'!H9</f>
        <v>68.783794117626343</v>
      </c>
      <c r="N36" s="282">
        <f>'11'!I9</f>
        <v>69.517568954487444</v>
      </c>
      <c r="O36" s="282">
        <f>SUM(E36:I36)</f>
        <v>389.2355047595471</v>
      </c>
      <c r="P36" s="282">
        <f>SUM(J36:N36)</f>
        <v>339.25110215696355</v>
      </c>
      <c r="Q36" s="254">
        <f>P36/O36-1</f>
        <v>-0.12841686329067481</v>
      </c>
      <c r="R36" s="299" t="str">
        <f>O35&amp;": "&amp;TEXT(O36,"$0.0")</f>
        <v>Period 1: $389.2</v>
      </c>
      <c r="S36" s="299" t="str">
        <f>P35&amp;": "&amp;TEXT(P36,"$0.0")&amp;IF(Q36&gt;=0," (+"," (-")&amp;TEXT(Q36,"0.00%")&amp;")"</f>
        <v>Period 2: $339.3 (--12.84%)</v>
      </c>
    </row>
    <row r="37" spans="2:19" ht="13.8" thickBot="1" x14ac:dyDescent="0.55000000000000004">
      <c r="D37" s="279" t="s">
        <v>832</v>
      </c>
      <c r="E37" s="282">
        <f t="shared" ref="E37:N37" si="0">IF(E$61=0,0,E36*Million/E$61)</f>
        <v>996.57757075457619</v>
      </c>
      <c r="F37" s="282">
        <f t="shared" si="0"/>
        <v>1036.0254880061846</v>
      </c>
      <c r="G37" s="282">
        <f t="shared" si="0"/>
        <v>848.37280833998102</v>
      </c>
      <c r="H37" s="282">
        <f t="shared" si="0"/>
        <v>902.74485254306217</v>
      </c>
      <c r="I37" s="282">
        <f t="shared" si="0"/>
        <v>897.81515132270738</v>
      </c>
      <c r="J37" s="282">
        <f t="shared" si="0"/>
        <v>776.35281117207626</v>
      </c>
      <c r="K37" s="282">
        <f t="shared" si="0"/>
        <v>779.85461313629855</v>
      </c>
      <c r="L37" s="282">
        <f t="shared" si="0"/>
        <v>784.32721118516565</v>
      </c>
      <c r="M37" s="282">
        <f t="shared" si="0"/>
        <v>790.36395318318637</v>
      </c>
      <c r="N37" s="282">
        <f t="shared" si="0"/>
        <v>795.22265130563653</v>
      </c>
      <c r="O37" s="283" t="str">
        <f>NA</f>
        <v>N/A</v>
      </c>
      <c r="P37" s="283" t="str">
        <f>NA</f>
        <v>N/A</v>
      </c>
    </row>
    <row r="38" spans="2:19" ht="13.8" thickBot="1" x14ac:dyDescent="0.55000000000000004">
      <c r="D38" s="279" t="s">
        <v>835</v>
      </c>
      <c r="E38" s="282">
        <f>IF(E$61=0,0,E36*Million/E$61)</f>
        <v>996.57757075457619</v>
      </c>
      <c r="F38" s="282">
        <f>IF(F$61=0,0,F36*Million/F$61)</f>
        <v>1036.0254880061846</v>
      </c>
      <c r="G38" s="282">
        <f>IF(G$61=0,0,G36*Million/G$61)</f>
        <v>848.37280833998102</v>
      </c>
      <c r="H38" s="282">
        <f>IF(H$61=0,0,H36*Million/H$61)</f>
        <v>902.74485254306217</v>
      </c>
      <c r="I38" s="282">
        <f>IF(I$61=0,0,I36*Million/I$61)</f>
        <v>897.81515132270738</v>
      </c>
      <c r="J38" s="282">
        <f>IF(J$61=0,0,(J36-'[5]Calc|Opex forecast'!$N$32)*Million/J$61)</f>
        <v>859.0182410791549</v>
      </c>
      <c r="K38" s="282">
        <f>IF(K$61=0,0,(K36-'[5]Calc|Opex forecast'!$N$32)*Million/K$61)</f>
        <v>861.77281103322082</v>
      </c>
      <c r="L38" s="282">
        <f>IF(L$61=0,0,(L36-'[5]Calc|Opex forecast'!$N$32)*Million/L$61)</f>
        <v>865.49563552300799</v>
      </c>
      <c r="M38" s="282">
        <f>IF(M$61=0,0,(M36-'[5]Calc|Opex forecast'!$N$32)*Million/M$61)</f>
        <v>871.17143414396901</v>
      </c>
      <c r="N38" s="282">
        <f>IF(N$61=0,0,(N36-'[5]Calc|Opex forecast'!$N$32)*Million/N$61)</f>
        <v>875.66870368618311</v>
      </c>
      <c r="O38" s="283" t="str">
        <f>NA</f>
        <v>N/A</v>
      </c>
      <c r="P38" s="283" t="str">
        <f>NA</f>
        <v>N/A</v>
      </c>
    </row>
    <row r="40" spans="2:19" x14ac:dyDescent="0.5">
      <c r="K40" s="406" t="s">
        <v>1012</v>
      </c>
      <c r="M40" s="413" t="s">
        <v>1013</v>
      </c>
      <c r="O40" s="406" t="s">
        <v>1014</v>
      </c>
    </row>
    <row r="41" spans="2:19" x14ac:dyDescent="0.5">
      <c r="J41" s="413" t="str">
        <f>D38</f>
        <v>Opex per Cust. (w/out efficiency) ($)</v>
      </c>
      <c r="K41" s="414">
        <f>AVERAGE(E38:I38)</f>
        <v>936.30717419330233</v>
      </c>
      <c r="M41" s="414">
        <f>AVERAGE(J38:N38)</f>
        <v>866.62536509310723</v>
      </c>
      <c r="O41" s="415">
        <f>M41-K41</f>
        <v>-69.681809100195096</v>
      </c>
    </row>
    <row r="42" spans="2:19" x14ac:dyDescent="0.5">
      <c r="J42" s="413" t="str">
        <f>D37</f>
        <v>Opex per Customer ($)</v>
      </c>
      <c r="K42" s="414">
        <f>AVERAGE(E37:I37)</f>
        <v>936.30717419330233</v>
      </c>
      <c r="M42" s="414">
        <f>AVERAGE(J37:N37)</f>
        <v>785.22424799647274</v>
      </c>
      <c r="O42" s="415">
        <f>M42-K42</f>
        <v>-151.08292619682959</v>
      </c>
    </row>
    <row r="43" spans="2:19" x14ac:dyDescent="0.5">
      <c r="K43" s="300"/>
      <c r="N43" s="407"/>
    </row>
    <row r="44" spans="2:19" x14ac:dyDescent="0.5">
      <c r="K44" s="300"/>
      <c r="N44" s="407"/>
    </row>
    <row r="58" spans="2:16" s="139" customFormat="1" x14ac:dyDescent="0.35">
      <c r="B58" s="139" t="s">
        <v>1638</v>
      </c>
      <c r="J58" s="302"/>
    </row>
    <row r="59" spans="2:16" ht="13.2" thickBot="1" x14ac:dyDescent="0.55000000000000004"/>
    <row r="60" spans="2:16" ht="13.2" thickBot="1" x14ac:dyDescent="0.55000000000000004">
      <c r="D60" s="206"/>
      <c r="E60" s="206" t="s">
        <v>246</v>
      </c>
      <c r="F60" s="206" t="s">
        <v>247</v>
      </c>
      <c r="G60" s="206" t="s">
        <v>248</v>
      </c>
      <c r="H60" s="206" t="s">
        <v>249</v>
      </c>
      <c r="I60" s="206" t="s">
        <v>250</v>
      </c>
      <c r="J60" s="303" t="s">
        <v>236</v>
      </c>
      <c r="K60" s="278" t="s">
        <v>237</v>
      </c>
      <c r="L60" s="278" t="s">
        <v>238</v>
      </c>
      <c r="M60" s="278" t="s">
        <v>239</v>
      </c>
      <c r="N60" s="278" t="s">
        <v>240</v>
      </c>
      <c r="O60" s="278" t="s">
        <v>830</v>
      </c>
      <c r="P60" s="278" t="s">
        <v>829</v>
      </c>
    </row>
    <row r="61" spans="2:16" ht="13.8" thickBot="1" x14ac:dyDescent="0.55000000000000004">
      <c r="D61" s="279" t="s">
        <v>888</v>
      </c>
      <c r="E61" s="281">
        <v>81111</v>
      </c>
      <c r="F61" s="281">
        <v>82915</v>
      </c>
      <c r="G61" s="281">
        <v>83587</v>
      </c>
      <c r="H61" s="281">
        <v>83959</v>
      </c>
      <c r="I61" s="281">
        <v>84420</v>
      </c>
      <c r="J61" s="281">
        <v>85072</v>
      </c>
      <c r="K61" s="281">
        <v>85848</v>
      </c>
      <c r="L61" s="281">
        <v>86641</v>
      </c>
      <c r="M61" s="281">
        <v>87028</v>
      </c>
      <c r="N61" s="281">
        <v>87419</v>
      </c>
      <c r="O61" s="283" t="str">
        <f>NA</f>
        <v>N/A</v>
      </c>
      <c r="P61" s="283" t="str">
        <f>NA</f>
        <v>N/A</v>
      </c>
    </row>
    <row r="62" spans="2:16" ht="13.8" thickBot="1" x14ac:dyDescent="0.55000000000000004">
      <c r="D62" s="279" t="s">
        <v>889</v>
      </c>
      <c r="E62" s="266">
        <f>'9'!E$28</f>
        <v>348.89</v>
      </c>
      <c r="F62" s="266">
        <f>'9'!F$28</f>
        <v>353.83000000000004</v>
      </c>
      <c r="G62" s="266">
        <f>'9'!G$28</f>
        <v>357.45929172399997</v>
      </c>
      <c r="H62" s="266">
        <f>'9'!H$28</f>
        <v>351.64025275700004</v>
      </c>
      <c r="I62" s="266">
        <f>'9'!I$28</f>
        <v>344.61873374300001</v>
      </c>
      <c r="J62" s="266">
        <f>'9'!J$28</f>
        <v>339.07925003499997</v>
      </c>
      <c r="K62" s="266">
        <f>'9'!K$28</f>
        <v>339.32073156500002</v>
      </c>
      <c r="L62" s="266">
        <f>'9'!L$28</f>
        <v>336.87572723300002</v>
      </c>
      <c r="M62" s="266">
        <f>'9'!M$28</f>
        <v>336.03994168899999</v>
      </c>
      <c r="N62" s="266">
        <f>'9'!N$28</f>
        <v>335.67859043299995</v>
      </c>
      <c r="O62" s="283" t="str">
        <f>NA</f>
        <v>N/A</v>
      </c>
      <c r="P62" s="283" t="str">
        <f>NA</f>
        <v>N/A</v>
      </c>
    </row>
    <row r="63" spans="2:16" x14ac:dyDescent="0.5">
      <c r="N63" s="408"/>
    </row>
    <row r="64" spans="2:16" x14ac:dyDescent="0.5">
      <c r="I64" s="204" t="s">
        <v>935</v>
      </c>
    </row>
    <row r="65" spans="9:9" x14ac:dyDescent="0.5">
      <c r="I65" s="411" t="s">
        <v>1623</v>
      </c>
    </row>
    <row r="68" spans="9:9" x14ac:dyDescent="0.5">
      <c r="I68" s="204"/>
    </row>
    <row r="69" spans="9:9" x14ac:dyDescent="0.5">
      <c r="I69" s="411"/>
    </row>
    <row r="82" spans="2:19" s="139" customFormat="1" x14ac:dyDescent="0.35">
      <c r="B82" s="139" t="s">
        <v>1639</v>
      </c>
      <c r="J82" s="302"/>
    </row>
    <row r="83" spans="2:19" ht="13.2" thickBot="1" x14ac:dyDescent="0.55000000000000004">
      <c r="B83" s="226"/>
    </row>
    <row r="84" spans="2:19" ht="13.2" thickBot="1" x14ac:dyDescent="0.55000000000000004">
      <c r="D84" s="146" t="s">
        <v>828</v>
      </c>
      <c r="E84" s="206" t="s">
        <v>246</v>
      </c>
      <c r="F84" s="206" t="s">
        <v>247</v>
      </c>
      <c r="G84" s="206" t="s">
        <v>248</v>
      </c>
      <c r="H84" s="206" t="s">
        <v>249</v>
      </c>
      <c r="I84" s="206" t="s">
        <v>250</v>
      </c>
      <c r="J84" s="303" t="s">
        <v>236</v>
      </c>
      <c r="K84" s="278" t="s">
        <v>237</v>
      </c>
      <c r="L84" s="278" t="s">
        <v>238</v>
      </c>
      <c r="M84" s="278" t="s">
        <v>239</v>
      </c>
      <c r="N84" s="278" t="s">
        <v>240</v>
      </c>
      <c r="O84" s="278" t="s">
        <v>891</v>
      </c>
      <c r="P84" s="278" t="s">
        <v>892</v>
      </c>
      <c r="Q84" s="290" t="s">
        <v>890</v>
      </c>
    </row>
    <row r="85" spans="2:19" ht="13.8" thickBot="1" x14ac:dyDescent="0.55000000000000004">
      <c r="D85" s="279" t="s">
        <v>834</v>
      </c>
      <c r="E85" s="282">
        <f>'10'!E14</f>
        <v>93.127177435620766</v>
      </c>
      <c r="F85" s="282">
        <f>'10'!F14</f>
        <v>80.360469791588031</v>
      </c>
      <c r="G85" s="282">
        <f>'10'!G14</f>
        <v>59.085274133730124</v>
      </c>
      <c r="H85" s="282">
        <f>'10'!H14</f>
        <v>51.984323017251796</v>
      </c>
      <c r="I85" s="282">
        <f>'10'!I14</f>
        <v>71.799968066820824</v>
      </c>
      <c r="J85" s="282">
        <f>'10'!E62</f>
        <v>106.62847438601433</v>
      </c>
      <c r="K85" s="282">
        <f>'10'!F62</f>
        <v>85.838024351250866</v>
      </c>
      <c r="L85" s="282">
        <f>'10'!G62</f>
        <v>108.18031417197174</v>
      </c>
      <c r="M85" s="282">
        <f>'10'!H62</f>
        <v>75.193635822841031</v>
      </c>
      <c r="N85" s="282">
        <f>'10'!I62</f>
        <v>69.804533180258048</v>
      </c>
      <c r="O85" s="282">
        <f>SUM(E85:I85)</f>
        <v>356.35721244501156</v>
      </c>
      <c r="P85" s="282">
        <f>SUM(J85:N85)</f>
        <v>445.64498191233599</v>
      </c>
      <c r="Q85" s="254">
        <f>P85/O85-1</f>
        <v>0.25055693093654496</v>
      </c>
      <c r="R85" s="299" t="str">
        <f>O84&amp;": "&amp;TEXT(O85,"$0.0")</f>
        <v>Period 1: $356.4</v>
      </c>
      <c r="S85" s="299" t="str">
        <f>P84&amp;": "&amp;TEXT(P85,"$0.0")&amp;IF(Q85&gt;=0," (+"," (-")&amp;TEXT(Q85,"0.00%")&amp;")"</f>
        <v>Period 2: $445.6 (+25.06%)</v>
      </c>
    </row>
    <row r="86" spans="2:19" ht="13.8" thickBot="1" x14ac:dyDescent="0.55000000000000004">
      <c r="D86" s="279" t="s">
        <v>833</v>
      </c>
      <c r="E86" s="282">
        <f t="shared" ref="E86:N86" si="1">IF(E$61=0,0,E85*Million/E$61)</f>
        <v>1148.1448562540318</v>
      </c>
      <c r="F86" s="282">
        <f t="shared" si="1"/>
        <v>969.19097619957836</v>
      </c>
      <c r="G86" s="282">
        <f t="shared" si="1"/>
        <v>706.8715725379559</v>
      </c>
      <c r="H86" s="282">
        <f t="shared" si="1"/>
        <v>619.16319890960824</v>
      </c>
      <c r="I86" s="282">
        <f t="shared" si="1"/>
        <v>850.50897970647748</v>
      </c>
      <c r="J86" s="282">
        <f t="shared" si="1"/>
        <v>1253.390943977035</v>
      </c>
      <c r="K86" s="282">
        <f t="shared" si="1"/>
        <v>999.8837987052799</v>
      </c>
      <c r="L86" s="282">
        <f t="shared" si="1"/>
        <v>1248.6041732202045</v>
      </c>
      <c r="M86" s="282">
        <f t="shared" si="1"/>
        <v>864.01659032542443</v>
      </c>
      <c r="N86" s="282">
        <f t="shared" si="1"/>
        <v>798.50528123472077</v>
      </c>
      <c r="O86" s="283" t="str">
        <f>NA</f>
        <v>N/A</v>
      </c>
      <c r="P86" s="283" t="str">
        <f>NA</f>
        <v>N/A</v>
      </c>
    </row>
    <row r="87" spans="2:19" x14ac:dyDescent="0.5">
      <c r="M87" s="407"/>
    </row>
    <row r="88" spans="2:19" x14ac:dyDescent="0.5">
      <c r="H88" s="407"/>
      <c r="J88" s="413" t="s">
        <v>1012</v>
      </c>
      <c r="K88" s="414">
        <f>AVERAGE(E86:I86)</f>
        <v>858.77591672153028</v>
      </c>
    </row>
    <row r="89" spans="2:19" x14ac:dyDescent="0.5">
      <c r="J89" s="413" t="s">
        <v>1013</v>
      </c>
      <c r="K89" s="414">
        <f>AVERAGE(J86:N86)</f>
        <v>1032.8801574925328</v>
      </c>
    </row>
    <row r="90" spans="2:19" x14ac:dyDescent="0.5">
      <c r="J90" s="413" t="s">
        <v>1014</v>
      </c>
      <c r="K90" s="415">
        <f>K89-K88</f>
        <v>174.10424077100254</v>
      </c>
    </row>
    <row r="106" spans="2:19" s="139" customFormat="1" x14ac:dyDescent="0.35">
      <c r="B106" s="139" t="s">
        <v>1777</v>
      </c>
      <c r="J106" s="302"/>
    </row>
    <row r="107" spans="2:19" ht="13.2" thickBot="1" x14ac:dyDescent="0.55000000000000004">
      <c r="B107" s="226"/>
    </row>
    <row r="108" spans="2:19" ht="13.2" thickBot="1" x14ac:dyDescent="0.55000000000000004">
      <c r="D108" s="146" t="s">
        <v>828</v>
      </c>
      <c r="E108" s="667" t="s">
        <v>246</v>
      </c>
      <c r="F108" s="667" t="s">
        <v>247</v>
      </c>
      <c r="G108" s="667" t="s">
        <v>248</v>
      </c>
      <c r="H108" s="667" t="s">
        <v>249</v>
      </c>
      <c r="I108" s="667" t="s">
        <v>250</v>
      </c>
      <c r="J108" s="303" t="s">
        <v>236</v>
      </c>
      <c r="K108" s="668" t="s">
        <v>237</v>
      </c>
      <c r="L108" s="668" t="s">
        <v>238</v>
      </c>
      <c r="M108" s="668" t="s">
        <v>239</v>
      </c>
      <c r="N108" s="668" t="s">
        <v>240</v>
      </c>
      <c r="O108" s="668" t="s">
        <v>891</v>
      </c>
      <c r="P108" s="668" t="s">
        <v>892</v>
      </c>
      <c r="Q108" s="668" t="s">
        <v>890</v>
      </c>
    </row>
    <row r="109" spans="2:19" ht="13.8" thickBot="1" x14ac:dyDescent="0.55000000000000004">
      <c r="D109" s="666" t="s">
        <v>1778</v>
      </c>
      <c r="E109" s="671">
        <v>155.27938326591433</v>
      </c>
      <c r="F109" s="671">
        <v>176.76167168816511</v>
      </c>
      <c r="G109" s="671">
        <v>176.69238587669662</v>
      </c>
      <c r="H109" s="671">
        <f>J120/Input_Inflation!S39</f>
        <v>181.85744946070827</v>
      </c>
      <c r="I109" s="671">
        <f>K120/Input_Inflation!T39</f>
        <v>179.83145840923561</v>
      </c>
      <c r="J109" s="282">
        <f>'[2]Revenue summary'!G44</f>
        <v>161.09232686868472</v>
      </c>
      <c r="K109" s="282">
        <f>'[2]Revenue summary'!H44</f>
        <v>166.53091124242047</v>
      </c>
      <c r="L109" s="282">
        <f>'[2]Revenue summary'!I44</f>
        <v>172.15310585113875</v>
      </c>
      <c r="M109" s="282">
        <f>'[2]Revenue summary'!J44</f>
        <v>177.96510949880647</v>
      </c>
      <c r="N109" s="282">
        <f>'[2]Revenue summary'!K44</f>
        <v>183.97333026514593</v>
      </c>
      <c r="O109" s="282">
        <f>SUM(E109:I109)</f>
        <v>870.42234870072002</v>
      </c>
      <c r="P109" s="282">
        <f>SUM(J109:N109)</f>
        <v>861.71478372619629</v>
      </c>
      <c r="Q109" s="254">
        <f>P109/O109-1</f>
        <v>-1.0003838926610165E-2</v>
      </c>
      <c r="R109" s="299" t="str">
        <f>O108&amp;": "&amp;TEXT(O109,"$0.0")</f>
        <v>Period 1: $870.4</v>
      </c>
      <c r="S109" s="299" t="str">
        <f>P108&amp;": "&amp;TEXT(P109,"$0.0")&amp;IF(Q109&gt;=0," (+"," (-")&amp;TEXT(Q109,"0.00%")&amp;")"</f>
        <v>Period 2: $861.7 (--1.00%)</v>
      </c>
    </row>
    <row r="110" spans="2:19" ht="13.8" thickBot="1" x14ac:dyDescent="0.55000000000000004">
      <c r="D110" s="666" t="s">
        <v>1779</v>
      </c>
      <c r="E110" s="282">
        <f t="shared" ref="E110:N110" si="2">IF(E$61=0,0,E109*Million/E$61)</f>
        <v>1914.4059778071326</v>
      </c>
      <c r="F110" s="282">
        <f t="shared" si="2"/>
        <v>2131.8419066292599</v>
      </c>
      <c r="G110" s="282">
        <f t="shared" si="2"/>
        <v>2113.8739980702335</v>
      </c>
      <c r="H110" s="282">
        <f t="shared" si="2"/>
        <v>2166.0268638348271</v>
      </c>
      <c r="I110" s="282">
        <f t="shared" si="2"/>
        <v>2130.1996968637241</v>
      </c>
      <c r="J110" s="282">
        <f t="shared" si="2"/>
        <v>1893.5998550484849</v>
      </c>
      <c r="K110" s="282">
        <f t="shared" si="2"/>
        <v>1939.8344893581734</v>
      </c>
      <c r="L110" s="282">
        <f t="shared" si="2"/>
        <v>1986.9704395279225</v>
      </c>
      <c r="M110" s="282">
        <f t="shared" si="2"/>
        <v>2044.917836774446</v>
      </c>
      <c r="N110" s="282">
        <f t="shared" si="2"/>
        <v>2104.5005120757037</v>
      </c>
      <c r="O110" s="283" t="str">
        <f>NA</f>
        <v>N/A</v>
      </c>
      <c r="P110" s="283" t="str">
        <f>NA</f>
        <v>N/A</v>
      </c>
    </row>
    <row r="111" spans="2:19" x14ac:dyDescent="0.5">
      <c r="M111" s="407"/>
    </row>
    <row r="112" spans="2:19" x14ac:dyDescent="0.5">
      <c r="H112" s="407"/>
      <c r="J112" s="413" t="s">
        <v>1012</v>
      </c>
      <c r="K112" s="414">
        <f>AVERAGE(E110:I110)</f>
        <v>2091.2696886410354</v>
      </c>
    </row>
    <row r="113" spans="10:11" x14ac:dyDescent="0.5">
      <c r="J113" s="413" t="s">
        <v>1013</v>
      </c>
      <c r="K113" s="414">
        <f>AVERAGE(J110:N110)</f>
        <v>1993.9646265569459</v>
      </c>
    </row>
    <row r="114" spans="10:11" x14ac:dyDescent="0.5">
      <c r="J114" s="413" t="s">
        <v>1780</v>
      </c>
      <c r="K114" s="415">
        <f>K112-K113</f>
        <v>97.305062084089514</v>
      </c>
    </row>
    <row r="118" spans="10:11" ht="13.2" thickBot="1" x14ac:dyDescent="0.55000000000000004">
      <c r="J118" s="774" t="s">
        <v>1781</v>
      </c>
      <c r="K118" s="774"/>
    </row>
    <row r="119" spans="10:11" ht="13.2" thickBot="1" x14ac:dyDescent="0.55000000000000004">
      <c r="J119" s="670" t="s">
        <v>249</v>
      </c>
      <c r="K119" s="669" t="s">
        <v>250</v>
      </c>
    </row>
    <row r="120" spans="10:11" ht="13.8" thickBot="1" x14ac:dyDescent="0.55000000000000004">
      <c r="J120" s="672">
        <f>'5'!M9</f>
        <v>176.10338068999999</v>
      </c>
      <c r="K120" s="672">
        <f>'5'!N9</f>
        <v>177.84186661021639</v>
      </c>
    </row>
    <row r="130" spans="2:2" s="139" customFormat="1" x14ac:dyDescent="0.35">
      <c r="B130" s="139" t="s">
        <v>32</v>
      </c>
    </row>
  </sheetData>
  <mergeCells count="1">
    <mergeCell ref="J118:K118"/>
  </mergeCells>
  <conditionalFormatting sqref="B2">
    <cfRule type="cellIs" dxfId="10" priority="1" operator="notEqual">
      <formula>"No Errors Found"</formula>
    </cfRule>
  </conditionalFormatting>
  <hyperlinks>
    <hyperlink ref="B3:D3" location="Cover!A1" display="Go to Cover Sheet" xr:uid="{00000000-0004-0000-27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tabColor rgb="FFFFFF00"/>
  </sheetPr>
  <dimension ref="A1:W272"/>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9" s="635" customFormat="1" ht="20.399999999999999" x14ac:dyDescent="0.7">
      <c r="A1" s="633">
        <f>IF(SUM($A6:$A204)&gt;0,1,0)</f>
        <v>0</v>
      </c>
      <c r="B1" s="634" t="s">
        <v>893</v>
      </c>
      <c r="I1" s="641" t="s">
        <v>1735</v>
      </c>
    </row>
    <row r="2" spans="1:9" s="636" customFormat="1" ht="10.199999999999999" x14ac:dyDescent="0.35">
      <c r="B2" s="637" t="str">
        <f>Title_Msg</f>
        <v>No Errors Found</v>
      </c>
    </row>
    <row r="3" spans="1:9" s="636" customFormat="1" ht="12.3" x14ac:dyDescent="0.35">
      <c r="B3" s="638" t="s">
        <v>51</v>
      </c>
      <c r="C3" s="638"/>
      <c r="D3" s="638"/>
      <c r="E3" s="639"/>
    </row>
    <row r="4" spans="1:9" s="636" customFormat="1" ht="12.3" x14ac:dyDescent="0.35">
      <c r="B4" s="640" t="str">
        <f>Model_Name</f>
        <v>Power and Water Corporation (PWC) - Regulatory Proposal Tables and Charts</v>
      </c>
    </row>
    <row r="6" spans="1:9" s="139" customFormat="1" x14ac:dyDescent="0.35">
      <c r="B6" s="139" t="s">
        <v>894</v>
      </c>
    </row>
    <row r="7" spans="1:9" ht="13.2" thickBot="1" x14ac:dyDescent="0.55000000000000004">
      <c r="D7" s="304"/>
      <c r="E7"/>
      <c r="F7"/>
    </row>
    <row r="8" spans="1:9" ht="39" thickBot="1" x14ac:dyDescent="0.55000000000000004">
      <c r="D8" s="214" t="s">
        <v>584</v>
      </c>
      <c r="E8" s="206" t="s">
        <v>585</v>
      </c>
      <c r="F8" s="206" t="s">
        <v>586</v>
      </c>
    </row>
    <row r="9" spans="1:9" ht="13.8" thickBot="1" x14ac:dyDescent="0.55000000000000004">
      <c r="D9" s="236" t="s">
        <v>1253</v>
      </c>
      <c r="E9" s="237" t="s">
        <v>97</v>
      </c>
      <c r="F9" s="237" t="s">
        <v>98</v>
      </c>
    </row>
    <row r="10" spans="1:9" ht="13.8" thickBot="1" x14ac:dyDescent="0.55000000000000004">
      <c r="D10" s="236" t="s">
        <v>604</v>
      </c>
      <c r="E10" s="237" t="s">
        <v>97</v>
      </c>
      <c r="F10" s="237" t="s">
        <v>97</v>
      </c>
    </row>
    <row r="11" spans="1:9" ht="27.3" thickBot="1" x14ac:dyDescent="0.55000000000000004">
      <c r="D11" s="236" t="s">
        <v>605</v>
      </c>
      <c r="E11" s="237" t="s">
        <v>98</v>
      </c>
      <c r="F11" s="237" t="s">
        <v>98</v>
      </c>
    </row>
    <row r="12" spans="1:9" x14ac:dyDescent="0.5">
      <c r="D12"/>
      <c r="E12"/>
      <c r="F12"/>
    </row>
    <row r="13" spans="1:9" s="139" customFormat="1" x14ac:dyDescent="0.35">
      <c r="B13" s="139" t="s">
        <v>1502</v>
      </c>
    </row>
    <row r="14" spans="1:9" x14ac:dyDescent="0.5">
      <c r="B14" s="226" t="s">
        <v>548</v>
      </c>
    </row>
    <row r="34" spans="2:9" s="139" customFormat="1" x14ac:dyDescent="0.35">
      <c r="B34" s="139" t="s">
        <v>895</v>
      </c>
    </row>
    <row r="35" spans="2:9" ht="13.2" thickBot="1" x14ac:dyDescent="0.55000000000000004"/>
    <row r="36" spans="2:9" ht="77.7" thickBot="1" x14ac:dyDescent="0.55000000000000004">
      <c r="D36" s="214" t="s">
        <v>1254</v>
      </c>
      <c r="E36" s="206" t="str">
        <f>[15]Output_NPV!K$11&amp;" (S1)"</f>
        <v>Base Case - Advanced capable meters (S1)</v>
      </c>
      <c r="F36" s="511" t="str">
        <f>[15]Output_NPV!L$11&amp;" (S2)"</f>
        <v>Targeted roll out (S2)</v>
      </c>
      <c r="G36" s="511" t="str">
        <f>[15]Output_NPV!M$11&amp;" (S3)"</f>
        <v>Advanced meters, enabled immediately (S3)</v>
      </c>
      <c r="H36" s="511" t="str">
        <f>[15]Output_NPV!N$11&amp;" (S4)"</f>
        <v>Advanced capable meters, enabled strategically (S4)</v>
      </c>
      <c r="I36" s="511" t="str">
        <f>[15]Output_NPV!O$11&amp;" (S5)"</f>
        <v>Transition via advanced meters (S5)</v>
      </c>
    </row>
    <row r="37" spans="2:9" ht="13.8" thickBot="1" x14ac:dyDescent="0.55000000000000004">
      <c r="D37" s="236" t="s">
        <v>908</v>
      </c>
      <c r="E37" s="191">
        <f>[15]Output_NPV!K35</f>
        <v>-126.17689975860938</v>
      </c>
      <c r="F37" s="191">
        <f>[15]Output_NPV!L35</f>
        <v>-141.07853680208373</v>
      </c>
      <c r="G37" s="191">
        <f>[15]Output_NPV!M35</f>
        <v>-140.83128653180469</v>
      </c>
      <c r="H37" s="191">
        <f>[15]Output_NPV!N35</f>
        <v>-140.69075745398814</v>
      </c>
      <c r="I37" s="191">
        <f>[15]Output_NPV!O35</f>
        <v>-141.15739262633372</v>
      </c>
    </row>
    <row r="39" spans="2:9" s="139" customFormat="1" x14ac:dyDescent="0.35">
      <c r="B39" s="139" t="s">
        <v>1255</v>
      </c>
    </row>
    <row r="40" spans="2:9" ht="13.2" thickBot="1" x14ac:dyDescent="0.55000000000000004"/>
    <row r="41" spans="2:9" ht="13.8" thickBot="1" x14ac:dyDescent="0.55000000000000004">
      <c r="D41" s="205" t="s">
        <v>896</v>
      </c>
      <c r="E41" s="206" t="s">
        <v>236</v>
      </c>
      <c r="F41" s="206" t="s">
        <v>237</v>
      </c>
      <c r="G41" s="206" t="s">
        <v>238</v>
      </c>
      <c r="H41" s="206" t="s">
        <v>239</v>
      </c>
      <c r="I41" s="206" t="s">
        <v>240</v>
      </c>
    </row>
    <row r="42" spans="2:9" ht="13.8" thickBot="1" x14ac:dyDescent="0.55000000000000004">
      <c r="D42" s="142" t="s">
        <v>897</v>
      </c>
      <c r="E42" s="265">
        <f>'9'!E79</f>
        <v>71219</v>
      </c>
      <c r="F42" s="144">
        <f>'9'!F79</f>
        <v>71937</v>
      </c>
      <c r="G42" s="144">
        <f>'9'!G79</f>
        <v>72668</v>
      </c>
      <c r="H42" s="144">
        <f>'9'!H79</f>
        <v>73054</v>
      </c>
      <c r="I42" s="144">
        <f>'9'!I79</f>
        <v>73442</v>
      </c>
    </row>
    <row r="43" spans="2:9" ht="13.8" thickBot="1" x14ac:dyDescent="0.55000000000000004">
      <c r="D43" s="142" t="s">
        <v>898</v>
      </c>
      <c r="E43" s="265">
        <f>'9'!E87</f>
        <v>12217</v>
      </c>
      <c r="F43" s="144">
        <f>'9'!F87</f>
        <v>12253</v>
      </c>
      <c r="G43" s="144">
        <f>'9'!G87</f>
        <v>12296</v>
      </c>
      <c r="H43" s="144">
        <f>'9'!H87</f>
        <v>12282</v>
      </c>
      <c r="I43" s="144">
        <f>'9'!I87</f>
        <v>12274</v>
      </c>
    </row>
    <row r="44" spans="2:9" ht="13.8" thickBot="1" x14ac:dyDescent="0.55000000000000004">
      <c r="D44" s="142" t="s">
        <v>899</v>
      </c>
      <c r="E44" s="265">
        <f>'9'!E95</f>
        <v>1636</v>
      </c>
      <c r="F44" s="144">
        <f>'9'!F95</f>
        <v>1658</v>
      </c>
      <c r="G44" s="144">
        <f>'9'!G95</f>
        <v>1677</v>
      </c>
      <c r="H44" s="144">
        <f>'9'!H95</f>
        <v>1692</v>
      </c>
      <c r="I44" s="144">
        <f>'9'!I95</f>
        <v>1703</v>
      </c>
    </row>
    <row r="45" spans="2:9" ht="13.2" thickBot="1" x14ac:dyDescent="0.55000000000000004">
      <c r="D45" s="151" t="s">
        <v>112</v>
      </c>
      <c r="E45" s="310">
        <f>SUM(E42:E44)</f>
        <v>85072</v>
      </c>
      <c r="F45" s="311">
        <f t="shared" ref="F45:I45" si="0">SUM(F42:F44)</f>
        <v>85848</v>
      </c>
      <c r="G45" s="311">
        <f t="shared" si="0"/>
        <v>86641</v>
      </c>
      <c r="H45" s="311">
        <f t="shared" si="0"/>
        <v>87028</v>
      </c>
      <c r="I45" s="311">
        <f t="shared" si="0"/>
        <v>87419</v>
      </c>
    </row>
    <row r="47" spans="2:9" s="139" customFormat="1" x14ac:dyDescent="0.35">
      <c r="B47" s="139" t="s">
        <v>1267</v>
      </c>
    </row>
    <row r="69" spans="1:23" s="139" customFormat="1" x14ac:dyDescent="0.35">
      <c r="B69" s="139" t="s">
        <v>1256</v>
      </c>
    </row>
    <row r="70" spans="1:23" ht="13.2" thickBot="1" x14ac:dyDescent="0.55000000000000004"/>
    <row r="71" spans="1:23" ht="26.65" customHeight="1" thickBot="1" x14ac:dyDescent="0.55000000000000004">
      <c r="D71" s="214" t="s">
        <v>245</v>
      </c>
      <c r="E71" s="206" t="s">
        <v>236</v>
      </c>
      <c r="F71" s="206" t="s">
        <v>237</v>
      </c>
      <c r="G71" s="206" t="s">
        <v>238</v>
      </c>
      <c r="H71" s="206" t="s">
        <v>239</v>
      </c>
      <c r="I71" s="206" t="s">
        <v>240</v>
      </c>
      <c r="J71" s="206" t="s">
        <v>112</v>
      </c>
      <c r="L71" s="779" t="s">
        <v>245</v>
      </c>
      <c r="M71" s="779"/>
      <c r="N71" s="537" t="s">
        <v>236</v>
      </c>
      <c r="O71" s="537" t="s">
        <v>237</v>
      </c>
      <c r="P71" s="537" t="s">
        <v>238</v>
      </c>
      <c r="Q71" s="537" t="s">
        <v>239</v>
      </c>
      <c r="R71" s="537" t="s">
        <v>240</v>
      </c>
      <c r="S71" s="537" t="s">
        <v>112</v>
      </c>
      <c r="V71" s="448" t="s">
        <v>1731</v>
      </c>
    </row>
    <row r="72" spans="1:23" ht="13.8" thickBot="1" x14ac:dyDescent="0.55000000000000004">
      <c r="D72" s="142" t="s">
        <v>900</v>
      </c>
      <c r="E72" s="191">
        <f>SUM(N72:N73,N75)</f>
        <v>3.2206919188170153</v>
      </c>
      <c r="F72" s="191">
        <f t="shared" ref="F72:I72" si="1">SUM(O72:O73,O75)</f>
        <v>3.4836470008914295</v>
      </c>
      <c r="G72" s="191">
        <f t="shared" si="1"/>
        <v>3.5754551577462319</v>
      </c>
      <c r="H72" s="191">
        <f t="shared" si="1"/>
        <v>3.1223019721070053</v>
      </c>
      <c r="I72" s="191">
        <f t="shared" si="1"/>
        <v>3.4019236418077514</v>
      </c>
      <c r="J72" s="191">
        <f t="shared" ref="J72:J74" si="2">SUM(E72:I72)</f>
        <v>16.804019691369433</v>
      </c>
      <c r="L72" s="777" t="str">
        <f>'[4]Metering total'!$D$10</f>
        <v>Mechanical Meters</v>
      </c>
      <c r="M72" s="777"/>
      <c r="N72" s="530">
        <f>'[4]Metering total'!J10</f>
        <v>0</v>
      </c>
      <c r="O72" s="530">
        <f>'[4]Metering total'!K10</f>
        <v>0</v>
      </c>
      <c r="P72" s="530">
        <f>'[4]Metering total'!L10</f>
        <v>0</v>
      </c>
      <c r="Q72" s="530">
        <f>'[4]Metering total'!M10</f>
        <v>0</v>
      </c>
      <c r="R72" s="530">
        <f>'[4]Metering total'!N10</f>
        <v>0</v>
      </c>
      <c r="S72" s="530">
        <f>SUM(N72:R72)</f>
        <v>0</v>
      </c>
      <c r="V72" s="537" t="s">
        <v>236</v>
      </c>
    </row>
    <row r="73" spans="1:23" ht="13.8" thickBot="1" x14ac:dyDescent="0.55000000000000004">
      <c r="D73" s="142" t="s">
        <v>666</v>
      </c>
      <c r="E73" s="191">
        <f>N74</f>
        <v>2.8937264124059219</v>
      </c>
      <c r="F73" s="191">
        <f t="shared" ref="F73:I73" si="3">O74</f>
        <v>0.18108991340109382</v>
      </c>
      <c r="G73" s="191">
        <f t="shared" si="3"/>
        <v>0.18586886542179418</v>
      </c>
      <c r="H73" s="191">
        <f t="shared" si="3"/>
        <v>4.1842500710275319</v>
      </c>
      <c r="I73" s="191">
        <f t="shared" si="3"/>
        <v>0.17794553146335981</v>
      </c>
      <c r="J73" s="191">
        <f t="shared" si="2"/>
        <v>7.6228807937197018</v>
      </c>
      <c r="K73" s="273"/>
      <c r="L73" s="777" t="str">
        <f>'[4]Metering total'!$D$11</f>
        <v>Electronic Meters</v>
      </c>
      <c r="M73" s="777"/>
      <c r="N73" s="530">
        <f>'[4]Metering total'!J11</f>
        <v>3.1024526467420319</v>
      </c>
      <c r="O73" s="530">
        <f>'[4]Metering total'!K11</f>
        <v>3.3579023421156879</v>
      </c>
      <c r="P73" s="530">
        <f>'[4]Metering total'!L11</f>
        <v>3.4486128324766074</v>
      </c>
      <c r="Q73" s="530">
        <f>'[4]Metering total'!M11</f>
        <v>3.0017606804949541</v>
      </c>
      <c r="R73" s="530">
        <f>'[4]Metering total'!N11</f>
        <v>3.2720958240965814</v>
      </c>
      <c r="S73" s="530">
        <f t="shared" ref="S73:S77" si="4">SUM(N73:R73)</f>
        <v>16.182824325925864</v>
      </c>
      <c r="V73" s="630">
        <f>([15]Calc_Scenario_3!$L$738+[15]Calc_Scenario_3!$L$779)/10^6*'[4]Metering | Escalation'!J29*Input_Inflation!U46</f>
        <v>16.029869977944411</v>
      </c>
      <c r="W73" s="468" t="s">
        <v>1732</v>
      </c>
    </row>
    <row r="74" spans="1:23" ht="13.8" thickBot="1" x14ac:dyDescent="0.55000000000000004">
      <c r="D74" s="142" t="s">
        <v>901</v>
      </c>
      <c r="E74" s="629">
        <f>SUM(N76:N77)</f>
        <v>0.53545475623705463</v>
      </c>
      <c r="F74" s="629">
        <f t="shared" ref="F74:I74" si="5">SUM(O76:O77)</f>
        <v>8.7677452010814436E-2</v>
      </c>
      <c r="G74" s="629">
        <f t="shared" si="5"/>
        <v>3.6555949221475016E-2</v>
      </c>
      <c r="H74" s="629">
        <f t="shared" si="5"/>
        <v>0.17139073170611852</v>
      </c>
      <c r="I74" s="629">
        <f t="shared" si="5"/>
        <v>0.11355279557728086</v>
      </c>
      <c r="J74" s="191">
        <f t="shared" si="2"/>
        <v>0.94463168475274339</v>
      </c>
      <c r="K74" s="273"/>
      <c r="L74" s="777" t="str">
        <f>'[4]Metering total'!$D$12</f>
        <v>Metering Communications</v>
      </c>
      <c r="M74" s="777"/>
      <c r="N74" s="530">
        <f>'[4]Metering total'!J12</f>
        <v>2.8937264124059219</v>
      </c>
      <c r="O74" s="530">
        <f>'[4]Metering total'!K12</f>
        <v>0.18108991340109382</v>
      </c>
      <c r="P74" s="530">
        <f>'[4]Metering total'!L12</f>
        <v>0.18586886542179418</v>
      </c>
      <c r="Q74" s="530">
        <f>'[4]Metering total'!M12</f>
        <v>4.1842500710275319</v>
      </c>
      <c r="R74" s="530">
        <f>'[4]Metering total'!N12</f>
        <v>0.17794553146335981</v>
      </c>
      <c r="S74" s="530">
        <f t="shared" si="4"/>
        <v>7.6228807937197018</v>
      </c>
    </row>
    <row r="75" spans="1:23" ht="13.8" thickBot="1" x14ac:dyDescent="0.55000000000000004">
      <c r="D75" s="142" t="s">
        <v>902</v>
      </c>
      <c r="E75" s="198">
        <f>SUM(E72:E74)</f>
        <v>6.6498730874599925</v>
      </c>
      <c r="F75" s="198">
        <f t="shared" ref="F75:J75" si="6">SUM(F72:F74)</f>
        <v>3.7524143663033378</v>
      </c>
      <c r="G75" s="198">
        <f t="shared" si="6"/>
        <v>3.7978799723895014</v>
      </c>
      <c r="H75" s="198">
        <f t="shared" si="6"/>
        <v>7.4779427748406562</v>
      </c>
      <c r="I75" s="198">
        <f t="shared" si="6"/>
        <v>3.693421968848392</v>
      </c>
      <c r="J75" s="198">
        <f t="shared" si="6"/>
        <v>25.371532169841878</v>
      </c>
      <c r="L75" s="777" t="str">
        <f>'[4]Metering total'!$D$13</f>
        <v>Metering Dedicated CTs and VTs</v>
      </c>
      <c r="M75" s="777"/>
      <c r="N75" s="530">
        <f>'[4]Metering total'!J13</f>
        <v>0.11823927207498335</v>
      </c>
      <c r="O75" s="530">
        <f>'[4]Metering total'!K13</f>
        <v>0.12574465877574173</v>
      </c>
      <c r="P75" s="530">
        <f>'[4]Metering total'!L13</f>
        <v>0.12684232526962469</v>
      </c>
      <c r="Q75" s="530">
        <f>'[4]Metering total'!M13</f>
        <v>0.12054129161205122</v>
      </c>
      <c r="R75" s="530">
        <f>'[4]Metering total'!N13</f>
        <v>0.12982781771117022</v>
      </c>
      <c r="S75" s="530">
        <f t="shared" si="4"/>
        <v>0.62119536544357123</v>
      </c>
      <c r="V75" s="537" t="s">
        <v>239</v>
      </c>
    </row>
    <row r="76" spans="1:23" ht="13.8" thickBot="1" x14ac:dyDescent="0.55000000000000004">
      <c r="L76" s="777" t="str">
        <f>'[4]Metering total'!$D$14</f>
        <v>Metering Non Network Other</v>
      </c>
      <c r="M76" s="777"/>
      <c r="N76" s="530">
        <f>'[4]Metering total'!J14+'[4]Metering total'!J16</f>
        <v>0.41796786841308375</v>
      </c>
      <c r="O76" s="530">
        <f>'[4]Metering total'!K14+'[4]Metering total'!K16</f>
        <v>8.7677452010814436E-2</v>
      </c>
      <c r="P76" s="530">
        <f>'[4]Metering total'!L14+'[4]Metering total'!L16</f>
        <v>3.6555949221475016E-2</v>
      </c>
      <c r="Q76" s="530">
        <f>'[4]Metering total'!M14+'[4]Metering total'!M16</f>
        <v>0.17139073170611852</v>
      </c>
      <c r="R76" s="530">
        <f>'[4]Metering total'!N14+'[4]Metering total'!N16</f>
        <v>0.11355279557728086</v>
      </c>
      <c r="S76" s="530">
        <f t="shared" si="4"/>
        <v>0.82714479692877252</v>
      </c>
      <c r="V76" s="630">
        <f>[15]Calc_Scenario_3!$O$820/10^6*'[4]Metering | Escalation'!M29*Input_Inflation!X46</f>
        <v>24.444975652405503</v>
      </c>
      <c r="W76" s="468" t="s">
        <v>1733</v>
      </c>
    </row>
    <row r="77" spans="1:23" ht="13.8" thickBot="1" x14ac:dyDescent="0.55000000000000004">
      <c r="A77" s="70">
        <f>IF(SUM(E77:I77)&lt;&gt;0,1,0)</f>
        <v>0</v>
      </c>
      <c r="D77" s="183" t="s">
        <v>820</v>
      </c>
      <c r="E77" s="268">
        <f>IF(ROUND(E75-('[7]PTRM input'!G71-'[7]PTRM input'!G70),3)&lt;&gt;0,1,0)</f>
        <v>0</v>
      </c>
      <c r="F77" s="268">
        <f>IF(ROUND(F75-('[7]PTRM input'!H71-'[7]PTRM input'!H70),3)&lt;&gt;0,1,0)</f>
        <v>0</v>
      </c>
      <c r="G77" s="268">
        <f>IF(ROUND(G75-('[7]PTRM input'!I71-'[7]PTRM input'!I70),3)&lt;&gt;0,1,0)</f>
        <v>0</v>
      </c>
      <c r="H77" s="268">
        <f>IF(ROUND(H75-('[7]PTRM input'!J71-'[7]PTRM input'!J70),3)&lt;&gt;0,1,0)</f>
        <v>0</v>
      </c>
      <c r="I77" s="268">
        <f>IF(ROUND(I75-('[7]PTRM input'!K71-'[7]PTRM input'!K70),3)&lt;&gt;0,1,0)</f>
        <v>0</v>
      </c>
      <c r="L77" s="777" t="str">
        <f>'[4]Metering total'!$D$15</f>
        <v>Metering Non Network IT and Communications</v>
      </c>
      <c r="M77" s="777"/>
      <c r="N77" s="530">
        <f>'[4]Metering total'!J15</f>
        <v>0.11748688782397088</v>
      </c>
      <c r="O77" s="530">
        <f>'[4]Metering total'!K15</f>
        <v>0</v>
      </c>
      <c r="P77" s="530">
        <f>'[4]Metering total'!L15</f>
        <v>0</v>
      </c>
      <c r="Q77" s="530">
        <f>'[4]Metering total'!M15</f>
        <v>0</v>
      </c>
      <c r="R77" s="530">
        <f>'[4]Metering total'!N15</f>
        <v>0</v>
      </c>
      <c r="S77" s="530">
        <f t="shared" si="4"/>
        <v>0.11748688782397088</v>
      </c>
    </row>
    <row r="78" spans="1:23" ht="13.5" customHeight="1" thickBot="1" x14ac:dyDescent="0.55000000000000004">
      <c r="A78" s="70">
        <f>IF(SUM(E78:I78)&lt;&gt;0,1,0)</f>
        <v>0</v>
      </c>
      <c r="D78" s="183" t="s">
        <v>1216</v>
      </c>
      <c r="E78" s="268">
        <f>IF(ROUND(E75+'[7]PTRM input'!G70-E143,3)&lt;&gt;0,1,0)</f>
        <v>0</v>
      </c>
      <c r="F78" s="268">
        <f>IF(ROUND(F75+'[7]PTRM input'!H70-F143,3)&lt;&gt;0,1,0)</f>
        <v>0</v>
      </c>
      <c r="G78" s="268">
        <f>IF(ROUND(G75+'[7]PTRM input'!I70-G143,3)&lt;&gt;0,1,0)</f>
        <v>0</v>
      </c>
      <c r="H78" s="268">
        <f>IF(ROUND(H75+'[7]PTRM input'!J70-H143,3)&lt;&gt;0,1,0)</f>
        <v>0</v>
      </c>
      <c r="I78" s="268">
        <f>IF(ROUND(I75+'[7]PTRM input'!K70-I143,3)&lt;&gt;0,1,0)</f>
        <v>0</v>
      </c>
      <c r="L78" s="778" t="s">
        <v>112</v>
      </c>
      <c r="M78" s="778"/>
      <c r="N78" s="534">
        <f>SUM(N72:N77)</f>
        <v>6.6498730874599916</v>
      </c>
      <c r="O78" s="534">
        <f t="shared" ref="O78:S78" si="7">SUM(O72:O77)</f>
        <v>3.7524143663033378</v>
      </c>
      <c r="P78" s="534">
        <f t="shared" si="7"/>
        <v>3.7978799723895018</v>
      </c>
      <c r="Q78" s="534">
        <f t="shared" si="7"/>
        <v>7.4779427748406562</v>
      </c>
      <c r="R78" s="534">
        <f t="shared" si="7"/>
        <v>3.693421968848392</v>
      </c>
      <c r="S78" s="534">
        <f t="shared" si="7"/>
        <v>25.371532169841885</v>
      </c>
    </row>
    <row r="80" spans="1:23" s="139" customFormat="1" x14ac:dyDescent="0.35">
      <c r="B80" s="139" t="s">
        <v>1257</v>
      </c>
    </row>
    <row r="81" spans="4:10" ht="13.2" thickBot="1" x14ac:dyDescent="0.55000000000000004"/>
    <row r="82" spans="4:10" ht="13.2" thickBot="1" x14ac:dyDescent="0.55000000000000004">
      <c r="D82" s="214" t="s">
        <v>245</v>
      </c>
      <c r="E82" s="206" t="s">
        <v>236</v>
      </c>
      <c r="F82" s="206" t="s">
        <v>237</v>
      </c>
      <c r="G82" s="206" t="s">
        <v>238</v>
      </c>
      <c r="H82" s="206" t="s">
        <v>239</v>
      </c>
      <c r="I82" s="206" t="s">
        <v>240</v>
      </c>
      <c r="J82" s="206" t="s">
        <v>112</v>
      </c>
    </row>
    <row r="83" spans="4:10" ht="27.3" thickBot="1" x14ac:dyDescent="0.55000000000000004">
      <c r="D83" s="236" t="s">
        <v>1767</v>
      </c>
      <c r="E83" s="191">
        <f>'[6]Calc|Opex forecast'!$N$34</f>
        <v>4.7206266810542896</v>
      </c>
      <c r="F83" s="191">
        <f>'[6]Calc|Opex forecast'!$N$34</f>
        <v>4.7206266810542896</v>
      </c>
      <c r="G83" s="191">
        <f>'[6]Calc|Opex forecast'!$N$34</f>
        <v>4.7206266810542896</v>
      </c>
      <c r="H83" s="191">
        <f>'[6]Calc|Opex forecast'!$N$34</f>
        <v>4.7206266810542896</v>
      </c>
      <c r="I83" s="191">
        <f>'[6]Calc|Opex forecast'!$N$34</f>
        <v>4.7206266810542896</v>
      </c>
      <c r="J83" s="191">
        <f t="shared" ref="J83:J89" si="8">SUM(E83:I83)</f>
        <v>23.60313340527145</v>
      </c>
    </row>
    <row r="84" spans="4:10" ht="13.8" thickBot="1" x14ac:dyDescent="0.55000000000000004">
      <c r="D84" s="236" t="s">
        <v>302</v>
      </c>
      <c r="E84" s="191">
        <f>'[6]Calc|Opex forecast'!O63</f>
        <v>0.20010969781340338</v>
      </c>
      <c r="F84" s="191">
        <f>'[6]Calc|Opex forecast'!P63</f>
        <v>6.6457144801812418E-2</v>
      </c>
      <c r="G84" s="191">
        <f>'[6]Calc|Opex forecast'!Q63</f>
        <v>-7.2311742461971029E-2</v>
      </c>
      <c r="H84" s="191">
        <f>'[6]Calc|Opex forecast'!R63</f>
        <v>-0.20718187390836507</v>
      </c>
      <c r="I84" s="191">
        <f>'[6]Calc|Opex forecast'!S63</f>
        <v>-0.33589766718517633</v>
      </c>
      <c r="J84" s="191">
        <f t="shared" si="8"/>
        <v>-0.34882444094029663</v>
      </c>
    </row>
    <row r="85" spans="4:10" ht="13.8" thickBot="1" x14ac:dyDescent="0.55000000000000004">
      <c r="D85" s="236" t="s">
        <v>303</v>
      </c>
      <c r="E85" s="191">
        <f>E$96*E97/SUM(E$97:E$99)</f>
        <v>3.149257612881725E-2</v>
      </c>
      <c r="F85" s="191">
        <f t="shared" ref="F85:I85" si="9">F$96*F97/SUM(F$97:F$99)</f>
        <v>6.8343769833863172E-2</v>
      </c>
      <c r="G85" s="191">
        <f t="shared" si="9"/>
        <v>0.10785860498370507</v>
      </c>
      <c r="H85" s="191">
        <f t="shared" si="9"/>
        <v>0.12997694401722951</v>
      </c>
      <c r="I85" s="191">
        <f t="shared" si="9"/>
        <v>0.15179280521308569</v>
      </c>
      <c r="J85" s="191">
        <f t="shared" si="8"/>
        <v>0.48946470017670074</v>
      </c>
    </row>
    <row r="86" spans="4:10" ht="13.8" thickBot="1" x14ac:dyDescent="0.55000000000000004">
      <c r="D86" s="236" t="s">
        <v>304</v>
      </c>
      <c r="E86" s="191">
        <f t="shared" ref="E86:I86" si="10">E$96*E98/SUM(E$97:E$99)</f>
        <v>2.5439312330317571E-2</v>
      </c>
      <c r="F86" s="191">
        <f t="shared" si="10"/>
        <v>5.4038596349144201E-2</v>
      </c>
      <c r="G86" s="191">
        <f t="shared" si="10"/>
        <v>8.879844851727707E-2</v>
      </c>
      <c r="H86" s="191">
        <f t="shared" si="10"/>
        <v>0.12690041601463006</v>
      </c>
      <c r="I86" s="191">
        <f t="shared" si="10"/>
        <v>0.15958918703351627</v>
      </c>
      <c r="J86" s="191">
        <f t="shared" si="8"/>
        <v>0.45476596024488519</v>
      </c>
    </row>
    <row r="87" spans="4:10" ht="13.8" thickBot="1" x14ac:dyDescent="0.55000000000000004">
      <c r="D87" s="236" t="s">
        <v>305</v>
      </c>
      <c r="E87" s="191">
        <f t="shared" ref="E87:I87" si="11">E$96*E99/SUM(E$97:E$99)</f>
        <v>0</v>
      </c>
      <c r="F87" s="191">
        <f t="shared" si="11"/>
        <v>0</v>
      </c>
      <c r="G87" s="191">
        <f t="shared" si="11"/>
        <v>0</v>
      </c>
      <c r="H87" s="191">
        <f t="shared" si="11"/>
        <v>0</v>
      </c>
      <c r="I87" s="191">
        <f t="shared" si="11"/>
        <v>0</v>
      </c>
      <c r="J87" s="191">
        <f t="shared" si="8"/>
        <v>0</v>
      </c>
    </row>
    <row r="88" spans="4:10" ht="13.8" thickBot="1" x14ac:dyDescent="0.55000000000000004">
      <c r="D88" s="236" t="s">
        <v>306</v>
      </c>
      <c r="E88" s="191">
        <f>E160</f>
        <v>8.6157966088687647E-3</v>
      </c>
      <c r="F88" s="191">
        <f t="shared" ref="F88:I88" si="12">F160</f>
        <v>1.1658136458819012E-2</v>
      </c>
      <c r="G88" s="191">
        <f t="shared" si="12"/>
        <v>1.2793723169807612E-2</v>
      </c>
      <c r="H88" s="191">
        <f t="shared" si="12"/>
        <v>1.3815206295113605E-2</v>
      </c>
      <c r="I88" s="191">
        <f t="shared" si="12"/>
        <v>1.6659019800771512E-2</v>
      </c>
      <c r="J88" s="191">
        <f t="shared" si="8"/>
        <v>6.3541882333380498E-2</v>
      </c>
    </row>
    <row r="89" spans="4:10" ht="13.2" thickBot="1" x14ac:dyDescent="0.55000000000000004">
      <c r="D89" s="244" t="s">
        <v>298</v>
      </c>
      <c r="E89" s="198">
        <f>SUM(E83:E88)</f>
        <v>4.9862840639356962</v>
      </c>
      <c r="F89" s="198">
        <f>SUM(F83:F88)</f>
        <v>4.9211243284979282</v>
      </c>
      <c r="G89" s="198">
        <f>SUM(G83:G88)</f>
        <v>4.8577657152631089</v>
      </c>
      <c r="H89" s="198">
        <f>SUM(H83:H88)</f>
        <v>4.7841373734728982</v>
      </c>
      <c r="I89" s="198">
        <f>SUM(I83:I88)</f>
        <v>4.7127700259164866</v>
      </c>
      <c r="J89" s="198">
        <f t="shared" si="8"/>
        <v>24.262081507086119</v>
      </c>
    </row>
    <row r="91" spans="4:10" ht="13.5" x14ac:dyDescent="0.5">
      <c r="D91" s="450" t="s">
        <v>383</v>
      </c>
      <c r="E91" s="600">
        <f>'[6]Calc|Opex forecast'!O47</f>
        <v>1.2060239520236715E-2</v>
      </c>
      <c r="F91" s="600">
        <f>'[6]Calc|Opex forecast'!P47</f>
        <v>1.3699565745049158E-2</v>
      </c>
      <c r="G91" s="600">
        <f>'[6]Calc|Opex forecast'!Q47</f>
        <v>1.5336475028958407E-2</v>
      </c>
      <c r="H91" s="600">
        <f>'[6]Calc|Opex forecast'!R47</f>
        <v>1.2246660917223595E-2</v>
      </c>
      <c r="I91" s="600">
        <f>'[6]Calc|Opex forecast'!S47</f>
        <v>1.095019346339865E-2</v>
      </c>
      <c r="J91" s="601"/>
    </row>
    <row r="92" spans="4:10" ht="13.5" x14ac:dyDescent="0.5">
      <c r="D92" s="450" t="s">
        <v>303</v>
      </c>
      <c r="E92" s="600">
        <f>'[6]Calc|Opex forecast'!O41</f>
        <v>6.6515010053349293E-3</v>
      </c>
      <c r="F92" s="600">
        <f>'[6]Calc|Opex forecast'!P41</f>
        <v>7.6836940913239645E-3</v>
      </c>
      <c r="G92" s="600">
        <f>'[6]Calc|Opex forecast'!Q41</f>
        <v>8.1143438694775173E-3</v>
      </c>
      <c r="H92" s="600">
        <f>'[6]Calc|Opex forecast'!R41</f>
        <v>4.4511158074421325E-3</v>
      </c>
      <c r="I92" s="600">
        <f>'[6]Calc|Opex forecast'!S41</f>
        <v>4.3545968260421406E-3</v>
      </c>
      <c r="J92" s="601"/>
    </row>
    <row r="93" spans="4:10" ht="13.5" x14ac:dyDescent="0.5">
      <c r="D93" s="450" t="s">
        <v>304</v>
      </c>
      <c r="E93" s="600">
        <f>'[6]Calc|Opex forecast'!O43</f>
        <v>5.3730000000000002E-3</v>
      </c>
      <c r="F93" s="600">
        <f>'[6]Calc|Opex forecast'!P43</f>
        <v>5.9699999999999987E-3</v>
      </c>
      <c r="G93" s="600">
        <f>'[6]Calc|Opex forecast'!Q43</f>
        <v>7.1640000000000002E-3</v>
      </c>
      <c r="H93" s="600">
        <f>'[6]Calc|Opex forecast'!R43</f>
        <v>7.7610000000000005E-3</v>
      </c>
      <c r="I93" s="600">
        <f>'[6]Calc|Opex forecast'!S43</f>
        <v>6.5669999999999991E-3</v>
      </c>
      <c r="J93" s="601"/>
    </row>
    <row r="94" spans="4:10" ht="13.5" x14ac:dyDescent="0.5">
      <c r="D94" s="450" t="s">
        <v>305</v>
      </c>
      <c r="E94" s="600">
        <f>'[6]Calc|Opex forecast'!O45</f>
        <v>0</v>
      </c>
      <c r="F94" s="600">
        <f>'[6]Calc|Opex forecast'!P45</f>
        <v>0</v>
      </c>
      <c r="G94" s="600">
        <f>'[6]Calc|Opex forecast'!Q45</f>
        <v>0</v>
      </c>
      <c r="H94" s="600">
        <f>'[6]Calc|Opex forecast'!R45</f>
        <v>0</v>
      </c>
      <c r="I94" s="600">
        <f>'[6]Calc|Opex forecast'!S45</f>
        <v>0</v>
      </c>
      <c r="J94" s="601"/>
    </row>
    <row r="95" spans="4:10" ht="13.5" x14ac:dyDescent="0.5">
      <c r="D95" s="450"/>
      <c r="E95" s="602"/>
      <c r="F95" s="602"/>
      <c r="G95" s="468"/>
      <c r="H95" s="468"/>
      <c r="I95" s="468"/>
      <c r="J95" s="601"/>
    </row>
    <row r="96" spans="4:10" ht="13.5" x14ac:dyDescent="0.5">
      <c r="D96" s="450" t="s">
        <v>383</v>
      </c>
      <c r="E96" s="603">
        <f t="array" ref="E96">(PRODUCT(1+$E91:E91)-1)*E$83</f>
        <v>5.693188845913482E-2</v>
      </c>
      <c r="F96" s="603">
        <f t="array" ref="F96">(PRODUCT(1+$E91:F91)-1)*F$83</f>
        <v>0.12238236618300737</v>
      </c>
      <c r="G96" s="603">
        <f t="array" ref="G96">(PRODUCT(1+$E91:G91)-1)*G$83</f>
        <v>0.19665705350098214</v>
      </c>
      <c r="H96" s="603">
        <f t="array" ref="H96">(PRODUCT(1+$E91:H91)-1)*H$83</f>
        <v>0.25687736003185957</v>
      </c>
      <c r="I96" s="603">
        <f t="array" ref="I96">(PRODUCT(1+$E91:I91)-1)*I$83</f>
        <v>0.31138199224660196</v>
      </c>
      <c r="J96" s="601">
        <f>SUM(E96:I96)</f>
        <v>0.94423066042158577</v>
      </c>
    </row>
    <row r="97" spans="1:10" ht="13.5" x14ac:dyDescent="0.5">
      <c r="D97" s="450" t="s">
        <v>303</v>
      </c>
      <c r="E97" s="603">
        <f t="array" ref="E97">(PRODUCT(1+$E92:E92)-1)*E$83</f>
        <v>3.1399253114843637E-2</v>
      </c>
      <c r="F97" s="603">
        <f t="array" ref="F97">(PRODUCT(1+$E92:F92)-1)*F$83</f>
        <v>6.791236670703675E-2</v>
      </c>
      <c r="G97" s="603">
        <f t="array" ref="G97">(PRODUCT(1+$E92:G92)-1)*G$83</f>
        <v>0.10676821917299288</v>
      </c>
      <c r="H97" s="603">
        <f t="array" ref="H97">(PRODUCT(1+$E92:H92)-1)*H$83</f>
        <v>0.12825551292215964</v>
      </c>
      <c r="I97" s="603">
        <f t="array" ref="I97">(PRODUCT(1+$E92:I92)-1)*I$83</f>
        <v>0.14937043993390151</v>
      </c>
      <c r="J97" s="601">
        <f>SUM(E97:I97)</f>
        <v>0.48370579185093443</v>
      </c>
    </row>
    <row r="98" spans="1:10" ht="13.5" x14ac:dyDescent="0.5">
      <c r="D98" s="450" t="s">
        <v>304</v>
      </c>
      <c r="E98" s="603">
        <f t="array" ref="E98">(PRODUCT(1+$E93:E93)-1)*E$83</f>
        <v>2.5363927157305038E-2</v>
      </c>
      <c r="F98" s="603">
        <f t="array" ref="F98">(PRODUCT(1+$E93:F93)-1)*F$83</f>
        <v>5.3697491088328157E-2</v>
      </c>
      <c r="G98" s="603">
        <f t="array" ref="G98">(PRODUCT(1+$E93:G93)-1)*G$83</f>
        <v>8.7900749457557867E-2</v>
      </c>
      <c r="H98" s="603">
        <f t="array" ref="H98">(PRODUCT(1+$E93:H93)-1)*H$83</f>
        <v>0.12521973084575944</v>
      </c>
      <c r="I98" s="603">
        <f t="array" ref="I98">(PRODUCT(1+$E93:I93)-1)*I$83</f>
        <v>0.15704240423270735</v>
      </c>
      <c r="J98" s="601">
        <f>SUM(E98:I98)</f>
        <v>0.44922430278165781</v>
      </c>
    </row>
    <row r="99" spans="1:10" ht="13.5" x14ac:dyDescent="0.5">
      <c r="D99" s="450" t="s">
        <v>305</v>
      </c>
      <c r="E99" s="603">
        <f t="array" ref="E99">(PRODUCT(1+$E94:E94)-1)*E$83</f>
        <v>0</v>
      </c>
      <c r="F99" s="603">
        <f t="array" ref="F99">(PRODUCT(1+$E94:F94)-1)*F$83</f>
        <v>0</v>
      </c>
      <c r="G99" s="603">
        <f t="array" ref="G99">(PRODUCT(1+$E94:G94)-1)*G$83</f>
        <v>0</v>
      </c>
      <c r="H99" s="603">
        <f t="array" ref="H99">(PRODUCT(1+$E94:H94)-1)*H$83</f>
        <v>0</v>
      </c>
      <c r="I99" s="603">
        <f t="array" ref="I99">(PRODUCT(1+$E94:I94)-1)*I$83</f>
        <v>0</v>
      </c>
      <c r="J99" s="601">
        <f>SUM(E99:I99)</f>
        <v>0</v>
      </c>
    </row>
    <row r="100" spans="1:10" ht="13.5" x14ac:dyDescent="0.5">
      <c r="D100" s="450" t="s">
        <v>384</v>
      </c>
      <c r="E100" s="603">
        <f t="shared" ref="E100:J100" si="13">E96-SUM(E97:E98)</f>
        <v>1.6870818698614537E-4</v>
      </c>
      <c r="F100" s="603">
        <f t="shared" ref="F100:I100" si="14">F96-SUM(F97:F98)</f>
        <v>7.7250838764246488E-4</v>
      </c>
      <c r="G100" s="603">
        <f t="shared" si="14"/>
        <v>1.9880848704313947E-3</v>
      </c>
      <c r="H100" s="603">
        <f t="shared" si="14"/>
        <v>3.4021162639404912E-3</v>
      </c>
      <c r="I100" s="603">
        <f t="shared" si="14"/>
        <v>4.969148079993102E-3</v>
      </c>
      <c r="J100" s="603">
        <f t="shared" si="13"/>
        <v>1.1300565788993522E-2</v>
      </c>
    </row>
    <row r="101" spans="1:10" ht="13.5" x14ac:dyDescent="0.5">
      <c r="D101" s="196"/>
      <c r="E101" s="194"/>
      <c r="F101" s="194"/>
      <c r="G101" s="194"/>
      <c r="H101" s="194"/>
      <c r="I101" s="194"/>
      <c r="J101" s="194"/>
    </row>
    <row r="102" spans="1:10" ht="13.5" x14ac:dyDescent="0.5">
      <c r="A102" s="70">
        <f>IF(SUM(E102:I102)&lt;&gt;0,1,0)</f>
        <v>0</v>
      </c>
      <c r="D102" s="183" t="s">
        <v>116</v>
      </c>
      <c r="E102" s="268">
        <f>IF(ROUND(E89-'[7]PTRM input'!G187,3)&lt;&gt;0,1,0)</f>
        <v>0</v>
      </c>
      <c r="F102" s="268">
        <f>IF(ROUND(F89-'[7]PTRM input'!H187,3)&lt;&gt;0,1,0)</f>
        <v>0</v>
      </c>
      <c r="G102" s="268">
        <f>IF(ROUND(G89-'[7]PTRM input'!I187,3)&lt;&gt;0,1,0)</f>
        <v>0</v>
      </c>
      <c r="H102" s="268">
        <f>IF(ROUND(H89-'[7]PTRM input'!J187,3)&lt;&gt;0,1,0)</f>
        <v>0</v>
      </c>
      <c r="I102" s="268">
        <f>IF(ROUND(I89-'[7]PTRM input'!K187,3)&lt;&gt;0,1,0)</f>
        <v>0</v>
      </c>
    </row>
    <row r="104" spans="1:10" s="302" customFormat="1" x14ac:dyDescent="0.35">
      <c r="B104" s="302" t="s">
        <v>1258</v>
      </c>
    </row>
    <row r="105" spans="1:10" ht="13.2" thickBot="1" x14ac:dyDescent="0.55000000000000004"/>
    <row r="106" spans="1:10" ht="13.8" thickBot="1" x14ac:dyDescent="0.55000000000000004">
      <c r="D106" s="214" t="s">
        <v>245</v>
      </c>
      <c r="E106" s="239" t="s">
        <v>236</v>
      </c>
      <c r="F106" s="239" t="s">
        <v>237</v>
      </c>
      <c r="G106" s="239" t="s">
        <v>238</v>
      </c>
      <c r="H106" s="239" t="s">
        <v>239</v>
      </c>
      <c r="I106" s="239" t="s">
        <v>240</v>
      </c>
      <c r="J106" s="239" t="s">
        <v>112</v>
      </c>
    </row>
    <row r="107" spans="1:10" ht="13.8" thickBot="1" x14ac:dyDescent="0.55000000000000004">
      <c r="D107" s="236" t="s">
        <v>903</v>
      </c>
      <c r="E107" s="191">
        <f>E83</f>
        <v>4.7206266810542896</v>
      </c>
      <c r="F107" s="191">
        <f>F83</f>
        <v>4.7206266810542896</v>
      </c>
      <c r="G107" s="191">
        <f>G83</f>
        <v>4.7206266810542896</v>
      </c>
      <c r="H107" s="191">
        <f>H83</f>
        <v>4.7206266810542896</v>
      </c>
      <c r="I107" s="191">
        <f>I83</f>
        <v>4.7206266810542896</v>
      </c>
      <c r="J107" s="191">
        <f>SUM(E107:I107)</f>
        <v>23.60313340527145</v>
      </c>
    </row>
    <row r="109" spans="1:10" s="302" customFormat="1" x14ac:dyDescent="0.35">
      <c r="B109" s="302" t="s">
        <v>1259</v>
      </c>
    </row>
    <row r="110" spans="1:10" ht="13.2" thickBot="1" x14ac:dyDescent="0.55000000000000004"/>
    <row r="111" spans="1:10" ht="13.2" thickBot="1" x14ac:dyDescent="0.55000000000000004">
      <c r="D111" s="305" t="s">
        <v>904</v>
      </c>
      <c r="E111" s="306" t="s">
        <v>236</v>
      </c>
      <c r="F111" s="306" t="s">
        <v>237</v>
      </c>
      <c r="G111" s="306" t="s">
        <v>238</v>
      </c>
      <c r="H111" s="306" t="s">
        <v>239</v>
      </c>
      <c r="I111" s="306" t="s">
        <v>240</v>
      </c>
      <c r="J111" s="206" t="s">
        <v>112</v>
      </c>
    </row>
    <row r="112" spans="1:10" ht="13.8" thickBot="1" x14ac:dyDescent="0.55000000000000004">
      <c r="D112" s="236" t="str">
        <f>'[6]Calc|Opex forecast'!C53</f>
        <v>Inspection and testing</v>
      </c>
      <c r="E112" s="477">
        <f>'[6]Calc|Opex forecast'!O53*10^3</f>
        <v>312.41898539999994</v>
      </c>
      <c r="F112" s="477">
        <f>'[6]Calc|Opex forecast'!P53*10^3</f>
        <v>312.41898539999994</v>
      </c>
      <c r="G112" s="477">
        <f>'[6]Calc|Opex forecast'!Q53*10^3</f>
        <v>312.41898539999994</v>
      </c>
      <c r="H112" s="477">
        <f>'[6]Calc|Opex forecast'!R53*10^3</f>
        <v>312.41898539999994</v>
      </c>
      <c r="I112" s="477">
        <f>'[6]Calc|Opex forecast'!S53*10^3</f>
        <v>312.41898539999994</v>
      </c>
      <c r="J112" s="478">
        <f t="shared" ref="J112" si="15">SUM(E112:I112)</f>
        <v>1562.0949269999996</v>
      </c>
    </row>
    <row r="113" spans="1:14" ht="13.8" thickBot="1" x14ac:dyDescent="0.55000000000000004">
      <c r="D113" s="236" t="str">
        <f>'[6]Calc|Opex forecast'!C54</f>
        <v>Metering Compliance Type 1-6</v>
      </c>
      <c r="E113" s="477">
        <f>'[6]Calc|Opex forecast'!O54*10^3</f>
        <v>39.14602395</v>
      </c>
      <c r="F113" s="477">
        <f>'[6]Calc|Opex forecast'!P54*10^3</f>
        <v>39.14602395</v>
      </c>
      <c r="G113" s="477">
        <f>'[6]Calc|Opex forecast'!Q54*10^3</f>
        <v>39.14602395</v>
      </c>
      <c r="H113" s="477">
        <f>'[6]Calc|Opex forecast'!R54*10^3</f>
        <v>39.14602395</v>
      </c>
      <c r="I113" s="477">
        <f>'[6]Calc|Opex forecast'!S54*10^3</f>
        <v>39.14602395</v>
      </c>
      <c r="J113" s="478">
        <f t="shared" ref="J113:J114" si="16">SUM(E113:I113)</f>
        <v>195.73011975</v>
      </c>
    </row>
    <row r="114" spans="1:14" ht="13.8" thickBot="1" x14ac:dyDescent="0.55000000000000004">
      <c r="D114" s="236" t="str">
        <f>'[6]Calc|Opex forecast'!C55</f>
        <v>Souther Region metering technicians</v>
      </c>
      <c r="E114" s="477">
        <f>'[6]Calc|Opex forecast'!O55*10^3</f>
        <v>312.41898539999994</v>
      </c>
      <c r="F114" s="477">
        <f>'[6]Calc|Opex forecast'!P55*10^3</f>
        <v>312.41898539999994</v>
      </c>
      <c r="G114" s="477">
        <f>'[6]Calc|Opex forecast'!Q55*10^3</f>
        <v>312.41898539999994</v>
      </c>
      <c r="H114" s="477">
        <f>'[6]Calc|Opex forecast'!R55*10^3</f>
        <v>312.41898539999994</v>
      </c>
      <c r="I114" s="477">
        <f>'[6]Calc|Opex forecast'!S55*10^3</f>
        <v>312.41898539999994</v>
      </c>
      <c r="J114" s="478">
        <f t="shared" si="16"/>
        <v>1562.0949269999996</v>
      </c>
    </row>
    <row r="115" spans="1:14" ht="13.8" thickBot="1" x14ac:dyDescent="0.55000000000000004">
      <c r="D115" s="644" t="str">
        <f>[15]Output_AER_Step!D19</f>
        <v>Net reduction in manual meter reading</v>
      </c>
      <c r="E115" s="631" t="s">
        <v>1782</v>
      </c>
      <c r="F115" s="631" t="s">
        <v>1782</v>
      </c>
      <c r="G115" s="631" t="s">
        <v>1782</v>
      </c>
      <c r="H115" s="631" t="s">
        <v>1782</v>
      </c>
      <c r="I115" s="631" t="s">
        <v>1782</v>
      </c>
      <c r="J115" s="632" t="s">
        <v>1782</v>
      </c>
      <c r="K115" s="775" t="s">
        <v>1734</v>
      </c>
      <c r="L115" s="776"/>
      <c r="M115" s="776"/>
      <c r="N115" s="776"/>
    </row>
    <row r="116" spans="1:14" ht="13.8" thickBot="1" x14ac:dyDescent="0.55000000000000004">
      <c r="D116" s="644" t="str">
        <f>[15]Output_AER_Step!D21</f>
        <v>Total Supplier Communication costs</v>
      </c>
      <c r="E116" s="631" t="s">
        <v>1782</v>
      </c>
      <c r="F116" s="631" t="s">
        <v>1782</v>
      </c>
      <c r="G116" s="631" t="s">
        <v>1782</v>
      </c>
      <c r="H116" s="631" t="s">
        <v>1782</v>
      </c>
      <c r="I116" s="631" t="s">
        <v>1782</v>
      </c>
      <c r="J116" s="632" t="s">
        <v>1782</v>
      </c>
      <c r="K116" s="775"/>
      <c r="L116" s="776"/>
      <c r="M116" s="776"/>
      <c r="N116" s="776"/>
    </row>
    <row r="117" spans="1:14" ht="13.2" thickBot="1" x14ac:dyDescent="0.55000000000000004">
      <c r="D117" s="244" t="s">
        <v>112</v>
      </c>
      <c r="E117" s="424">
        <v>200.10969781340341</v>
      </c>
      <c r="F117" s="424">
        <v>66.457144801812746</v>
      </c>
      <c r="G117" s="424">
        <v>-72.311742461970738</v>
      </c>
      <c r="H117" s="424">
        <v>-207.18187390836471</v>
      </c>
      <c r="I117" s="424">
        <v>-335.89766718517581</v>
      </c>
      <c r="J117" s="424">
        <v>-348.8244409402962</v>
      </c>
    </row>
    <row r="119" spans="1:14" ht="13.5" x14ac:dyDescent="0.5">
      <c r="A119" s="70">
        <f>IF(SUM(E119:H119)&lt;&gt;0,1,0)</f>
        <v>0</v>
      </c>
      <c r="D119" s="183" t="s">
        <v>116</v>
      </c>
      <c r="E119" s="268">
        <f>IF(ROUND(E117-SUM('[6]Calc|Opex forecast'!O$53:O$61)*10^3,3)&lt;&gt;0,1,0)</f>
        <v>0</v>
      </c>
      <c r="F119" s="268">
        <f>IF(ROUND(F117-SUM('[6]Calc|Opex forecast'!P$53:P$61)*10^3,3)&lt;&gt;0,1,0)</f>
        <v>0</v>
      </c>
      <c r="G119" s="268">
        <f>IF(ROUND(G117-SUM('[6]Calc|Opex forecast'!Q$53:Q$61)*10^3,3)&lt;&gt;0,1,0)</f>
        <v>0</v>
      </c>
      <c r="H119" s="268">
        <f>IF(ROUND(H117-SUM('[6]Calc|Opex forecast'!R$53:R$61)*10^3,3)&lt;&gt;0,1,0)</f>
        <v>0</v>
      </c>
      <c r="I119" s="268">
        <f>IF(ROUND(I117-SUM('[6]Calc|Opex forecast'!S$53:S$61)*10^3,3)&lt;&gt;0,1,0)</f>
        <v>0</v>
      </c>
    </row>
    <row r="121" spans="1:14" s="302" customFormat="1" x14ac:dyDescent="0.35">
      <c r="B121" s="302" t="s">
        <v>1729</v>
      </c>
    </row>
    <row r="122" spans="1:14" ht="13.2" thickBot="1" x14ac:dyDescent="0.55000000000000004"/>
    <row r="123" spans="1:14" ht="13.2" thickBot="1" x14ac:dyDescent="0.55000000000000004">
      <c r="D123" s="214" t="s">
        <v>245</v>
      </c>
      <c r="E123" s="206" t="s">
        <v>236</v>
      </c>
      <c r="F123" s="206" t="s">
        <v>237</v>
      </c>
      <c r="G123" s="206" t="s">
        <v>238</v>
      </c>
      <c r="H123" s="206" t="s">
        <v>239</v>
      </c>
      <c r="I123" s="206" t="s">
        <v>240</v>
      </c>
      <c r="J123" s="206" t="s">
        <v>112</v>
      </c>
    </row>
    <row r="124" spans="1:14" ht="13.8" thickBot="1" x14ac:dyDescent="0.55000000000000004">
      <c r="D124" s="236" t="s">
        <v>303</v>
      </c>
      <c r="E124" s="312">
        <f>E85</f>
        <v>3.149257612881725E-2</v>
      </c>
      <c r="F124" s="312">
        <f>F85</f>
        <v>6.8343769833863172E-2</v>
      </c>
      <c r="G124" s="312">
        <f>G85</f>
        <v>0.10785860498370507</v>
      </c>
      <c r="H124" s="312">
        <f>H85</f>
        <v>0.12997694401722951</v>
      </c>
      <c r="I124" s="312">
        <f>I85</f>
        <v>0.15179280521308569</v>
      </c>
      <c r="J124" s="191">
        <f>SUM(E124:I124)</f>
        <v>0.48946470017670074</v>
      </c>
    </row>
    <row r="125" spans="1:14" ht="13.8" thickBot="1" x14ac:dyDescent="0.55000000000000004">
      <c r="D125" s="236" t="s">
        <v>910</v>
      </c>
      <c r="E125" s="313">
        <f>'[6]Calc|Opex forecast'!O41</f>
        <v>6.6515010053349293E-3</v>
      </c>
      <c r="F125" s="313">
        <f>'[6]Calc|Opex forecast'!P41</f>
        <v>7.6836940913239645E-3</v>
      </c>
      <c r="G125" s="313">
        <f>'[6]Calc|Opex forecast'!Q41</f>
        <v>8.1143438694775173E-3</v>
      </c>
      <c r="H125" s="313">
        <f>'[6]Calc|Opex forecast'!R41</f>
        <v>4.4511158074421325E-3</v>
      </c>
      <c r="I125" s="313">
        <f>'[6]Calc|Opex forecast'!S41</f>
        <v>4.3545968260421406E-3</v>
      </c>
      <c r="J125" s="150" t="str">
        <f>NA</f>
        <v>N/A</v>
      </c>
    </row>
    <row r="127" spans="1:14" s="302" customFormat="1" x14ac:dyDescent="0.35">
      <c r="B127" s="302" t="s">
        <v>1730</v>
      </c>
    </row>
    <row r="128" spans="1:14" ht="13.2" thickBot="1" x14ac:dyDescent="0.55000000000000004"/>
    <row r="129" spans="2:10" ht="13.2" thickBot="1" x14ac:dyDescent="0.55000000000000004">
      <c r="D129" s="214" t="s">
        <v>245</v>
      </c>
      <c r="E129" s="206" t="s">
        <v>236</v>
      </c>
      <c r="F129" s="206" t="s">
        <v>237</v>
      </c>
      <c r="G129" s="206" t="s">
        <v>238</v>
      </c>
      <c r="H129" s="206" t="s">
        <v>239</v>
      </c>
      <c r="I129" s="206" t="s">
        <v>240</v>
      </c>
      <c r="J129" s="206" t="s">
        <v>112</v>
      </c>
    </row>
    <row r="130" spans="2:10" ht="13.8" thickBot="1" x14ac:dyDescent="0.55000000000000004">
      <c r="D130" s="236" t="s">
        <v>304</v>
      </c>
      <c r="E130" s="312">
        <f>E86</f>
        <v>2.5439312330317571E-2</v>
      </c>
      <c r="F130" s="312">
        <f>F86</f>
        <v>5.4038596349144201E-2</v>
      </c>
      <c r="G130" s="312">
        <f>G86</f>
        <v>8.879844851727707E-2</v>
      </c>
      <c r="H130" s="312">
        <f>H86</f>
        <v>0.12690041601463006</v>
      </c>
      <c r="I130" s="312">
        <f>I86</f>
        <v>0.15958918703351627</v>
      </c>
      <c r="J130" s="191">
        <f>SUM(E130:I130)</f>
        <v>0.45476596024488519</v>
      </c>
    </row>
    <row r="131" spans="2:10" ht="13.8" thickBot="1" x14ac:dyDescent="0.55000000000000004">
      <c r="D131" s="149" t="s">
        <v>909</v>
      </c>
      <c r="E131" s="192">
        <f>'[6]Calc|Opex forecast'!O43</f>
        <v>5.3730000000000002E-3</v>
      </c>
      <c r="F131" s="192">
        <f>'[6]Calc|Opex forecast'!P43</f>
        <v>5.9699999999999987E-3</v>
      </c>
      <c r="G131" s="192">
        <f>'[6]Calc|Opex forecast'!Q43</f>
        <v>7.1640000000000002E-3</v>
      </c>
      <c r="H131" s="192">
        <f>'[6]Calc|Opex forecast'!R43</f>
        <v>7.7610000000000005E-3</v>
      </c>
      <c r="I131" s="192">
        <f>'[6]Calc|Opex forecast'!S43</f>
        <v>6.5669999999999991E-3</v>
      </c>
      <c r="J131" s="150" t="str">
        <f>NA</f>
        <v>N/A</v>
      </c>
    </row>
    <row r="133" spans="2:10" s="302" customFormat="1" x14ac:dyDescent="0.35">
      <c r="B133" s="302" t="s">
        <v>1260</v>
      </c>
    </row>
    <row r="134" spans="2:10" ht="13.2" thickBot="1" x14ac:dyDescent="0.55000000000000004"/>
    <row r="135" spans="2:10" ht="13.2" thickBot="1" x14ac:dyDescent="0.55000000000000004">
      <c r="D135" s="214" t="s">
        <v>245</v>
      </c>
      <c r="E135" s="206" t="s">
        <v>236</v>
      </c>
      <c r="F135" s="206" t="s">
        <v>237</v>
      </c>
      <c r="G135" s="206" t="s">
        <v>238</v>
      </c>
      <c r="H135" s="206" t="s">
        <v>239</v>
      </c>
      <c r="I135" s="206" t="s">
        <v>240</v>
      </c>
      <c r="J135" s="206" t="s">
        <v>112</v>
      </c>
    </row>
    <row r="136" spans="2:10" ht="13.8" thickBot="1" x14ac:dyDescent="0.55000000000000004">
      <c r="D136" s="236" t="s">
        <v>905</v>
      </c>
      <c r="E136" s="312">
        <f>E87</f>
        <v>0</v>
      </c>
      <c r="F136" s="312">
        <f>F87</f>
        <v>0</v>
      </c>
      <c r="G136" s="312">
        <f>G87</f>
        <v>0</v>
      </c>
      <c r="H136" s="312">
        <f>H87</f>
        <v>0</v>
      </c>
      <c r="I136" s="312">
        <f>I87</f>
        <v>0</v>
      </c>
      <c r="J136" s="191">
        <f>SUM(E136:I136)</f>
        <v>0</v>
      </c>
    </row>
    <row r="137" spans="2:10" ht="13.8" thickBot="1" x14ac:dyDescent="0.55000000000000004">
      <c r="D137" s="236" t="s">
        <v>911</v>
      </c>
      <c r="E137" s="313">
        <f>'[6]Calc|Opex forecast'!O45</f>
        <v>0</v>
      </c>
      <c r="F137" s="313">
        <f>'[6]Calc|Opex forecast'!P45</f>
        <v>0</v>
      </c>
      <c r="G137" s="313">
        <f>'[6]Calc|Opex forecast'!Q45</f>
        <v>0</v>
      </c>
      <c r="H137" s="313">
        <f>'[6]Calc|Opex forecast'!R45</f>
        <v>0</v>
      </c>
      <c r="I137" s="313">
        <f>'[6]Calc|Opex forecast'!S45</f>
        <v>0</v>
      </c>
      <c r="J137" s="150" t="str">
        <f>NA</f>
        <v>N/A</v>
      </c>
    </row>
    <row r="139" spans="2:10" s="302" customFormat="1" x14ac:dyDescent="0.35">
      <c r="B139" s="302" t="s">
        <v>1261</v>
      </c>
    </row>
    <row r="140" spans="2:10" ht="13.2" thickBot="1" x14ac:dyDescent="0.55000000000000004"/>
    <row r="141" spans="2:10" ht="13.2" thickBot="1" x14ac:dyDescent="0.55000000000000004">
      <c r="D141" s="214" t="s">
        <v>245</v>
      </c>
      <c r="E141" s="206" t="s">
        <v>236</v>
      </c>
      <c r="F141" s="206" t="s">
        <v>237</v>
      </c>
      <c r="G141" s="206" t="s">
        <v>238</v>
      </c>
      <c r="H141" s="206" t="s">
        <v>239</v>
      </c>
      <c r="I141" s="206" t="s">
        <v>240</v>
      </c>
    </row>
    <row r="142" spans="2:10" ht="13.8" thickBot="1" x14ac:dyDescent="0.55000000000000004">
      <c r="D142" s="142" t="s">
        <v>350</v>
      </c>
      <c r="E142" s="178">
        <f>'18'!E23</f>
        <v>16.511202711558706</v>
      </c>
      <c r="F142" s="178">
        <f>'18'!F23</f>
        <v>22.341503989594219</v>
      </c>
      <c r="G142" s="178">
        <f>'18'!G23</f>
        <v>24.517727876121967</v>
      </c>
      <c r="H142" s="178">
        <f>'18'!H23</f>
        <v>26.475285106640001</v>
      </c>
      <c r="I142" s="178">
        <f>'18'!I23</f>
        <v>31.925133031027237</v>
      </c>
    </row>
    <row r="143" spans="2:10" ht="13.8" thickBot="1" x14ac:dyDescent="0.55000000000000004">
      <c r="D143" s="142" t="s">
        <v>351</v>
      </c>
      <c r="E143" s="178">
        <f>'18'!E24</f>
        <v>6.8089152561770545</v>
      </c>
      <c r="F143" s="178">
        <f>'18'!F24</f>
        <v>3.7524143663033378</v>
      </c>
      <c r="G143" s="178">
        <f>'18'!G24</f>
        <v>3.7978799723895018</v>
      </c>
      <c r="H143" s="178">
        <f>'18'!H24</f>
        <v>7.4779427748406562</v>
      </c>
      <c r="I143" s="178">
        <f>'18'!I24</f>
        <v>3.693421968848392</v>
      </c>
    </row>
    <row r="144" spans="2:10" ht="13.8" thickBot="1" x14ac:dyDescent="0.55000000000000004">
      <c r="D144" s="142" t="s">
        <v>317</v>
      </c>
      <c r="E144" s="178">
        <f>'18'!E25</f>
        <v>0</v>
      </c>
      <c r="F144" s="178">
        <f>'18'!F25</f>
        <v>0</v>
      </c>
      <c r="G144" s="178">
        <f>'18'!G25</f>
        <v>0</v>
      </c>
      <c r="H144" s="178">
        <f>'18'!H25</f>
        <v>0</v>
      </c>
      <c r="I144" s="178">
        <f>'18'!I25</f>
        <v>0</v>
      </c>
    </row>
    <row r="145" spans="2:10" ht="13.8" thickBot="1" x14ac:dyDescent="0.55000000000000004">
      <c r="D145" s="142" t="s">
        <v>318</v>
      </c>
      <c r="E145" s="178">
        <f>'18'!E26</f>
        <v>0</v>
      </c>
      <c r="F145" s="178">
        <f>'18'!F26</f>
        <v>0</v>
      </c>
      <c r="G145" s="178">
        <f>'18'!G26</f>
        <v>0</v>
      </c>
      <c r="H145" s="178">
        <f>'18'!H26</f>
        <v>0</v>
      </c>
      <c r="I145" s="178">
        <f>'18'!I26</f>
        <v>0</v>
      </c>
    </row>
    <row r="146" spans="2:10" ht="13.8" thickBot="1" x14ac:dyDescent="0.55000000000000004">
      <c r="D146" s="142" t="s">
        <v>316</v>
      </c>
      <c r="E146" s="178">
        <f>'18'!E27</f>
        <v>0.13811834505996085</v>
      </c>
      <c r="F146" s="178">
        <f>'18'!F27</f>
        <v>7.6117449366528256E-2</v>
      </c>
      <c r="G146" s="178">
        <f>'18'!G27</f>
        <v>7.7039715841217035E-2</v>
      </c>
      <c r="H146" s="178">
        <f>'18'!H27</f>
        <v>0.15168951905769257</v>
      </c>
      <c r="I146" s="178">
        <f>'18'!I27</f>
        <v>7.4920792924049448E-2</v>
      </c>
    </row>
    <row r="147" spans="2:10" ht="13.8" thickBot="1" x14ac:dyDescent="0.55000000000000004">
      <c r="D147" s="193" t="s">
        <v>823</v>
      </c>
      <c r="E147" s="178">
        <f>'18'!E28</f>
        <v>-1.1167323232015012</v>
      </c>
      <c r="F147" s="178">
        <f>'18'!F28</f>
        <v>-1.6523079291421172</v>
      </c>
      <c r="G147" s="178">
        <f>'18'!G28</f>
        <v>-1.9173624577126829</v>
      </c>
      <c r="H147" s="178">
        <f>'18'!H28</f>
        <v>-2.1797843695111117</v>
      </c>
      <c r="I147" s="178">
        <f>'18'!I28</f>
        <v>-2.7076207197135478</v>
      </c>
    </row>
    <row r="148" spans="2:10" ht="13.2" thickBot="1" x14ac:dyDescent="0.55000000000000004">
      <c r="D148" s="151" t="s">
        <v>352</v>
      </c>
      <c r="E148" s="189">
        <f>'18'!E29</f>
        <v>22.341503989594223</v>
      </c>
      <c r="F148" s="189">
        <f>'18'!F29</f>
        <v>24.517727876121967</v>
      </c>
      <c r="G148" s="189">
        <f>'18'!G29</f>
        <v>26.475285106640001</v>
      </c>
      <c r="H148" s="189">
        <f>'18'!H29</f>
        <v>31.925133031027237</v>
      </c>
      <c r="I148" s="189">
        <f>'18'!I29</f>
        <v>32.985855073086128</v>
      </c>
    </row>
    <row r="150" spans="2:10" s="302" customFormat="1" x14ac:dyDescent="0.35">
      <c r="B150" s="302" t="s">
        <v>1262</v>
      </c>
    </row>
    <row r="151" spans="2:10" ht="13.2" thickBot="1" x14ac:dyDescent="0.55000000000000004"/>
    <row r="152" spans="2:10" ht="15" thickBot="1" x14ac:dyDescent="0.55000000000000004">
      <c r="D152" s="214" t="s">
        <v>245</v>
      </c>
      <c r="E152" s="307" t="s">
        <v>236</v>
      </c>
      <c r="F152" s="307" t="s">
        <v>237</v>
      </c>
      <c r="G152" s="307" t="s">
        <v>238</v>
      </c>
      <c r="H152" s="307" t="s">
        <v>239</v>
      </c>
      <c r="I152" s="307" t="s">
        <v>240</v>
      </c>
    </row>
    <row r="153" spans="2:10" ht="13.8" thickBot="1" x14ac:dyDescent="0.55000000000000004">
      <c r="D153" s="236" t="s">
        <v>320</v>
      </c>
      <c r="E153" s="178">
        <f>-[7]Assets!G876</f>
        <v>1.1438116822993682</v>
      </c>
      <c r="F153" s="178">
        <f>-[7]Assets!H876</f>
        <v>1.7334122815072601</v>
      </c>
      <c r="G153" s="178">
        <f>-[7]Assets!I876</f>
        <v>2.0602529422553579</v>
      </c>
      <c r="H153" s="178">
        <f>-[7]Assets!J876</f>
        <v>2.3990278999672974</v>
      </c>
      <c r="I153" s="178">
        <f>-[7]Assets!K876</f>
        <v>3.0522143833835416</v>
      </c>
    </row>
    <row r="154" spans="2:10" ht="13.8" thickBot="1" x14ac:dyDescent="0.55000000000000004">
      <c r="D154" s="236" t="s">
        <v>321</v>
      </c>
      <c r="E154" s="178">
        <f>-[7]Assets!G877</f>
        <v>-0.40037597020758925</v>
      </c>
      <c r="F154" s="178">
        <f>-[7]Assets!H877</f>
        <v>-0.55489031091741192</v>
      </c>
      <c r="G154" s="178">
        <f>-[7]Assets!I877</f>
        <v>-0.62370668295780374</v>
      </c>
      <c r="H154" s="178">
        <f>-[7]Assets!J877</f>
        <v>-0.68983664959820024</v>
      </c>
      <c r="I154" s="178">
        <f>-[7]Assets!K877</f>
        <v>-0.85200820078084016</v>
      </c>
    </row>
    <row r="155" spans="2:10" ht="13.8" thickBot="1" x14ac:dyDescent="0.55000000000000004">
      <c r="D155" s="236" t="s">
        <v>322</v>
      </c>
      <c r="E155" s="178">
        <f t="shared" ref="E155:I155" si="17">SUM(E153:E154)</f>
        <v>0.74343571209177894</v>
      </c>
      <c r="F155" s="178">
        <f t="shared" si="17"/>
        <v>1.1785219705898482</v>
      </c>
      <c r="G155" s="178">
        <f t="shared" si="17"/>
        <v>1.4365462592975542</v>
      </c>
      <c r="H155" s="178">
        <f t="shared" si="17"/>
        <v>1.7091912503690971</v>
      </c>
      <c r="I155" s="178">
        <f t="shared" si="17"/>
        <v>2.2002061826027015</v>
      </c>
    </row>
    <row r="157" spans="2:10" s="302" customFormat="1" x14ac:dyDescent="0.35">
      <c r="B157" s="302" t="s">
        <v>1263</v>
      </c>
    </row>
    <row r="158" spans="2:10" ht="13.2" thickBot="1" x14ac:dyDescent="0.55000000000000004"/>
    <row r="159" spans="2:10" ht="13.2" thickBot="1" x14ac:dyDescent="0.55000000000000004">
      <c r="D159" s="214" t="s">
        <v>245</v>
      </c>
      <c r="E159" s="206" t="s">
        <v>236</v>
      </c>
      <c r="F159" s="206" t="s">
        <v>237</v>
      </c>
      <c r="G159" s="206" t="s">
        <v>238</v>
      </c>
      <c r="H159" s="206" t="s">
        <v>239</v>
      </c>
      <c r="I159" s="206" t="s">
        <v>240</v>
      </c>
      <c r="J159" s="206" t="s">
        <v>112</v>
      </c>
    </row>
    <row r="160" spans="2:10" ht="13.8" thickBot="1" x14ac:dyDescent="0.55000000000000004">
      <c r="D160" s="236" t="s">
        <v>306</v>
      </c>
      <c r="E160" s="178">
        <f>'[7]PTRM input'!G186</f>
        <v>8.6157966088687647E-3</v>
      </c>
      <c r="F160" s="178">
        <f>'[7]PTRM input'!H186</f>
        <v>1.1658136458819012E-2</v>
      </c>
      <c r="G160" s="178">
        <f>'[7]PTRM input'!I186</f>
        <v>1.2793723169807612E-2</v>
      </c>
      <c r="H160" s="178">
        <f>'[7]PTRM input'!J186</f>
        <v>1.3815206295113605E-2</v>
      </c>
      <c r="I160" s="178">
        <f>'[7]PTRM input'!K186</f>
        <v>1.6659019800771512E-2</v>
      </c>
      <c r="J160" s="178">
        <f t="shared" ref="J160:J161" si="18">SUM(E160:I160)</f>
        <v>6.3541882333380498E-2</v>
      </c>
    </row>
    <row r="161" spans="2:10" ht="13.8" thickBot="1" x14ac:dyDescent="0.55000000000000004">
      <c r="D161" s="236" t="s">
        <v>385</v>
      </c>
      <c r="E161" s="178">
        <f>'[7]PTRM input'!G70</f>
        <v>0.15904216871706306</v>
      </c>
      <c r="F161" s="178">
        <f>'[7]PTRM input'!H70</f>
        <v>0</v>
      </c>
      <c r="G161" s="178">
        <f>'[7]PTRM input'!I70</f>
        <v>0</v>
      </c>
      <c r="H161" s="178">
        <f>'[7]PTRM input'!J70</f>
        <v>0</v>
      </c>
      <c r="I161" s="178">
        <f>'[7]PTRM input'!K70</f>
        <v>0</v>
      </c>
      <c r="J161" s="178">
        <f t="shared" si="18"/>
        <v>0.15904216871706306</v>
      </c>
    </row>
    <row r="163" spans="2:10" s="302" customFormat="1" x14ac:dyDescent="0.35">
      <c r="B163" s="302" t="s">
        <v>1264</v>
      </c>
    </row>
    <row r="164" spans="2:10" ht="13.2" thickBot="1" x14ac:dyDescent="0.55000000000000004"/>
    <row r="165" spans="2:10" ht="13.2" thickBot="1" x14ac:dyDescent="0.55000000000000004">
      <c r="D165" s="214" t="s">
        <v>245</v>
      </c>
      <c r="E165" s="206" t="s">
        <v>236</v>
      </c>
      <c r="F165" s="206" t="s">
        <v>237</v>
      </c>
      <c r="G165" s="206" t="s">
        <v>238</v>
      </c>
      <c r="H165" s="206" t="s">
        <v>239</v>
      </c>
      <c r="I165" s="206" t="s">
        <v>240</v>
      </c>
      <c r="J165" s="206" t="s">
        <v>112</v>
      </c>
    </row>
    <row r="166" spans="2:10" ht="13.8" thickBot="1" x14ac:dyDescent="0.55000000000000004">
      <c r="D166" s="236" t="s">
        <v>337</v>
      </c>
      <c r="E166" s="178">
        <f>'[7]Revenue summary'!G34</f>
        <v>8.4978290907971016E-2</v>
      </c>
      <c r="F166" s="178">
        <f>'[7]Revenue summary'!H34</f>
        <v>9.3377390314715661E-2</v>
      </c>
      <c r="G166" s="178">
        <f>'[7]Revenue summary'!I34</f>
        <v>0.12233218660226508</v>
      </c>
      <c r="H166" s="178">
        <f>'[7]Revenue summary'!J34</f>
        <v>0.1523039455171398</v>
      </c>
      <c r="I166" s="178">
        <f>'[7]Revenue summary'!K34</f>
        <v>0.15716743315919107</v>
      </c>
      <c r="J166" s="178">
        <f>SUM(E166:I166)</f>
        <v>0.61015924650128261</v>
      </c>
    </row>
    <row r="168" spans="2:10" s="302" customFormat="1" x14ac:dyDescent="0.35">
      <c r="B168" s="302" t="s">
        <v>1265</v>
      </c>
    </row>
    <row r="169" spans="2:10" ht="13.2" thickBot="1" x14ac:dyDescent="0.55000000000000004"/>
    <row r="170" spans="2:10" ht="13.2" thickBot="1" x14ac:dyDescent="0.55000000000000004">
      <c r="D170" s="214" t="s">
        <v>344</v>
      </c>
      <c r="E170" s="206" t="s">
        <v>236</v>
      </c>
      <c r="F170" s="206" t="s">
        <v>237</v>
      </c>
      <c r="G170" s="206" t="s">
        <v>238</v>
      </c>
      <c r="H170" s="206" t="s">
        <v>239</v>
      </c>
      <c r="I170" s="206" t="s">
        <v>240</v>
      </c>
      <c r="J170" s="206" t="s">
        <v>112</v>
      </c>
    </row>
    <row r="171" spans="2:10" ht="13.8" thickBot="1" x14ac:dyDescent="0.55000000000000004">
      <c r="D171" s="142" t="str">
        <f>'18'!D9</f>
        <v>Return on capital</v>
      </c>
      <c r="E171" s="178">
        <f>'18'!E9</f>
        <v>1.0934349756962416</v>
      </c>
      <c r="F171" s="178">
        <f>'18'!F9</f>
        <v>1.5154168051531065</v>
      </c>
      <c r="G171" s="178">
        <f>'18'!G9</f>
        <v>1.7033557267883765</v>
      </c>
      <c r="H171" s="178">
        <f>'18'!H9</f>
        <v>1.8839580202495554</v>
      </c>
      <c r="I171" s="178">
        <f>'18'!I9</f>
        <v>2.3268518483533542</v>
      </c>
      <c r="J171" s="178">
        <f>'18'!J9</f>
        <v>8.5230173762406345</v>
      </c>
    </row>
    <row r="172" spans="2:10" ht="13.8" thickBot="1" x14ac:dyDescent="0.55000000000000004">
      <c r="D172" s="142" t="str">
        <f>'18'!D10</f>
        <v xml:space="preserve">Regulatory depreciation </v>
      </c>
      <c r="E172" s="178">
        <f>'18'!E10</f>
        <v>0.74343571209177894</v>
      </c>
      <c r="F172" s="178">
        <f>'18'!F10</f>
        <v>1.1785219705898482</v>
      </c>
      <c r="G172" s="178">
        <f>'18'!G10</f>
        <v>1.4365462592975542</v>
      </c>
      <c r="H172" s="178">
        <f>'18'!H10</f>
        <v>1.7091912503690971</v>
      </c>
      <c r="I172" s="178">
        <f>'18'!I10</f>
        <v>2.2002061826027015</v>
      </c>
      <c r="J172" s="178">
        <f>'18'!J10</f>
        <v>7.2679013749509798</v>
      </c>
    </row>
    <row r="173" spans="2:10" ht="13.8" thickBot="1" x14ac:dyDescent="0.55000000000000004">
      <c r="D173" s="142" t="str">
        <f>'18'!D11</f>
        <v>Opex (including Debt Raising)</v>
      </c>
      <c r="E173" s="178">
        <f>'18'!E11</f>
        <v>5.1071952025550127</v>
      </c>
      <c r="F173" s="178">
        <f>'18'!F11</f>
        <v>5.1626801514360894</v>
      </c>
      <c r="G173" s="178">
        <f>'18'!G11</f>
        <v>5.2197882916709109</v>
      </c>
      <c r="H173" s="178">
        <f>'18'!H11</f>
        <v>5.2653277070758637</v>
      </c>
      <c r="I173" s="178">
        <f>'18'!I11</f>
        <v>5.3125551721302084</v>
      </c>
      <c r="J173" s="178">
        <f>'18'!J11</f>
        <v>26.067546524868085</v>
      </c>
    </row>
    <row r="174" spans="2:10" ht="13.8" thickBot="1" x14ac:dyDescent="0.55000000000000004">
      <c r="D174" s="142" t="str">
        <f>'18'!D12</f>
        <v>Corporate income tax</v>
      </c>
      <c r="E174" s="178">
        <f>'18'!E12</f>
        <v>8.7038907948608746E-2</v>
      </c>
      <c r="F174" s="178">
        <f>'18'!F12</f>
        <v>9.7960865727167543E-2</v>
      </c>
      <c r="G174" s="178">
        <f>'18'!G12</f>
        <v>0.13144893202953056</v>
      </c>
      <c r="H174" s="178">
        <f>'18'!H12</f>
        <v>0.16762273355169821</v>
      </c>
      <c r="I174" s="178">
        <f>'18'!I12</f>
        <v>0.17716982906627521</v>
      </c>
      <c r="J174" s="178">
        <f>'18'!J12</f>
        <v>0.66124126832328023</v>
      </c>
    </row>
    <row r="175" spans="2:10" ht="26.1" thickBot="1" x14ac:dyDescent="0.55000000000000004">
      <c r="D175" s="151" t="str">
        <f>'18'!D13</f>
        <v>Annual revenue requirement (unsmoothed)</v>
      </c>
      <c r="E175" s="189">
        <f>'18'!E13</f>
        <v>7.0311047982916417</v>
      </c>
      <c r="F175" s="189">
        <f>'18'!F13</f>
        <v>7.9545797929062116</v>
      </c>
      <c r="G175" s="189">
        <f>'18'!G13</f>
        <v>8.4911392097863718</v>
      </c>
      <c r="H175" s="189">
        <f>'18'!H13</f>
        <v>9.0260997112462142</v>
      </c>
      <c r="I175" s="189">
        <f>'18'!I13</f>
        <v>10.016783032152539</v>
      </c>
      <c r="J175" s="189">
        <f>'18'!J13</f>
        <v>42.519706544382977</v>
      </c>
    </row>
    <row r="176" spans="2:10" ht="13.2" thickBot="1" x14ac:dyDescent="0.55000000000000004">
      <c r="D176" s="151" t="str">
        <f>'18'!D14</f>
        <v>X factors</v>
      </c>
      <c r="E176" s="190">
        <f>'18'!E14</f>
        <v>0</v>
      </c>
      <c r="F176" s="190">
        <f>'18'!F14</f>
        <v>-6.9814577142962686E-2</v>
      </c>
      <c r="G176" s="190">
        <f>'18'!G14</f>
        <v>-6.9814577142962686E-2</v>
      </c>
      <c r="H176" s="190">
        <f>'18'!H14</f>
        <v>-6.9814577142962686E-2</v>
      </c>
      <c r="I176" s="190">
        <f>'18'!I14</f>
        <v>-6.9814577142962686E-2</v>
      </c>
      <c r="J176" s="161" t="str">
        <f>'18'!J14</f>
        <v>N/A</v>
      </c>
    </row>
    <row r="177" spans="1:10" ht="26.1" thickBot="1" x14ac:dyDescent="0.55000000000000004">
      <c r="D177" s="151" t="str">
        <f>'18'!D15</f>
        <v xml:space="preserve">Maximum allowed revenue requirement (smoothed)      </v>
      </c>
      <c r="E177" s="187">
        <f>'18'!E15</f>
        <v>7.0311047982916435</v>
      </c>
      <c r="F177" s="187">
        <f>'18'!F15</f>
        <v>7.704376954760261</v>
      </c>
      <c r="G177" s="187">
        <f>'18'!G15</f>
        <v>8.4421191212315794</v>
      </c>
      <c r="H177" s="187">
        <f>'18'!H15</f>
        <v>9.2505047034373185</v>
      </c>
      <c r="I177" s="187">
        <f>'18'!I15</f>
        <v>10.136298249228245</v>
      </c>
      <c r="J177" s="187">
        <f>'18'!J15</f>
        <v>42.564403826949047</v>
      </c>
    </row>
    <row r="179" spans="1:10" s="302" customFormat="1" x14ac:dyDescent="0.35">
      <c r="B179" s="302" t="s">
        <v>1266</v>
      </c>
    </row>
    <row r="180" spans="1:10" ht="13.2" thickBot="1" x14ac:dyDescent="0.55000000000000004"/>
    <row r="181" spans="1:10" ht="13.2" thickBot="1" x14ac:dyDescent="0.55000000000000004">
      <c r="D181" s="308" t="str">
        <f>'21'!D51</f>
        <v>Per Meter Charges $/day ($nominal)</v>
      </c>
      <c r="E181" s="206" t="s">
        <v>236</v>
      </c>
      <c r="F181" s="206" t="s">
        <v>237</v>
      </c>
      <c r="G181" s="206" t="s">
        <v>238</v>
      </c>
      <c r="H181" s="206" t="s">
        <v>239</v>
      </c>
      <c r="I181" s="206" t="s">
        <v>240</v>
      </c>
    </row>
    <row r="182" spans="1:10" ht="13.8" thickBot="1" x14ac:dyDescent="0.55000000000000004">
      <c r="D182" s="142" t="str">
        <f>'21'!D52</f>
        <v>1 Phase Meters (including Prepayment)</v>
      </c>
      <c r="E182" s="399">
        <f>'21'!E52</f>
        <v>0.17235227712699</v>
      </c>
      <c r="F182" s="399">
        <f>'21'!F52</f>
        <v>0.18937349701584208</v>
      </c>
      <c r="G182" s="399">
        <f>'21'!G52</f>
        <v>0.2075071909901999</v>
      </c>
      <c r="H182" s="399">
        <f>'21'!H52</f>
        <v>0.22737729931153552</v>
      </c>
      <c r="I182" s="399">
        <f>'21'!I52</f>
        <v>0.24846935652520563</v>
      </c>
    </row>
    <row r="183" spans="1:10" ht="13.8" thickBot="1" x14ac:dyDescent="0.55000000000000004">
      <c r="D183" s="142" t="str">
        <f>'21'!D53</f>
        <v>3 Phase Meters</v>
      </c>
      <c r="E183" s="399">
        <f>'21'!E53</f>
        <v>0.18898937528157195</v>
      </c>
      <c r="F183" s="399">
        <f>'21'!F53</f>
        <v>0.20765364689403373</v>
      </c>
      <c r="G183" s="399">
        <f>'21'!G53</f>
        <v>0.22753777928200331</v>
      </c>
      <c r="H183" s="399">
        <f>'21'!H53</f>
        <v>0.2493259414172764</v>
      </c>
      <c r="I183" s="399">
        <f>'21'!I53</f>
        <v>0.27245400669533276</v>
      </c>
    </row>
    <row r="184" spans="1:10" ht="27.3" thickBot="1" x14ac:dyDescent="0.55000000000000004">
      <c r="D184" s="142" t="str">
        <f>'21'!D54</f>
        <v>Metering Dedicated CTs and VTs - Remote read</v>
      </c>
      <c r="E184" s="399">
        <f>'21'!E54</f>
        <v>0.36874313553065652</v>
      </c>
      <c r="F184" s="399">
        <f>'21'!F54</f>
        <v>0.40515958500841748</v>
      </c>
      <c r="G184" s="399">
        <f>'21'!G54</f>
        <v>0.44395614334997802</v>
      </c>
      <c r="H184" s="399">
        <f>'21'!H54</f>
        <v>0.48646771423189067</v>
      </c>
      <c r="I184" s="399">
        <f>'21'!I54</f>
        <v>0.53159361242951164</v>
      </c>
    </row>
    <row r="186" spans="1:10" ht="15" x14ac:dyDescent="0.5">
      <c r="A186" s="70">
        <f>IF(SUM(D186:H186)&lt;&gt;0,1,0)</f>
        <v>0</v>
      </c>
      <c r="C186" s="270"/>
      <c r="D186" s="270" t="s">
        <v>819</v>
      </c>
      <c r="E186" s="268">
        <f>IF(ROUND(SUM('[7]Forecast revenues'!G48:G73)/'21'!L52-SUM(E182:E184),4)&lt;&gt;0,1,0)</f>
        <v>0</v>
      </c>
      <c r="F186" s="268">
        <f>IF(ROUND(SUM('[7]Forecast revenues'!H48:H73)/'21'!M52-SUM(F182:F184),4)&lt;&gt;0,1,0)</f>
        <v>0</v>
      </c>
      <c r="G186" s="268">
        <f>IF(ROUND(SUM('[7]Forecast revenues'!I48:I73)/'21'!N52-SUM(G182:G184),4)&lt;&gt;0,1,0)</f>
        <v>0</v>
      </c>
      <c r="H186" s="268">
        <f>IF(ROUND(SUM('[7]Forecast revenues'!J48:J73)/'21'!O52-SUM(H182:H184),4)&lt;&gt;0,1,0)</f>
        <v>0</v>
      </c>
      <c r="I186" s="268">
        <f>IF(ROUND(SUM('[7]Forecast revenues'!K48:K73)/'21'!P52-SUM(I182:I184),4)&lt;&gt;0,1,0)</f>
        <v>0</v>
      </c>
    </row>
    <row r="188" spans="1:10" s="302" customFormat="1" x14ac:dyDescent="0.35">
      <c r="B188" s="302" t="s">
        <v>1268</v>
      </c>
    </row>
    <row r="189" spans="1:10" ht="13.2" thickBot="1" x14ac:dyDescent="0.55000000000000004"/>
    <row r="190" spans="1:10" ht="39" thickBot="1" x14ac:dyDescent="0.55000000000000004">
      <c r="D190" s="439" t="s">
        <v>1212</v>
      </c>
      <c r="E190" s="472" t="s">
        <v>1206</v>
      </c>
      <c r="F190" s="473" t="s">
        <v>1207</v>
      </c>
    </row>
    <row r="191" spans="1:10" ht="13.8" thickBot="1" x14ac:dyDescent="0.55000000000000004">
      <c r="D191" s="231" t="str">
        <f>TSS!D440</f>
        <v>Special meter test</v>
      </c>
      <c r="E191" s="438" t="s">
        <v>1226</v>
      </c>
      <c r="F191" s="440">
        <f>TSS!F440</f>
        <v>238.66828989361554</v>
      </c>
      <c r="H191" s="204"/>
    </row>
    <row r="192" spans="1:10" ht="13.8" thickBot="1" x14ac:dyDescent="0.55000000000000004">
      <c r="D192" s="231" t="str">
        <f>TSS!D441</f>
        <v>Exchange or replace meter – three phase</v>
      </c>
      <c r="E192" s="438" t="s">
        <v>1226</v>
      </c>
      <c r="F192" s="440">
        <f>TSS!F441</f>
        <v>502.01238089621529</v>
      </c>
      <c r="H192" s="204"/>
    </row>
    <row r="193" spans="1:9" ht="13.8" thickBot="1" x14ac:dyDescent="0.55000000000000004">
      <c r="D193" s="231" t="str">
        <f>TSS!D442</f>
        <v>Exchange or replace meter - standard</v>
      </c>
      <c r="E193" s="438" t="s">
        <v>1226</v>
      </c>
      <c r="F193" s="440">
        <f>TSS!F442</f>
        <v>411.96867971921847</v>
      </c>
    </row>
    <row r="194" spans="1:9" ht="13.8" thickBot="1" x14ac:dyDescent="0.55000000000000004">
      <c r="D194" s="231" t="str">
        <f>TSS!D443</f>
        <v>Relocation of meter</v>
      </c>
      <c r="E194" s="438" t="s">
        <v>1226</v>
      </c>
      <c r="F194" s="440">
        <f>TSS!F443</f>
        <v>249.14213113161546</v>
      </c>
    </row>
    <row r="195" spans="1:9" ht="13.8" thickBot="1" x14ac:dyDescent="0.55000000000000004">
      <c r="D195" s="231" t="str">
        <f>TSS!D444</f>
        <v>Remove meter – permanent removal of connection point (meter) from meter panel</v>
      </c>
      <c r="E195" s="438" t="s">
        <v>1226</v>
      </c>
      <c r="F195" s="440">
        <f>TSS!F444</f>
        <v>249.14213113161546</v>
      </c>
    </row>
    <row r="196" spans="1:9" ht="13.8" thickBot="1" x14ac:dyDescent="0.55000000000000004">
      <c r="D196" s="231" t="str">
        <f>TSS!D445</f>
        <v>General meter inspection</v>
      </c>
      <c r="E196" s="438" t="s">
        <v>1226</v>
      </c>
      <c r="F196" s="440">
        <f>TSS!F445</f>
        <v>112.98219503761645</v>
      </c>
    </row>
    <row r="197" spans="1:9" ht="13.8" thickBot="1" x14ac:dyDescent="0.55000000000000004">
      <c r="D197" s="231" t="str">
        <f>TSS!D446</f>
        <v>Special meter read - no appointment</v>
      </c>
      <c r="E197" s="438" t="s">
        <v>1226</v>
      </c>
      <c r="F197" s="440">
        <f>TSS!F446</f>
        <v>28.380350882160773</v>
      </c>
    </row>
    <row r="198" spans="1:9" ht="13.8" thickBot="1" x14ac:dyDescent="0.55000000000000004">
      <c r="D198" s="231" t="str">
        <f>TSS!D447</f>
        <v>Special meter read - appointment</v>
      </c>
      <c r="E198" s="438" t="s">
        <v>1226</v>
      </c>
      <c r="F198" s="440">
        <f>TSS!F447</f>
        <v>60.768634500198246</v>
      </c>
    </row>
    <row r="199" spans="1:9" ht="13.8" thickBot="1" x14ac:dyDescent="0.55000000000000004">
      <c r="D199" s="231" t="str">
        <f>TSS!D448</f>
        <v>Meter program change – no comms</v>
      </c>
      <c r="E199" s="438" t="s">
        <v>1226</v>
      </c>
      <c r="F199" s="440">
        <f>TSS!F448</f>
        <v>133.9298775136163</v>
      </c>
    </row>
    <row r="200" spans="1:9" ht="13.8" thickBot="1" x14ac:dyDescent="0.55000000000000004">
      <c r="D200" s="231" t="str">
        <f>TSS!D449</f>
        <v>Meter program change – with comms</v>
      </c>
      <c r="E200" s="438" t="s">
        <v>1226</v>
      </c>
      <c r="F200" s="440">
        <f>TSS!F449</f>
        <v>8.7247097512539327</v>
      </c>
    </row>
    <row r="202" spans="1:9" ht="15" x14ac:dyDescent="0.5">
      <c r="A202" s="70">
        <f>IF(SUM(D202:H202)&lt;&gt;0,1,0)</f>
        <v>0</v>
      </c>
      <c r="C202" s="270"/>
      <c r="D202" s="270" t="s">
        <v>819</v>
      </c>
      <c r="E202" s="268"/>
      <c r="F202" s="268">
        <f>IF(ROUND(SUM('[12]Fee Based Services'!$J$19:$J$30)-SUM(F191:F200),4)&lt;&gt;0,1,0)</f>
        <v>0</v>
      </c>
      <c r="G202" s="268"/>
      <c r="H202" s="268"/>
      <c r="I202" s="268"/>
    </row>
    <row r="204" spans="1:9" s="302" customFormat="1" x14ac:dyDescent="0.35">
      <c r="B204" s="302" t="s">
        <v>1503</v>
      </c>
    </row>
    <row r="235" spans="2:2" s="302" customFormat="1" x14ac:dyDescent="0.35">
      <c r="B235" s="302" t="s">
        <v>1504</v>
      </c>
    </row>
    <row r="272" spans="2:2" s="302" customFormat="1" x14ac:dyDescent="0.35">
      <c r="B272" s="302" t="s">
        <v>32</v>
      </c>
    </row>
  </sheetData>
  <mergeCells count="9">
    <mergeCell ref="K115:N116"/>
    <mergeCell ref="L77:M77"/>
    <mergeCell ref="L78:M78"/>
    <mergeCell ref="L71:M71"/>
    <mergeCell ref="L72:M72"/>
    <mergeCell ref="L73:M73"/>
    <mergeCell ref="L74:M74"/>
    <mergeCell ref="L75:M75"/>
    <mergeCell ref="L76:M76"/>
  </mergeCells>
  <conditionalFormatting sqref="B2">
    <cfRule type="cellIs" dxfId="9" priority="1" operator="notEqual">
      <formula>"No Errors Found"</formula>
    </cfRule>
  </conditionalFormatting>
  <hyperlinks>
    <hyperlink ref="B3:D3" location="Cover!A1" display="Go to Cover Sheet" xr:uid="{00000000-0004-0000-2800-000000000000}"/>
    <hyperlink ref="D9" location="_ftn1" display="_ftn1" xr:uid="{00000000-0004-0000-2800-000001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504"/>
  <sheetViews>
    <sheetView showGridLines="0" workbookViewId="0">
      <pane xSplit="1" ySplit="4" topLeftCell="B5" activePane="bottomRight" state="frozen"/>
      <selection activeCell="B45" sqref="B45"/>
      <selection pane="topRight" activeCell="B45" sqref="B45"/>
      <selection pane="bottomLeft" activeCell="B45" sqref="B45"/>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IF(SUM($A6:$A503)&gt;0,1,0)</f>
        <v>0</v>
      </c>
      <c r="B1" s="136" t="s">
        <v>1165</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1166</v>
      </c>
    </row>
    <row r="29" spans="2:6" s="139" customFormat="1" x14ac:dyDescent="0.35">
      <c r="B29" s="139" t="s">
        <v>1167</v>
      </c>
    </row>
    <row r="30" spans="2:6" ht="13.2" thickBot="1" x14ac:dyDescent="0.55000000000000004"/>
    <row r="31" spans="2:6" ht="39" thickBot="1" x14ac:dyDescent="0.55000000000000004">
      <c r="D31" s="214" t="s">
        <v>584</v>
      </c>
      <c r="E31" s="434" t="s">
        <v>585</v>
      </c>
      <c r="F31" s="434" t="s">
        <v>586</v>
      </c>
    </row>
    <row r="32" spans="2:6" ht="13.2" thickBot="1" x14ac:dyDescent="0.55000000000000004">
      <c r="D32" s="687" t="s">
        <v>587</v>
      </c>
      <c r="E32" s="688"/>
      <c r="F32" s="689"/>
    </row>
    <row r="33" spans="4:6" ht="13.8" thickBot="1" x14ac:dyDescent="0.55000000000000004">
      <c r="D33" s="236" t="s">
        <v>588</v>
      </c>
      <c r="E33" s="237" t="str">
        <f>'8'!E10</f>
        <v>SCS</v>
      </c>
      <c r="F33" s="237" t="str">
        <f>'8'!F10</f>
        <v>SCS</v>
      </c>
    </row>
    <row r="34" spans="4:6" ht="13.2" thickBot="1" x14ac:dyDescent="0.55000000000000004">
      <c r="D34" s="687" t="s">
        <v>589</v>
      </c>
      <c r="E34" s="688"/>
      <c r="F34" s="689"/>
    </row>
    <row r="35" spans="4:6" ht="13.8" thickBot="1" x14ac:dyDescent="0.55000000000000004">
      <c r="D35" s="236" t="s">
        <v>590</v>
      </c>
      <c r="E35" s="237" t="str">
        <f>'8'!E12</f>
        <v>ACS</v>
      </c>
      <c r="F35" s="237" t="str">
        <f>'8'!F12</f>
        <v>ACS</v>
      </c>
    </row>
    <row r="36" spans="4:6" ht="13.8" thickBot="1" x14ac:dyDescent="0.55000000000000004">
      <c r="D36" s="236" t="s">
        <v>591</v>
      </c>
      <c r="E36" s="237" t="str">
        <f>'8'!E13</f>
        <v>ACS</v>
      </c>
      <c r="F36" s="237" t="str">
        <f>'8'!F13</f>
        <v>ACS</v>
      </c>
    </row>
    <row r="37" spans="4:6" ht="27.3" thickBot="1" x14ac:dyDescent="0.55000000000000004">
      <c r="D37" s="236" t="s">
        <v>592</v>
      </c>
      <c r="E37" s="237" t="str">
        <f>'8'!E14</f>
        <v>ACS</v>
      </c>
      <c r="F37" s="237" t="str">
        <f>'8'!F14</f>
        <v>ACS</v>
      </c>
    </row>
    <row r="38" spans="4:6" ht="27.3" thickBot="1" x14ac:dyDescent="0.55000000000000004">
      <c r="D38" s="236" t="s">
        <v>593</v>
      </c>
      <c r="E38" s="237" t="str">
        <f>'8'!E15</f>
        <v>ACS</v>
      </c>
      <c r="F38" s="237" t="str">
        <f>'8'!F15</f>
        <v>ACS</v>
      </c>
    </row>
    <row r="39" spans="4:6" ht="13.8" thickBot="1" x14ac:dyDescent="0.55000000000000004">
      <c r="D39" s="236" t="s">
        <v>594</v>
      </c>
      <c r="E39" s="237" t="str">
        <f>'8'!E16</f>
        <v>ACS</v>
      </c>
      <c r="F39" s="237" t="str">
        <f>'8'!F16</f>
        <v>ACS</v>
      </c>
    </row>
    <row r="40" spans="4:6" ht="13.8" thickBot="1" x14ac:dyDescent="0.55000000000000004">
      <c r="D40" s="236" t="s">
        <v>595</v>
      </c>
      <c r="E40" s="237" t="str">
        <f>'8'!E17</f>
        <v>ACS</v>
      </c>
      <c r="F40" s="237" t="str">
        <f>'8'!F17</f>
        <v>ACS</v>
      </c>
    </row>
    <row r="41" spans="4:6" ht="13.8" thickBot="1" x14ac:dyDescent="0.55000000000000004">
      <c r="D41" s="236" t="s">
        <v>596</v>
      </c>
      <c r="E41" s="238" t="str">
        <f>'8'!E18</f>
        <v>N/A</v>
      </c>
      <c r="F41" s="238" t="str">
        <f>'8'!F18</f>
        <v>ACS</v>
      </c>
    </row>
    <row r="42" spans="4:6" ht="13.8" thickBot="1" x14ac:dyDescent="0.55000000000000004">
      <c r="D42" s="236" t="s">
        <v>597</v>
      </c>
      <c r="E42" s="237" t="str">
        <f>'8'!E19</f>
        <v>ACS</v>
      </c>
      <c r="F42" s="237" t="str">
        <f>'8'!F19</f>
        <v>ACS</v>
      </c>
    </row>
    <row r="43" spans="4:6" ht="27.3" thickBot="1" x14ac:dyDescent="0.55000000000000004">
      <c r="D43" s="236" t="s">
        <v>598</v>
      </c>
      <c r="E43" s="237" t="str">
        <f>'8'!E20</f>
        <v>ACS</v>
      </c>
      <c r="F43" s="237" t="str">
        <f>'8'!F20</f>
        <v>ACS</v>
      </c>
    </row>
    <row r="44" spans="4:6" ht="27.3" thickBot="1" x14ac:dyDescent="0.55000000000000004">
      <c r="D44" s="236" t="s">
        <v>599</v>
      </c>
      <c r="E44" s="238" t="str">
        <f>'8'!E21</f>
        <v>N/A</v>
      </c>
      <c r="F44" s="238" t="str">
        <f>'8'!F21</f>
        <v>ACS</v>
      </c>
    </row>
    <row r="45" spans="4:6" ht="40.799999999999997" thickBot="1" x14ac:dyDescent="0.55000000000000004">
      <c r="D45" s="236" t="s">
        <v>600</v>
      </c>
      <c r="E45" s="237" t="str">
        <f>'8'!E22</f>
        <v>ACS</v>
      </c>
      <c r="F45" s="237" t="str">
        <f>'8'!F22</f>
        <v>ACS</v>
      </c>
    </row>
    <row r="46" spans="4:6" ht="27.3" thickBot="1" x14ac:dyDescent="0.55000000000000004">
      <c r="D46" s="236" t="s">
        <v>601</v>
      </c>
      <c r="E46" s="237" t="str">
        <f>'8'!E23</f>
        <v>N/A</v>
      </c>
      <c r="F46" s="237" t="str">
        <f>'8'!F23</f>
        <v>ACS</v>
      </c>
    </row>
    <row r="47" spans="4:6" ht="13.2" thickBot="1" x14ac:dyDescent="0.55000000000000004">
      <c r="D47" s="687" t="s">
        <v>602</v>
      </c>
      <c r="E47" s="688"/>
      <c r="F47" s="689"/>
    </row>
    <row r="48" spans="4:6" ht="13.8" thickBot="1" x14ac:dyDescent="0.55000000000000004">
      <c r="D48" s="236" t="s">
        <v>603</v>
      </c>
      <c r="E48" s="238" t="str">
        <f>'8'!E25</f>
        <v>SCS</v>
      </c>
      <c r="F48" s="238" t="str">
        <f>'8'!F25</f>
        <v>ACS</v>
      </c>
    </row>
    <row r="49" spans="2:6" ht="13.8" thickBot="1" x14ac:dyDescent="0.55000000000000004">
      <c r="D49" s="236" t="s">
        <v>604</v>
      </c>
      <c r="E49" s="237" t="str">
        <f>'8'!E26</f>
        <v>SCS</v>
      </c>
      <c r="F49" s="237" t="str">
        <f>'8'!F26</f>
        <v>SCS</v>
      </c>
    </row>
    <row r="50" spans="2:6" ht="27.3" thickBot="1" x14ac:dyDescent="0.55000000000000004">
      <c r="D50" s="236" t="s">
        <v>605</v>
      </c>
      <c r="E50" s="237" t="str">
        <f>'8'!E27</f>
        <v>ACS</v>
      </c>
      <c r="F50" s="237" t="str">
        <f>'8'!F27</f>
        <v>ACS</v>
      </c>
    </row>
    <row r="51" spans="2:6" ht="13.2" thickBot="1" x14ac:dyDescent="0.55000000000000004">
      <c r="D51" s="687" t="s">
        <v>606</v>
      </c>
      <c r="E51" s="688"/>
      <c r="F51" s="689"/>
    </row>
    <row r="52" spans="2:6" ht="13.8" thickBot="1" x14ac:dyDescent="0.55000000000000004">
      <c r="D52" s="236" t="s">
        <v>607</v>
      </c>
      <c r="E52" s="237" t="str">
        <f>'8'!E29</f>
        <v>SCS</v>
      </c>
      <c r="F52" s="237" t="str">
        <f>'8'!F29</f>
        <v>SCS</v>
      </c>
    </row>
    <row r="53" spans="2:6" ht="13.8" thickBot="1" x14ac:dyDescent="0.55000000000000004">
      <c r="D53" s="236" t="s">
        <v>608</v>
      </c>
      <c r="E53" s="237" t="str">
        <f>'8'!E30</f>
        <v>ACS</v>
      </c>
      <c r="F53" s="237" t="str">
        <f>'8'!F30</f>
        <v>ACS</v>
      </c>
    </row>
    <row r="54" spans="2:6" ht="13.2" thickBot="1" x14ac:dyDescent="0.55000000000000004">
      <c r="D54" s="687" t="s">
        <v>609</v>
      </c>
      <c r="E54" s="688"/>
      <c r="F54" s="689"/>
    </row>
    <row r="55" spans="2:6" ht="27.3" thickBot="1" x14ac:dyDescent="0.55000000000000004">
      <c r="D55" s="236" t="s">
        <v>242</v>
      </c>
      <c r="E55" s="238" t="str">
        <f>'8'!E32</f>
        <v>N/A</v>
      </c>
      <c r="F55" s="238" t="str">
        <f>'8'!F32</f>
        <v>Unclassified</v>
      </c>
    </row>
    <row r="57" spans="2:6" s="139" customFormat="1" x14ac:dyDescent="0.35">
      <c r="B57" s="139" t="s">
        <v>1168</v>
      </c>
    </row>
    <row r="75" spans="2:16" s="139" customFormat="1" x14ac:dyDescent="0.35">
      <c r="B75" s="139" t="s">
        <v>1490</v>
      </c>
    </row>
    <row r="76" spans="2:16" ht="13.2" thickBot="1" x14ac:dyDescent="0.55000000000000004">
      <c r="J76" s="300"/>
    </row>
    <row r="77" spans="2:16" ht="26.1" thickBot="1" x14ac:dyDescent="0.55000000000000004">
      <c r="D77" s="511"/>
      <c r="E77" s="511" t="s">
        <v>246</v>
      </c>
      <c r="F77" s="511" t="s">
        <v>247</v>
      </c>
      <c r="G77" s="511" t="s">
        <v>248</v>
      </c>
      <c r="H77" s="511" t="s">
        <v>249</v>
      </c>
      <c r="I77" s="511" t="s">
        <v>250</v>
      </c>
      <c r="J77" s="303" t="s">
        <v>236</v>
      </c>
      <c r="K77" s="512" t="s">
        <v>237</v>
      </c>
      <c r="L77" s="512" t="s">
        <v>238</v>
      </c>
      <c r="M77" s="512" t="s">
        <v>239</v>
      </c>
      <c r="N77" s="512" t="s">
        <v>240</v>
      </c>
      <c r="O77" s="512" t="s">
        <v>830</v>
      </c>
      <c r="P77" s="512" t="s">
        <v>829</v>
      </c>
    </row>
    <row r="78" spans="2:16" ht="13.8" thickBot="1" x14ac:dyDescent="0.55000000000000004">
      <c r="D78" s="510" t="s">
        <v>888</v>
      </c>
      <c r="E78" s="281">
        <f>CUSTOMER_O!E61</f>
        <v>81111</v>
      </c>
      <c r="F78" s="281">
        <f>CUSTOMER_O!F61</f>
        <v>82915</v>
      </c>
      <c r="G78" s="281">
        <f>CUSTOMER_O!G61</f>
        <v>83587</v>
      </c>
      <c r="H78" s="281">
        <f>CUSTOMER_O!H61</f>
        <v>83959</v>
      </c>
      <c r="I78" s="281">
        <f>CUSTOMER_O!I61</f>
        <v>84420</v>
      </c>
      <c r="J78" s="281">
        <f>CUSTOMER_O!J61</f>
        <v>85072</v>
      </c>
      <c r="K78" s="281">
        <f>CUSTOMER_O!K61</f>
        <v>85848</v>
      </c>
      <c r="L78" s="281">
        <f>CUSTOMER_O!L61</f>
        <v>86641</v>
      </c>
      <c r="M78" s="281">
        <f>CUSTOMER_O!M61</f>
        <v>87028</v>
      </c>
      <c r="N78" s="281">
        <f>CUSTOMER_O!N61</f>
        <v>87419</v>
      </c>
      <c r="O78" s="283" t="str">
        <f>NA</f>
        <v>N/A</v>
      </c>
      <c r="P78" s="283" t="str">
        <f>NA</f>
        <v>N/A</v>
      </c>
    </row>
    <row r="79" spans="2:16" ht="13.8" thickBot="1" x14ac:dyDescent="0.55000000000000004">
      <c r="D79" s="510" t="s">
        <v>889</v>
      </c>
      <c r="E79" s="266">
        <f>CUSTOMER_O!E62</f>
        <v>348.89</v>
      </c>
      <c r="F79" s="266">
        <f>CUSTOMER_O!F62</f>
        <v>353.83000000000004</v>
      </c>
      <c r="G79" s="266">
        <f>CUSTOMER_O!G62</f>
        <v>357.45929172399997</v>
      </c>
      <c r="H79" s="266">
        <f>CUSTOMER_O!H62</f>
        <v>351.64025275700004</v>
      </c>
      <c r="I79" s="266">
        <f>CUSTOMER_O!I62</f>
        <v>344.61873374300001</v>
      </c>
      <c r="J79" s="266">
        <f>CUSTOMER_O!J62</f>
        <v>339.07925003499997</v>
      </c>
      <c r="K79" s="266">
        <f>CUSTOMER_O!K62</f>
        <v>339.32073156500002</v>
      </c>
      <c r="L79" s="266">
        <f>CUSTOMER_O!L62</f>
        <v>336.87572723300002</v>
      </c>
      <c r="M79" s="266">
        <f>CUSTOMER_O!M62</f>
        <v>336.03994168899999</v>
      </c>
      <c r="N79" s="266">
        <f>CUSTOMER_O!N62</f>
        <v>335.67859043299995</v>
      </c>
      <c r="O79" s="283" t="str">
        <f>NA</f>
        <v>N/A</v>
      </c>
      <c r="P79" s="283" t="str">
        <f>NA</f>
        <v>N/A</v>
      </c>
    </row>
    <row r="80" spans="2:16" x14ac:dyDescent="0.5">
      <c r="J80" s="300"/>
      <c r="N80" s="408"/>
    </row>
    <row r="81" spans="9:10" x14ac:dyDescent="0.5">
      <c r="I81" s="204" t="s">
        <v>935</v>
      </c>
      <c r="J81" s="300"/>
    </row>
    <row r="82" spans="9:10" x14ac:dyDescent="0.5">
      <c r="I82" s="411" t="s">
        <v>1623</v>
      </c>
      <c r="J82" s="300"/>
    </row>
    <row r="83" spans="9:10" x14ac:dyDescent="0.5">
      <c r="J83" s="300"/>
    </row>
    <row r="84" spans="9:10" x14ac:dyDescent="0.5">
      <c r="J84" s="300"/>
    </row>
    <row r="85" spans="9:10" x14ac:dyDescent="0.5">
      <c r="I85" s="204"/>
      <c r="J85" s="300"/>
    </row>
    <row r="86" spans="9:10" x14ac:dyDescent="0.5">
      <c r="I86" s="411"/>
      <c r="J86" s="300"/>
    </row>
    <row r="87" spans="9:10" x14ac:dyDescent="0.5">
      <c r="J87" s="300"/>
    </row>
    <row r="88" spans="9:10" x14ac:dyDescent="0.5">
      <c r="J88" s="300"/>
    </row>
    <row r="89" spans="9:10" x14ac:dyDescent="0.5">
      <c r="J89" s="300"/>
    </row>
    <row r="90" spans="9:10" x14ac:dyDescent="0.5">
      <c r="J90" s="300"/>
    </row>
    <row r="91" spans="9:10" x14ac:dyDescent="0.5">
      <c r="J91" s="300"/>
    </row>
    <row r="92" spans="9:10" x14ac:dyDescent="0.5">
      <c r="J92" s="300"/>
    </row>
    <row r="93" spans="9:10" x14ac:dyDescent="0.5">
      <c r="J93" s="300"/>
    </row>
    <row r="94" spans="9:10" x14ac:dyDescent="0.5">
      <c r="J94" s="300"/>
    </row>
    <row r="95" spans="9:10" x14ac:dyDescent="0.5">
      <c r="J95" s="300"/>
    </row>
    <row r="96" spans="9:10" x14ac:dyDescent="0.5">
      <c r="J96" s="300"/>
    </row>
    <row r="97" spans="2:10" x14ac:dyDescent="0.5">
      <c r="J97" s="300"/>
    </row>
    <row r="98" spans="2:10" s="139" customFormat="1" x14ac:dyDescent="0.35">
      <c r="B98" s="139" t="s">
        <v>1491</v>
      </c>
    </row>
    <row r="110" spans="2:10" s="139" customFormat="1" x14ac:dyDescent="0.35">
      <c r="B110" s="139" t="s">
        <v>1492</v>
      </c>
    </row>
    <row r="124" spans="2:2" s="139" customFormat="1" x14ac:dyDescent="0.35">
      <c r="B124" s="139" t="s">
        <v>1493</v>
      </c>
    </row>
    <row r="133" spans="2:11" s="139" customFormat="1" x14ac:dyDescent="0.35">
      <c r="B133" s="139" t="s">
        <v>1169</v>
      </c>
    </row>
    <row r="134" spans="2:11" ht="13.2" thickBot="1" x14ac:dyDescent="0.55000000000000004"/>
    <row r="135" spans="2:11" ht="39.75" customHeight="1" thickBot="1" x14ac:dyDescent="0.55000000000000004">
      <c r="D135" s="308" t="s">
        <v>1170</v>
      </c>
      <c r="E135" s="801" t="s">
        <v>1171</v>
      </c>
      <c r="F135" s="801"/>
      <c r="G135" s="801"/>
      <c r="H135" s="801"/>
      <c r="I135" s="801"/>
      <c r="J135" s="801"/>
      <c r="K135" s="801"/>
    </row>
    <row r="136" spans="2:11" ht="13.5" customHeight="1" thickBot="1" x14ac:dyDescent="0.55000000000000004">
      <c r="D136" s="802" t="s">
        <v>1172</v>
      </c>
      <c r="E136" s="792" t="str">
        <f>TSS_O!E66</f>
        <v>Residential customers consuming &lt;750MWh pa with standard accumulation meters</v>
      </c>
      <c r="F136" s="793"/>
      <c r="G136" s="793"/>
      <c r="H136" s="793"/>
      <c r="I136" s="793"/>
      <c r="J136" s="793"/>
      <c r="K136" s="794"/>
    </row>
    <row r="137" spans="2:11" ht="13.5" customHeight="1" thickBot="1" x14ac:dyDescent="0.55000000000000004">
      <c r="D137" s="803"/>
      <c r="E137" s="792" t="str">
        <f>TSS_O!E67</f>
        <v>Non-residential customers consuming &lt;750 MWh pa with standard accumulation meters</v>
      </c>
      <c r="F137" s="793"/>
      <c r="G137" s="793"/>
      <c r="H137" s="793"/>
      <c r="I137" s="793"/>
      <c r="J137" s="793"/>
      <c r="K137" s="794"/>
    </row>
    <row r="138" spans="2:11" ht="13.5" customHeight="1" thickBot="1" x14ac:dyDescent="0.55000000000000004">
      <c r="D138" s="803"/>
      <c r="E138" s="792" t="str">
        <f>TSS_O!E68</f>
        <v>Customers consuming &lt;750 MWh pa with smart meters</v>
      </c>
      <c r="F138" s="793"/>
      <c r="G138" s="793"/>
      <c r="H138" s="793"/>
      <c r="I138" s="793"/>
      <c r="J138" s="793"/>
      <c r="K138" s="794"/>
    </row>
    <row r="139" spans="2:11" ht="45.75" customHeight="1" thickBot="1" x14ac:dyDescent="0.55000000000000004">
      <c r="D139" s="804"/>
      <c r="E139" s="792" t="str">
        <f>TSS_O!E69</f>
        <v xml:space="preserve">Unmetered:
• Street lighting and similar unmetered 12 hour supplies
• Traffic lights and similar unmetered 24 hour supplies. </v>
      </c>
      <c r="F139" s="793"/>
      <c r="G139" s="793"/>
      <c r="H139" s="793"/>
      <c r="I139" s="793"/>
      <c r="J139" s="793"/>
      <c r="K139" s="794"/>
    </row>
    <row r="140" spans="2:11" ht="13.8" thickBot="1" x14ac:dyDescent="0.55000000000000004">
      <c r="D140" s="476" t="s">
        <v>1173</v>
      </c>
      <c r="E140" s="792" t="str">
        <f>TSS_O!E70</f>
        <v>Customers consuming &gt;750MWh pa connected to the LV network</v>
      </c>
      <c r="F140" s="793"/>
      <c r="G140" s="793"/>
      <c r="H140" s="793"/>
      <c r="I140" s="793"/>
      <c r="J140" s="793"/>
      <c r="K140" s="794"/>
    </row>
    <row r="141" spans="2:11" ht="13.8" thickBot="1" x14ac:dyDescent="0.55000000000000004">
      <c r="D141" s="476" t="s">
        <v>1174</v>
      </c>
      <c r="E141" s="795" t="str">
        <f>TSS_O!E71</f>
        <v>Customers connected to the HV network</v>
      </c>
      <c r="F141" s="796"/>
      <c r="G141" s="796"/>
      <c r="H141" s="796"/>
      <c r="I141" s="796"/>
      <c r="J141" s="796"/>
      <c r="K141" s="797"/>
    </row>
    <row r="143" spans="2:11" s="139" customFormat="1" x14ac:dyDescent="0.35">
      <c r="B143" s="139" t="s">
        <v>1494</v>
      </c>
    </row>
    <row r="159" spans="2:2" s="139" customFormat="1" x14ac:dyDescent="0.35">
      <c r="B159" s="139" t="s">
        <v>1495</v>
      </c>
    </row>
    <row r="180" spans="2:11" s="139" customFormat="1" x14ac:dyDescent="0.35">
      <c r="B180" s="139" t="s">
        <v>1175</v>
      </c>
    </row>
    <row r="181" spans="2:11" ht="13.2" thickBot="1" x14ac:dyDescent="0.55000000000000004"/>
    <row r="182" spans="2:11" ht="64.8" thickBot="1" x14ac:dyDescent="0.55000000000000004">
      <c r="D182" s="308" t="s">
        <v>1176</v>
      </c>
      <c r="E182" s="434" t="s">
        <v>1177</v>
      </c>
      <c r="F182" s="434" t="s">
        <v>1752</v>
      </c>
      <c r="G182" s="434" t="s">
        <v>1708</v>
      </c>
      <c r="H182" s="434" t="s">
        <v>1178</v>
      </c>
      <c r="I182" s="434" t="s">
        <v>1179</v>
      </c>
      <c r="J182" s="628" t="s">
        <v>1707</v>
      </c>
      <c r="K182" s="434" t="s">
        <v>1180</v>
      </c>
    </row>
    <row r="183" spans="2:11" ht="13.8" thickBot="1" x14ac:dyDescent="0.55000000000000004">
      <c r="D183" s="142" t="s">
        <v>1181</v>
      </c>
      <c r="E183" s="435" t="s">
        <v>1182</v>
      </c>
      <c r="F183" s="435" t="s">
        <v>1182</v>
      </c>
      <c r="G183" s="435" t="s">
        <v>1049</v>
      </c>
      <c r="H183" s="435" t="s">
        <v>1049</v>
      </c>
      <c r="I183" s="435" t="s">
        <v>1049</v>
      </c>
      <c r="J183" s="435" t="s">
        <v>1049</v>
      </c>
      <c r="K183" s="435" t="s">
        <v>1049</v>
      </c>
    </row>
    <row r="184" spans="2:11" ht="13.8" thickBot="1" x14ac:dyDescent="0.55000000000000004">
      <c r="D184" s="142" t="s">
        <v>1183</v>
      </c>
      <c r="E184" s="435" t="s">
        <v>1182</v>
      </c>
      <c r="F184" s="435" t="s">
        <v>1182</v>
      </c>
      <c r="G184" s="435" t="s">
        <v>1049</v>
      </c>
      <c r="H184" s="435" t="s">
        <v>1049</v>
      </c>
      <c r="I184" s="435" t="s">
        <v>1049</v>
      </c>
      <c r="J184" s="435" t="s">
        <v>1049</v>
      </c>
      <c r="K184" s="435" t="s">
        <v>1049</v>
      </c>
    </row>
    <row r="185" spans="2:11" ht="13.8" thickBot="1" x14ac:dyDescent="0.55000000000000004">
      <c r="D185" s="142" t="s">
        <v>1184</v>
      </c>
      <c r="E185" s="435" t="s">
        <v>1182</v>
      </c>
      <c r="F185" s="435" t="s">
        <v>1049</v>
      </c>
      <c r="G185" s="435" t="s">
        <v>1182</v>
      </c>
      <c r="H185" s="435" t="s">
        <v>1182</v>
      </c>
      <c r="I185" s="435" t="s">
        <v>1049</v>
      </c>
      <c r="J185" s="435" t="s">
        <v>1384</v>
      </c>
      <c r="K185" s="435" t="s">
        <v>1049</v>
      </c>
    </row>
    <row r="186" spans="2:11" ht="13.8" thickBot="1" x14ac:dyDescent="0.55000000000000004">
      <c r="D186" s="142" t="s">
        <v>1185</v>
      </c>
      <c r="E186" s="435" t="s">
        <v>1049</v>
      </c>
      <c r="F186" s="435" t="s">
        <v>1049</v>
      </c>
      <c r="G186" s="435" t="s">
        <v>1049</v>
      </c>
      <c r="H186" s="435" t="s">
        <v>1049</v>
      </c>
      <c r="I186" s="435" t="s">
        <v>1049</v>
      </c>
      <c r="J186" s="435" t="s">
        <v>1049</v>
      </c>
      <c r="K186" s="435" t="s">
        <v>1182</v>
      </c>
    </row>
    <row r="187" spans="2:11" ht="13.8" thickBot="1" x14ac:dyDescent="0.55000000000000004">
      <c r="D187" s="142" t="s">
        <v>1186</v>
      </c>
      <c r="E187" s="435" t="s">
        <v>1049</v>
      </c>
      <c r="F187" s="435" t="s">
        <v>1049</v>
      </c>
      <c r="G187" s="435" t="s">
        <v>1049</v>
      </c>
      <c r="H187" s="435" t="s">
        <v>1049</v>
      </c>
      <c r="I187" s="435" t="s">
        <v>1049</v>
      </c>
      <c r="J187" s="435" t="s">
        <v>1049</v>
      </c>
      <c r="K187" s="435" t="s">
        <v>1182</v>
      </c>
    </row>
    <row r="189" spans="2:11" s="139" customFormat="1" x14ac:dyDescent="0.35">
      <c r="B189" s="139" t="s">
        <v>1187</v>
      </c>
    </row>
    <row r="190" spans="2:11" ht="13.2" thickBot="1" x14ac:dyDescent="0.55000000000000004"/>
    <row r="191" spans="2:11" ht="39" thickBot="1" x14ac:dyDescent="0.55000000000000004">
      <c r="D191" s="308" t="s">
        <v>1188</v>
      </c>
      <c r="E191" s="434" t="s">
        <v>1189</v>
      </c>
      <c r="F191" s="434" t="s">
        <v>1190</v>
      </c>
      <c r="G191" s="434" t="s">
        <v>1191</v>
      </c>
      <c r="H191" s="434" t="s">
        <v>1192</v>
      </c>
      <c r="I191" s="434" t="s">
        <v>1178</v>
      </c>
      <c r="J191" s="434" t="s">
        <v>1179</v>
      </c>
      <c r="K191" s="434" t="s">
        <v>1193</v>
      </c>
    </row>
    <row r="192" spans="2:11" ht="13.8" thickBot="1" x14ac:dyDescent="0.55000000000000004">
      <c r="D192" s="142" t="s">
        <v>1173</v>
      </c>
      <c r="E192" s="435" t="s">
        <v>1182</v>
      </c>
      <c r="F192" s="435" t="s">
        <v>1182</v>
      </c>
      <c r="G192" s="435" t="s">
        <v>1049</v>
      </c>
      <c r="H192" s="435" t="s">
        <v>1049</v>
      </c>
      <c r="I192" s="435" t="s">
        <v>1182</v>
      </c>
      <c r="J192" s="435" t="s">
        <v>1049</v>
      </c>
      <c r="K192" s="435" t="s">
        <v>1182</v>
      </c>
    </row>
    <row r="194" spans="2:11" s="139" customFormat="1" x14ac:dyDescent="0.35">
      <c r="B194" s="139" t="s">
        <v>1194</v>
      </c>
    </row>
    <row r="195" spans="2:11" ht="13.2" thickBot="1" x14ac:dyDescent="0.55000000000000004"/>
    <row r="196" spans="2:11" ht="39" thickBot="1" x14ac:dyDescent="0.55000000000000004">
      <c r="D196" s="308" t="s">
        <v>1188</v>
      </c>
      <c r="E196" s="434" t="s">
        <v>1189</v>
      </c>
      <c r="F196" s="434" t="s">
        <v>1190</v>
      </c>
      <c r="G196" s="434" t="s">
        <v>1191</v>
      </c>
      <c r="H196" s="434" t="s">
        <v>1192</v>
      </c>
      <c r="I196" s="434" t="s">
        <v>1178</v>
      </c>
      <c r="J196" s="434" t="s">
        <v>1179</v>
      </c>
      <c r="K196" s="434" t="s">
        <v>1193</v>
      </c>
    </row>
    <row r="197" spans="2:11" ht="13.8" thickBot="1" x14ac:dyDescent="0.55000000000000004">
      <c r="D197" s="142" t="s">
        <v>1381</v>
      </c>
      <c r="E197" s="435" t="s">
        <v>1384</v>
      </c>
      <c r="F197" s="435" t="s">
        <v>1182</v>
      </c>
      <c r="G197" s="435" t="s">
        <v>1049</v>
      </c>
      <c r="H197" s="435" t="s">
        <v>1049</v>
      </c>
      <c r="I197" s="435" t="s">
        <v>1182</v>
      </c>
      <c r="J197" s="435" t="s">
        <v>1049</v>
      </c>
      <c r="K197" s="435" t="s">
        <v>1182</v>
      </c>
    </row>
    <row r="198" spans="2:11" ht="13.8" thickBot="1" x14ac:dyDescent="0.55000000000000004">
      <c r="D198" s="142" t="s">
        <v>1195</v>
      </c>
      <c r="E198" s="435" t="s">
        <v>1384</v>
      </c>
      <c r="F198" s="435" t="s">
        <v>1182</v>
      </c>
      <c r="G198" s="435" t="s">
        <v>1049</v>
      </c>
      <c r="H198" s="435" t="s">
        <v>1049</v>
      </c>
      <c r="I198" s="435" t="s">
        <v>1182</v>
      </c>
      <c r="J198" s="435" t="s">
        <v>1049</v>
      </c>
      <c r="K198" s="435" t="s">
        <v>1182</v>
      </c>
    </row>
    <row r="200" spans="2:11" s="139" customFormat="1" x14ac:dyDescent="0.35">
      <c r="B200" s="139" t="s">
        <v>1196</v>
      </c>
    </row>
    <row r="201" spans="2:11" ht="13.2" thickBot="1" x14ac:dyDescent="0.55000000000000004"/>
    <row r="202" spans="2:11" ht="13.2" thickBot="1" x14ac:dyDescent="0.55000000000000004">
      <c r="D202" s="805" t="s">
        <v>1197</v>
      </c>
      <c r="E202" s="807" t="s">
        <v>1170</v>
      </c>
      <c r="F202" s="808"/>
      <c r="G202" s="808"/>
    </row>
    <row r="203" spans="2:11" ht="26.1" thickBot="1" x14ac:dyDescent="0.55000000000000004">
      <c r="D203" s="806"/>
      <c r="E203" s="433" t="s">
        <v>1198</v>
      </c>
      <c r="F203" s="433" t="s">
        <v>1199</v>
      </c>
      <c r="G203" s="433" t="s">
        <v>1174</v>
      </c>
    </row>
    <row r="204" spans="2:11" ht="13.8" thickBot="1" x14ac:dyDescent="0.55000000000000004">
      <c r="D204" s="142" t="s">
        <v>1200</v>
      </c>
      <c r="E204" s="437">
        <f>[13]Output_AER_Compliance!J66</f>
        <v>153488.78463247034</v>
      </c>
      <c r="F204" s="437">
        <f>[13]Output_AER_Compliance!K66</f>
        <v>140221.60378469538</v>
      </c>
      <c r="G204" s="437">
        <f>[13]Output_AER_Compliance!L66</f>
        <v>52468.211590706735</v>
      </c>
    </row>
    <row r="205" spans="2:11" ht="13.8" thickBot="1" x14ac:dyDescent="0.55000000000000004">
      <c r="D205" s="142" t="s">
        <v>1201</v>
      </c>
      <c r="E205" s="437">
        <f>[13]Output_AER_Compliance!J67</f>
        <v>130696.8671331246</v>
      </c>
      <c r="F205" s="437">
        <f>[13]Output_AER_Compliance!K67</f>
        <v>17445.249353450752</v>
      </c>
      <c r="G205" s="437">
        <f>[13]Output_AER_Compliance!L67</f>
        <v>16856.497391589084</v>
      </c>
    </row>
    <row r="206" spans="2:11" ht="13.8" thickBot="1" x14ac:dyDescent="0.55000000000000004">
      <c r="D206" s="142" t="s">
        <v>1202</v>
      </c>
      <c r="E206" s="437">
        <f>[13]Output_AER_Compliance!J68</f>
        <v>20216.663239890215</v>
      </c>
      <c r="F206" s="437">
        <f>[13]Output_AER_Compliance!K68</f>
        <v>11113.346883954133</v>
      </c>
      <c r="G206" s="437">
        <f>[13]Output_AER_Compliance!L68</f>
        <v>5361.2334895073382</v>
      </c>
    </row>
    <row r="208" spans="2:11" s="139" customFormat="1" x14ac:dyDescent="0.35">
      <c r="B208" s="139" t="s">
        <v>1496</v>
      </c>
    </row>
    <row r="215" spans="2:5" s="139" customFormat="1" x14ac:dyDescent="0.35">
      <c r="B215" s="139" t="s">
        <v>1203</v>
      </c>
    </row>
    <row r="216" spans="2:5" ht="13.2" thickBot="1" x14ac:dyDescent="0.55000000000000004"/>
    <row r="217" spans="2:5" ht="13.2" thickBot="1" x14ac:dyDescent="0.55000000000000004">
      <c r="D217" s="805" t="s">
        <v>1188</v>
      </c>
      <c r="E217" s="433" t="s">
        <v>1204</v>
      </c>
    </row>
    <row r="218" spans="2:5" ht="39" thickBot="1" x14ac:dyDescent="0.55000000000000004">
      <c r="D218" s="806"/>
      <c r="E218" s="433" t="s">
        <v>1213</v>
      </c>
    </row>
    <row r="219" spans="2:5" ht="13.8" thickBot="1" x14ac:dyDescent="0.55000000000000004">
      <c r="D219" s="142" t="s">
        <v>1205</v>
      </c>
      <c r="E219" s="436">
        <f>[13]Calc_LRMC!$K$80/Mths_In_Yr</f>
        <v>38.904799672435608</v>
      </c>
    </row>
    <row r="220" spans="2:5" ht="13.8" thickBot="1" x14ac:dyDescent="0.55000000000000004">
      <c r="D220" s="142" t="s">
        <v>1173</v>
      </c>
      <c r="E220" s="436">
        <f>[13]Calc_LRMC!$L$80/Mths_In_Yr</f>
        <v>38.904799672435608</v>
      </c>
    </row>
    <row r="221" spans="2:5" ht="13.8" thickBot="1" x14ac:dyDescent="0.55000000000000004">
      <c r="D221" s="142" t="s">
        <v>1174</v>
      </c>
      <c r="E221" s="436">
        <f>[13]Calc_LRMC!$M$80/Mths_In_Yr</f>
        <v>18.380020615302126</v>
      </c>
    </row>
    <row r="223" spans="2:5" s="139" customFormat="1" x14ac:dyDescent="0.35">
      <c r="B223" s="139" t="s">
        <v>1497</v>
      </c>
    </row>
    <row r="249" spans="2:10" s="139" customFormat="1" x14ac:dyDescent="0.35">
      <c r="B249" s="139" t="s">
        <v>1388</v>
      </c>
    </row>
    <row r="250" spans="2:10" ht="13.2" thickBot="1" x14ac:dyDescent="0.55000000000000004"/>
    <row r="251" spans="2:10" ht="25.15" customHeight="1" thickBot="1" x14ac:dyDescent="0.55000000000000004">
      <c r="D251" s="725" t="s">
        <v>999</v>
      </c>
      <c r="E251" s="721" t="s">
        <v>1665</v>
      </c>
      <c r="F251" s="722">
        <v>0</v>
      </c>
      <c r="G251" s="721" t="s">
        <v>1001</v>
      </c>
      <c r="H251" s="722">
        <v>0</v>
      </c>
      <c r="I251" s="721" t="s">
        <v>1709</v>
      </c>
      <c r="J251" s="722">
        <v>0</v>
      </c>
    </row>
    <row r="252" spans="2:10" ht="13.2" thickBot="1" x14ac:dyDescent="0.55000000000000004">
      <c r="D252" s="726">
        <v>0</v>
      </c>
      <c r="E252" s="609" t="s">
        <v>1002</v>
      </c>
      <c r="F252" s="609" t="s">
        <v>236</v>
      </c>
      <c r="G252" s="609" t="s">
        <v>258</v>
      </c>
      <c r="H252" s="609" t="s">
        <v>676</v>
      </c>
      <c r="I252" s="609" t="s">
        <v>1295</v>
      </c>
      <c r="J252" s="609" t="s">
        <v>676</v>
      </c>
    </row>
    <row r="253" spans="2:10" ht="27.3" thickBot="1" x14ac:dyDescent="0.55000000000000004">
      <c r="D253" s="611" t="str">
        <f>'21'!D60</f>
        <v>Small Residential Accumulation Meter
(8,500 kWh pa)</v>
      </c>
      <c r="E253" s="395">
        <f>'21'!E60</f>
        <v>1108.6599999999999</v>
      </c>
      <c r="F253" s="395">
        <f>'21'!F60</f>
        <v>1092.6702585312205</v>
      </c>
      <c r="G253" s="395">
        <f>F253-E253</f>
        <v>-15.989741468779357</v>
      </c>
      <c r="H253" s="405">
        <f>G253/E253*100</f>
        <v>-1.4422583541193297</v>
      </c>
      <c r="I253" s="780">
        <f>'21'!I60</f>
        <v>-7.262640055881235</v>
      </c>
      <c r="J253" s="780">
        <f>'21'!J60</f>
        <v>-5.2643273405806994</v>
      </c>
    </row>
    <row r="254" spans="2:10" ht="27.3" thickBot="1" x14ac:dyDescent="0.55000000000000004">
      <c r="D254" s="611" t="str">
        <f>'21'!D61</f>
        <v>Small Residential Smart Meter
(8,500 kWh pa)</v>
      </c>
      <c r="E254" s="395">
        <f>'21'!E61</f>
        <v>1106.9007000000001</v>
      </c>
      <c r="F254" s="395">
        <f>'21'!F61</f>
        <v>1083.2119086543562</v>
      </c>
      <c r="G254" s="395">
        <f t="shared" ref="G254:G260" si="0">F254-E254</f>
        <v>-23.688791345643949</v>
      </c>
      <c r="H254" s="405">
        <f t="shared" ref="H254:H260" si="1">G254/E254*100</f>
        <v>-2.1401008550851897</v>
      </c>
      <c r="I254" s="781">
        <f>'21'!I61</f>
        <v>0</v>
      </c>
      <c r="J254" s="781">
        <f>'21'!J61</f>
        <v>0</v>
      </c>
    </row>
    <row r="255" spans="2:10" ht="27.3" thickBot="1" x14ac:dyDescent="0.55000000000000004">
      <c r="D255" s="611" t="str">
        <f>'21'!D62</f>
        <v>Large Residential Accumulation Meter
(15,000 kWh pa)</v>
      </c>
      <c r="E255" s="395">
        <f>'21'!E62</f>
        <v>1831.135</v>
      </c>
      <c r="F255" s="395">
        <f>'21'!F62</f>
        <v>1749.4897512798561</v>
      </c>
      <c r="G255" s="395">
        <f t="shared" si="0"/>
        <v>-81.645248720143854</v>
      </c>
      <c r="H255" s="405">
        <f t="shared" si="1"/>
        <v>-4.4587236178732779</v>
      </c>
      <c r="I255" s="781">
        <f>'21'!I62</f>
        <v>0</v>
      </c>
      <c r="J255" s="781">
        <f>'21'!J62</f>
        <v>0</v>
      </c>
    </row>
    <row r="256" spans="2:10" ht="27.3" thickBot="1" x14ac:dyDescent="0.55000000000000004">
      <c r="D256" s="611" t="str">
        <f>'21'!D63</f>
        <v>Large Residential Smart Meter
(15,000 kWh pa)</v>
      </c>
      <c r="E256" s="395">
        <f>'21'!E63</f>
        <v>1831.135</v>
      </c>
      <c r="F256" s="395">
        <f>'21'!F63</f>
        <v>1534.7416035076872</v>
      </c>
      <c r="G256" s="395">
        <f t="shared" si="0"/>
        <v>-296.39339649231283</v>
      </c>
      <c r="H256" s="405">
        <f t="shared" si="1"/>
        <v>-16.18632140679485</v>
      </c>
      <c r="I256" s="781">
        <f>'21'!I63</f>
        <v>0</v>
      </c>
      <c r="J256" s="781">
        <f>'21'!J63</f>
        <v>0</v>
      </c>
    </row>
    <row r="257" spans="1:10" ht="27.3" thickBot="1" x14ac:dyDescent="0.55000000000000004">
      <c r="D257" s="611" t="str">
        <f>'21'!D64</f>
        <v>Non-Residential Accumulation Meter
(38,000 kWh pa)</v>
      </c>
      <c r="E257" s="395">
        <f>'21'!E64</f>
        <v>4258.6337999999996</v>
      </c>
      <c r="F257" s="395">
        <f>'21'!F64</f>
        <v>4465.6499999999996</v>
      </c>
      <c r="G257" s="395">
        <f t="shared" si="0"/>
        <v>207.01620000000003</v>
      </c>
      <c r="H257" s="405">
        <f t="shared" si="1"/>
        <v>4.8610941847124787</v>
      </c>
      <c r="I257" s="781">
        <f>'21'!I64</f>
        <v>0</v>
      </c>
      <c r="J257" s="781">
        <f>'21'!J64</f>
        <v>0</v>
      </c>
    </row>
    <row r="258" spans="1:10" ht="27.3" thickBot="1" x14ac:dyDescent="0.55000000000000004">
      <c r="D258" s="611" t="str">
        <f>'21'!D65</f>
        <v>Non-Residential Smart Meter
(38,000 kWh pa)</v>
      </c>
      <c r="E258" s="395">
        <f>'21'!E65</f>
        <v>4258.6337999999996</v>
      </c>
      <c r="F258" s="395">
        <f>'21'!F65</f>
        <v>3299.7426084942963</v>
      </c>
      <c r="G258" s="395">
        <f t="shared" si="0"/>
        <v>-958.89119150570332</v>
      </c>
      <c r="H258" s="405">
        <f t="shared" si="1"/>
        <v>-22.516404005099087</v>
      </c>
      <c r="I258" s="781">
        <f>'21'!I65</f>
        <v>0</v>
      </c>
      <c r="J258" s="781">
        <f>'21'!J65</f>
        <v>0</v>
      </c>
    </row>
    <row r="259" spans="1:10" ht="27.3" thickBot="1" x14ac:dyDescent="0.55000000000000004">
      <c r="D259" s="611" t="str">
        <f>'21'!D66</f>
        <v>Industrial #
(1,000,000 kWh pa)</v>
      </c>
      <c r="E259" s="395">
        <f>'21'!E66</f>
        <v>89481.446513541421</v>
      </c>
      <c r="F259" s="395">
        <f>'21'!F66</f>
        <v>79723.12772837386</v>
      </c>
      <c r="G259" s="395">
        <f t="shared" si="0"/>
        <v>-9758.3187851675611</v>
      </c>
      <c r="H259" s="405">
        <f t="shared" si="1"/>
        <v>-10.90541018879351</v>
      </c>
      <c r="I259" s="780">
        <f>'21'!I66</f>
        <v>0.38496500642813741</v>
      </c>
      <c r="J259" s="780">
        <f>'21'!J66</f>
        <v>1.1457627984996943</v>
      </c>
    </row>
    <row r="260" spans="1:10" ht="27.3" thickBot="1" x14ac:dyDescent="0.55000000000000004">
      <c r="D260" s="611" t="str">
        <f>'21'!D67</f>
        <v xml:space="preserve"> Large Industrial HV
(8,000,000 kWh pa)</v>
      </c>
      <c r="E260" s="395">
        <f>'21'!E67</f>
        <v>405637.8764720097</v>
      </c>
      <c r="F260" s="395">
        <f>'21'!F67</f>
        <v>456419.74301645427</v>
      </c>
      <c r="G260" s="395">
        <f t="shared" si="0"/>
        <v>50781.86654444458</v>
      </c>
      <c r="H260" s="405">
        <f t="shared" si="1"/>
        <v>12.519014986005306</v>
      </c>
      <c r="I260" s="782">
        <f>'21'!I67</f>
        <v>0</v>
      </c>
      <c r="J260" s="782">
        <f>'21'!J67</f>
        <v>0</v>
      </c>
    </row>
    <row r="261" spans="1:10" ht="38.65" customHeight="1" thickBot="1" x14ac:dyDescent="0.55000000000000004">
      <c r="D261" s="718" t="str">
        <f>'21'!D68</f>
        <v>Notes:    * 2018-19 Network Tariffs are indicative and will be subject to review and approval by the 
                  Northern Territory Treasurer in May 2018
               + Excludes ACS Metering</v>
      </c>
      <c r="E261" s="719"/>
      <c r="F261" s="719"/>
      <c r="G261" s="719"/>
      <c r="H261" s="719"/>
      <c r="I261" s="719"/>
      <c r="J261" s="720"/>
    </row>
    <row r="263" spans="1:10" ht="15" x14ac:dyDescent="0.5">
      <c r="A263" s="70">
        <f>IF(SUM(D263:H263)&lt;&gt;0,1,0)</f>
        <v>0</v>
      </c>
      <c r="C263" s="270"/>
      <c r="D263" s="270" t="s">
        <v>1374</v>
      </c>
      <c r="E263" s="268">
        <f>IF(ROUND(SUM('21'!E60:E67)-SUM(E253:E260),4)&lt;&gt;0,1,0)</f>
        <v>0</v>
      </c>
      <c r="F263" s="268">
        <f>IF(ROUND(SUM('21'!F60:F67)-SUM(F253:F260),4)&lt;&gt;0,1,0)</f>
        <v>0</v>
      </c>
      <c r="G263" s="268">
        <f>IF(ROUND(SUM('21'!G60:G67)-SUM(G253:G260),4)&lt;&gt;0,1,0)</f>
        <v>0</v>
      </c>
      <c r="H263" s="268">
        <f>IF(ROUND(SUM('21'!H60:H67)-SUM(H253:H260),4)&lt;&gt;0,1,0)</f>
        <v>0</v>
      </c>
      <c r="I263" s="268">
        <f>IF(ROUND(SUM('21'!I60:I67)-SUM(I253:I260),4)&lt;&gt;0,1,0)</f>
        <v>0</v>
      </c>
      <c r="J263" s="268">
        <f>IF(ROUND(SUM('21'!J60:J67)-SUM(J253:J260),4)&lt;&gt;0,1,0)</f>
        <v>0</v>
      </c>
    </row>
    <row r="264" spans="1:10" ht="13.5" customHeight="1" x14ac:dyDescent="0.5"/>
    <row r="265" spans="1:10" s="139" customFormat="1" x14ac:dyDescent="0.35">
      <c r="B265" s="139" t="s">
        <v>1726</v>
      </c>
    </row>
    <row r="266" spans="1:10" ht="13.2" thickBot="1" x14ac:dyDescent="0.55000000000000004"/>
    <row r="267" spans="1:10" ht="13.2" thickBot="1" x14ac:dyDescent="0.55000000000000004">
      <c r="D267" s="392" t="str">
        <f>'21'!D26</f>
        <v>System Availability Charge</v>
      </c>
      <c r="E267" s="389" t="str">
        <f>'21'!E26</f>
        <v>(¢/day)</v>
      </c>
    </row>
    <row r="268" spans="1:10" ht="13.8" thickBot="1" x14ac:dyDescent="0.55000000000000004">
      <c r="D268" s="231" t="str">
        <f>'21'!D27</f>
        <v>Cents per day per NMI – LV Residential  Accumulation1</v>
      </c>
      <c r="E268" s="403">
        <f>'21'!E27</f>
        <v>64.041769951086621</v>
      </c>
    </row>
    <row r="269" spans="1:10" ht="13.8" thickBot="1" x14ac:dyDescent="0.55000000000000004">
      <c r="D269" s="231" t="str">
        <f>'21'!D28</f>
        <v>Cents per day per NMI –   LV Non Residential  Accumulation1</v>
      </c>
      <c r="E269" s="403">
        <f>'21'!E28</f>
        <v>135</v>
      </c>
    </row>
    <row r="270" spans="1:10" ht="13.8" thickBot="1" x14ac:dyDescent="0.55000000000000004">
      <c r="D270" s="231" t="str">
        <f>'21'!D29</f>
        <v>Cents per day per NMI –  LV Smart Meter &lt;40 MWh1</v>
      </c>
      <c r="E270" s="403">
        <f>'21'!E29</f>
        <v>135</v>
      </c>
    </row>
    <row r="271" spans="1:10" ht="13.8" thickBot="1" x14ac:dyDescent="0.55000000000000004">
      <c r="D271" s="231" t="str">
        <f>'21'!D30</f>
        <v>Cents per day per NMI –  LV Smart Meter &gt;40 MWh1</v>
      </c>
      <c r="E271" s="403">
        <f>'21'!E30</f>
        <v>650</v>
      </c>
    </row>
    <row r="272" spans="1:10" ht="13.8" thickBot="1" x14ac:dyDescent="0.55000000000000004">
      <c r="D272" s="231" t="str">
        <f>'21'!D31</f>
        <v>Cents per day per NMI – HV &lt;750MWh1</v>
      </c>
      <c r="E272" s="403">
        <f>'21'!E31</f>
        <v>307.08327765560875</v>
      </c>
    </row>
    <row r="273" spans="4:5" ht="13.2" thickBot="1" x14ac:dyDescent="0.55000000000000004">
      <c r="D273" s="393" t="str">
        <f>'21'!D32</f>
        <v>Energy Charges</v>
      </c>
      <c r="E273" s="389" t="str">
        <f>'21'!E32</f>
        <v>(¢/kWh)</v>
      </c>
    </row>
    <row r="274" spans="4:5" ht="13.8" thickBot="1" x14ac:dyDescent="0.55000000000000004">
      <c r="D274" s="231" t="str">
        <f>'21'!D33</f>
        <v>LV Residential Accumulation</v>
      </c>
      <c r="E274" s="404">
        <f>'21'!E33</f>
        <v>10.104915273055934</v>
      </c>
    </row>
    <row r="275" spans="4:5" ht="13.8" thickBot="1" x14ac:dyDescent="0.55000000000000004">
      <c r="D275" s="231" t="str">
        <f>'21'!D34</f>
        <v>LV Non-residential Accumulation</v>
      </c>
      <c r="E275" s="404">
        <f>'21'!E34</f>
        <v>10.455</v>
      </c>
    </row>
    <row r="276" spans="4:5" ht="13.8" thickBot="1" x14ac:dyDescent="0.55000000000000004">
      <c r="D276" s="231" t="str">
        <f>'21'!D35</f>
        <v>LV Smart Meter</v>
      </c>
      <c r="E276" s="404">
        <f>'21'!E35</f>
        <v>3.07569605206987</v>
      </c>
    </row>
    <row r="277" spans="4:5" ht="13.8" thickBot="1" x14ac:dyDescent="0.55000000000000004">
      <c r="D277" s="231" t="str">
        <f>'21'!D36</f>
        <v>HV &lt;750 MWh</v>
      </c>
      <c r="E277" s="404">
        <f>'21'!E36</f>
        <v>3.07569605206987</v>
      </c>
    </row>
    <row r="278" spans="4:5" ht="13.2" thickBot="1" x14ac:dyDescent="0.55000000000000004">
      <c r="D278" s="393" t="str">
        <f>'21'!D37</f>
        <v>Unmetered Supply</v>
      </c>
      <c r="E278" s="389" t="str">
        <f>'21'!E37</f>
        <v>($/W)</v>
      </c>
    </row>
    <row r="279" spans="4:5" ht="13.8" thickBot="1" x14ac:dyDescent="0.55000000000000004">
      <c r="D279" s="231" t="str">
        <f>'21'!D38</f>
        <v>Unmetered Supply 12hr operation</v>
      </c>
      <c r="E279" s="404">
        <f>'21'!E38</f>
        <v>0.267530400000007</v>
      </c>
    </row>
    <row r="280" spans="4:5" ht="13.8" thickBot="1" x14ac:dyDescent="0.55000000000000004">
      <c r="D280" s="231" t="str">
        <f>'21'!D39</f>
        <v>Unmetered Supply 12-24hr operation</v>
      </c>
      <c r="E280" s="404">
        <f>'21'!E39</f>
        <v>0.61398839999999899</v>
      </c>
    </row>
    <row r="281" spans="4:5" ht="13.2" thickBot="1" x14ac:dyDescent="0.55000000000000004">
      <c r="D281" s="393" t="str">
        <f>'21'!D40</f>
        <v>Demand Charges</v>
      </c>
      <c r="E281" s="389" t="str">
        <f>'21'!E40</f>
        <v>($/kVA)</v>
      </c>
    </row>
    <row r="282" spans="4:5" ht="13.8" thickBot="1" x14ac:dyDescent="0.55000000000000004">
      <c r="D282" s="231" t="str">
        <f>'21'!D41</f>
        <v>LV Smart Meter Peak2</v>
      </c>
      <c r="E282" s="404">
        <f>'21'!E41</f>
        <v>20</v>
      </c>
    </row>
    <row r="283" spans="4:5" ht="13.8" thickBot="1" x14ac:dyDescent="0.55000000000000004">
      <c r="D283" s="231" t="str">
        <f>'21'!D42</f>
        <v>LV Smart Meter Off Peak2</v>
      </c>
      <c r="E283" s="404">
        <f>'21'!E42</f>
        <v>0</v>
      </c>
    </row>
    <row r="284" spans="4:5" ht="13.8" thickBot="1" x14ac:dyDescent="0.55000000000000004">
      <c r="D284" s="231" t="str">
        <f>'21'!D43</f>
        <v>HV &lt;750 MWh Peak3</v>
      </c>
      <c r="E284" s="404">
        <f>'21'!E43</f>
        <v>9.4487162355571925</v>
      </c>
    </row>
    <row r="285" spans="4:5" ht="13.8" thickBot="1" x14ac:dyDescent="0.55000000000000004">
      <c r="D285" s="231" t="str">
        <f>'21'!D44</f>
        <v>HV &lt;750 MWh Off Peak3</v>
      </c>
      <c r="E285" s="404">
        <f>'21'!E44</f>
        <v>0</v>
      </c>
    </row>
    <row r="286" spans="4:5" ht="13.2" thickBot="1" x14ac:dyDescent="0.55000000000000004">
      <c r="D286" s="393" t="str">
        <f>'21'!D45</f>
        <v xml:space="preserve">kVAr Charge </v>
      </c>
      <c r="E286" s="389" t="str">
        <f>'21'!E45</f>
        <v>($/kVAr)</v>
      </c>
    </row>
    <row r="287" spans="4:5" ht="13.8" thickBot="1" x14ac:dyDescent="0.55000000000000004">
      <c r="D287" s="231" t="str">
        <f>'21'!D46</f>
        <v>&gt;40 MWh LV Smart Meter</v>
      </c>
      <c r="E287" s="404">
        <f>'21'!E46</f>
        <v>4</v>
      </c>
    </row>
    <row r="288" spans="4:5" ht="13.8" thickBot="1" x14ac:dyDescent="0.55000000000000004">
      <c r="D288" s="231" t="str">
        <f>'21'!D47</f>
        <v>&gt;40 MWh HV</v>
      </c>
      <c r="E288" s="404">
        <f>'21'!E47</f>
        <v>4</v>
      </c>
    </row>
    <row r="290" spans="2:9" s="139" customFormat="1" x14ac:dyDescent="0.35">
      <c r="B290" s="139" t="s">
        <v>1385</v>
      </c>
    </row>
    <row r="291" spans="2:9" ht="13.2" thickBot="1" x14ac:dyDescent="0.55000000000000004"/>
    <row r="292" spans="2:9" ht="13.2" thickBot="1" x14ac:dyDescent="0.55000000000000004">
      <c r="D292" s="723"/>
      <c r="E292" s="696" t="s">
        <v>977</v>
      </c>
      <c r="F292" s="230" t="s">
        <v>978</v>
      </c>
      <c r="G292" s="230" t="s">
        <v>978</v>
      </c>
      <c r="H292" s="230" t="s">
        <v>979</v>
      </c>
      <c r="I292" s="230" t="s">
        <v>1307</v>
      </c>
    </row>
    <row r="293" spans="2:9" ht="15.6" thickBot="1" x14ac:dyDescent="0.55000000000000004">
      <c r="D293" s="724"/>
      <c r="E293" s="698"/>
      <c r="F293" s="389" t="s">
        <v>980</v>
      </c>
      <c r="G293" s="389" t="s">
        <v>981</v>
      </c>
      <c r="H293" s="389" t="s">
        <v>1248</v>
      </c>
      <c r="I293" s="389" t="s">
        <v>1248</v>
      </c>
    </row>
    <row r="294" spans="2:9" ht="13.8" thickBot="1" x14ac:dyDescent="0.55000000000000004">
      <c r="D294" s="248" t="str">
        <f>'21'!D19</f>
        <v>System Availability Charge</v>
      </c>
      <c r="E294" s="400">
        <f>'21'!E19</f>
        <v>1298.0454680479745</v>
      </c>
      <c r="F294" s="401"/>
      <c r="G294" s="401"/>
      <c r="H294" s="401"/>
      <c r="I294" s="401"/>
    </row>
    <row r="295" spans="2:9" ht="26.1" thickBot="1" x14ac:dyDescent="0.55000000000000004">
      <c r="D295" s="390" t="str">
        <f>'21'!D20</f>
        <v>Plus charges related to monthly demand</v>
      </c>
      <c r="E295" s="401"/>
      <c r="F295" s="402">
        <f>'21'!F20</f>
        <v>8.2579999999999991</v>
      </c>
      <c r="G295" s="402">
        <f>'21'!G20</f>
        <v>0</v>
      </c>
      <c r="H295" s="402"/>
      <c r="I295" s="402"/>
    </row>
    <row r="296" spans="2:9" ht="26.1" thickBot="1" x14ac:dyDescent="0.55000000000000004">
      <c r="D296" s="390" t="str">
        <f>'21'!D21</f>
        <v>Plus charges related to energy metered</v>
      </c>
      <c r="E296" s="401"/>
      <c r="F296" s="402"/>
      <c r="G296" s="402"/>
      <c r="H296" s="402">
        <f>'21'!H21</f>
        <v>3.2850999999999999</v>
      </c>
      <c r="I296" s="402"/>
    </row>
    <row r="297" spans="2:9" ht="13.8" thickBot="1" x14ac:dyDescent="0.55000000000000004">
      <c r="D297" s="390" t="str">
        <f>'21'!D22</f>
        <v>Plus charges related to excess Kvar</v>
      </c>
      <c r="E297" s="401"/>
      <c r="F297" s="402"/>
      <c r="G297" s="402"/>
      <c r="H297" s="402"/>
      <c r="I297" s="402">
        <f>'21'!I22</f>
        <v>4</v>
      </c>
    </row>
    <row r="299" spans="2:9" s="139" customFormat="1" x14ac:dyDescent="0.35">
      <c r="B299" s="139" t="s">
        <v>1387</v>
      </c>
    </row>
    <row r="300" spans="2:9" ht="13.2" thickBot="1" x14ac:dyDescent="0.55000000000000004"/>
    <row r="301" spans="2:9" ht="13.8" thickBot="1" x14ac:dyDescent="0.55000000000000004">
      <c r="D301" s="391"/>
      <c r="E301" s="696" t="s">
        <v>986</v>
      </c>
      <c r="F301" s="230" t="s">
        <v>978</v>
      </c>
      <c r="G301" s="230" t="s">
        <v>978</v>
      </c>
      <c r="H301" s="230" t="s">
        <v>979</v>
      </c>
      <c r="I301" s="230" t="s">
        <v>1307</v>
      </c>
    </row>
    <row r="302" spans="2:9" ht="15.6" thickBot="1" x14ac:dyDescent="0.55000000000000004">
      <c r="D302" s="540"/>
      <c r="E302" s="698"/>
      <c r="F302" s="389" t="s">
        <v>980</v>
      </c>
      <c r="G302" s="389" t="s">
        <v>981</v>
      </c>
      <c r="H302" s="389" t="s">
        <v>1248</v>
      </c>
      <c r="I302" s="389" t="s">
        <v>1248</v>
      </c>
    </row>
    <row r="303" spans="2:9" ht="13.8" thickBot="1" x14ac:dyDescent="0.55000000000000004">
      <c r="D303" s="248" t="str">
        <f>'21'!D10</f>
        <v>System Availability Charge</v>
      </c>
      <c r="E303" s="400">
        <f>'21'!E10</f>
        <v>1116.3191025212582</v>
      </c>
      <c r="F303" s="401"/>
      <c r="G303" s="401"/>
      <c r="H303" s="401"/>
      <c r="I303" s="402"/>
    </row>
    <row r="304" spans="2:9" ht="26.1" thickBot="1" x14ac:dyDescent="0.55000000000000004">
      <c r="D304" s="390" t="str">
        <f>'21'!D11</f>
        <v>Plus charges related to monthly demand</v>
      </c>
      <c r="E304" s="401"/>
      <c r="F304" s="402">
        <f>'21'!F11</f>
        <v>7.1561833650559903</v>
      </c>
      <c r="G304" s="402">
        <f>'21'!G11</f>
        <v>0</v>
      </c>
      <c r="H304" s="402"/>
      <c r="I304" s="402"/>
    </row>
    <row r="305" spans="2:9" ht="26.1" thickBot="1" x14ac:dyDescent="0.55000000000000004">
      <c r="D305" s="390" t="str">
        <f>'21'!D12</f>
        <v>Plus charges related to energy metered</v>
      </c>
      <c r="E305" s="401"/>
      <c r="F305" s="402"/>
      <c r="G305" s="402"/>
      <c r="H305" s="402">
        <f>'21'!H12</f>
        <v>3.2851393876953505</v>
      </c>
      <c r="I305" s="402"/>
    </row>
    <row r="306" spans="2:9" ht="13.8" thickBot="1" x14ac:dyDescent="0.55000000000000004">
      <c r="D306" s="390" t="str">
        <f>'21'!D13</f>
        <v>Plus charges related to excess Kvar</v>
      </c>
      <c r="E306" s="402"/>
      <c r="F306" s="402"/>
      <c r="G306" s="402"/>
      <c r="H306" s="402"/>
      <c r="I306" s="402">
        <f>'21'!I13</f>
        <v>4</v>
      </c>
    </row>
    <row r="308" spans="2:9" s="139" customFormat="1" x14ac:dyDescent="0.35">
      <c r="B308" s="139" t="s">
        <v>1386</v>
      </c>
    </row>
    <row r="309" spans="2:9" ht="13.2" thickBot="1" x14ac:dyDescent="0.55000000000000004"/>
    <row r="310" spans="2:9" ht="39" thickBot="1" x14ac:dyDescent="0.55000000000000004">
      <c r="D310" s="559" t="s">
        <v>584</v>
      </c>
      <c r="E310" s="544" t="s">
        <v>1206</v>
      </c>
      <c r="F310" s="539" t="s">
        <v>1389</v>
      </c>
    </row>
    <row r="311" spans="2:9" ht="13.8" thickBot="1" x14ac:dyDescent="0.55000000000000004">
      <c r="D311" s="251" t="str">
        <f>'[12]Fee Based Services'!B3</f>
        <v>Connections Services</v>
      </c>
      <c r="E311" s="438"/>
      <c r="F311" s="400"/>
    </row>
    <row r="312" spans="2:9" ht="13.8" thickBot="1" x14ac:dyDescent="0.55000000000000004">
      <c r="D312" s="469" t="str">
        <f>'[12]Fee Based Services'!B4</f>
        <v>Disconnection</v>
      </c>
      <c r="E312" s="438" t="s">
        <v>1226</v>
      </c>
      <c r="F312" s="400">
        <f>'[12]Fee Based Services'!J4</f>
        <v>70.022071396109126</v>
      </c>
      <c r="H312" s="70">
        <f>IFERROR(IF(MATCH($D312,'19'!$D$9:$D$38,0)&lt;&gt;0,0,1),1)</f>
        <v>0</v>
      </c>
    </row>
    <row r="313" spans="2:9" ht="13.8" thickBot="1" x14ac:dyDescent="0.55000000000000004">
      <c r="D313" s="469" t="str">
        <f>'[12]Fee Based Services'!B5</f>
        <v>Reconnection</v>
      </c>
      <c r="E313" s="438" t="str">
        <f t="shared" ref="E313:E318" si="2">$E$458</f>
        <v>$/request</v>
      </c>
      <c r="F313" s="400">
        <f>'[12]Fee Based Services'!J5</f>
        <v>70.022071396109126</v>
      </c>
      <c r="H313" s="70">
        <f>IFERROR(IF(MATCH($D313,'19'!$D$9:$D$38,0)&lt;&gt;0,0,1),1)</f>
        <v>0</v>
      </c>
    </row>
    <row r="314" spans="2:9" ht="13.8" thickBot="1" x14ac:dyDescent="0.55000000000000004">
      <c r="D314" s="469" t="str">
        <f>'[12]Fee Based Services'!B6</f>
        <v xml:space="preserve">Disconnection – with comms (remote charge) </v>
      </c>
      <c r="E314" s="438" t="str">
        <f t="shared" si="2"/>
        <v>$/request</v>
      </c>
      <c r="F314" s="400">
        <f>'[12]Fee Based Services'!J6</f>
        <v>8.7247097512539327</v>
      </c>
      <c r="H314" s="70">
        <f>IFERROR(IF(MATCH($D314,'19'!$D$9:$D$38,0)&lt;&gt;0,0,1),1)</f>
        <v>0</v>
      </c>
    </row>
    <row r="315" spans="2:9" ht="13.8" thickBot="1" x14ac:dyDescent="0.55000000000000004">
      <c r="D315" s="469" t="str">
        <f>'[12]Fee Based Services'!B7</f>
        <v>Reconnection – with comms (remote charge)</v>
      </c>
      <c r="E315" s="438" t="str">
        <f t="shared" si="2"/>
        <v>$/request</v>
      </c>
      <c r="F315" s="400">
        <f>'[12]Fee Based Services'!J7</f>
        <v>8.7247097512539327</v>
      </c>
      <c r="H315" s="70">
        <f>IFERROR(IF(MATCH($D315,'19'!$D$9:$D$38,0)&lt;&gt;0,0,1),1)</f>
        <v>0</v>
      </c>
    </row>
    <row r="316" spans="2:9" ht="13.8" thickBot="1" x14ac:dyDescent="0.55000000000000004">
      <c r="D316" s="469" t="str">
        <f>'[12]Fee Based Services'!B8</f>
        <v>Remove and reinstate cable</v>
      </c>
      <c r="E316" s="438" t="str">
        <f t="shared" si="2"/>
        <v>$/request</v>
      </c>
      <c r="F316" s="400">
        <f>'[12]Fee Based Services'!J8</f>
        <v>584.30505074761288</v>
      </c>
      <c r="H316" s="70">
        <f>IFERROR(IF(MATCH($D316,'19'!$D$9:$D$38,0)&lt;&gt;0,0,1),1)</f>
        <v>0</v>
      </c>
    </row>
    <row r="317" spans="2:9" ht="13.8" thickBot="1" x14ac:dyDescent="0.55000000000000004">
      <c r="D317" s="469" t="str">
        <f>'[12]Fee Based Services'!B9</f>
        <v>Provision of 3 phase service</v>
      </c>
      <c r="E317" s="438" t="str">
        <f t="shared" si="2"/>
        <v>$/request</v>
      </c>
      <c r="F317" s="400">
        <f>'[12]Fee Based Services'!J9</f>
        <v>1107.9971126476089</v>
      </c>
      <c r="H317" s="70">
        <f>IFERROR(IF(MATCH($D317,'19'!$D$9:$D$38,0)&lt;&gt;0,0,1),1)</f>
        <v>0</v>
      </c>
    </row>
    <row r="318" spans="2:9" ht="13.8" thickBot="1" x14ac:dyDescent="0.55000000000000004">
      <c r="D318" s="469" t="str">
        <f>'[12]Fee Based Services'!B10</f>
        <v>Standard temporary builder’s connection</v>
      </c>
      <c r="E318" s="438" t="str">
        <f t="shared" si="2"/>
        <v>$/request</v>
      </c>
      <c r="F318" s="400">
        <f>'[12]Fee Based Services'!J10</f>
        <v>526.95107832151302</v>
      </c>
      <c r="H318" s="70">
        <f>IFERROR(IF(MATCH($D318,'19'!$D$9:$D$38,0)&lt;&gt;0,0,1),1)</f>
        <v>0</v>
      </c>
    </row>
    <row r="319" spans="2:9" ht="13.8" thickBot="1" x14ac:dyDescent="0.55000000000000004">
      <c r="D319" s="251" t="str">
        <f>'[12]Fee Based Services'!B11</f>
        <v>De-energisation / Re-energisation</v>
      </c>
      <c r="E319" s="438"/>
      <c r="F319" s="400"/>
    </row>
    <row r="320" spans="2:9" ht="13.8" thickBot="1" x14ac:dyDescent="0.55000000000000004">
      <c r="D320" s="469" t="str">
        <f>'[12]Fee Based Services'!B12</f>
        <v>Temporary disconnection and reconnection</v>
      </c>
      <c r="E320" s="438" t="str">
        <f>$E$458</f>
        <v>$/request</v>
      </c>
      <c r="F320" s="400">
        <f>'[12]Fee Based Services'!J12</f>
        <v>228.19444865561556</v>
      </c>
      <c r="H320" s="70">
        <f>IFERROR(IF(MATCH($D320,'19'!$D$9:$D$38,0)&lt;&gt;0,0,1),1)</f>
        <v>0</v>
      </c>
    </row>
    <row r="321" spans="1:9" ht="13.8" thickBot="1" x14ac:dyDescent="0.55000000000000004">
      <c r="D321" s="469" t="str">
        <f>'[12]Fee Based Services'!B13</f>
        <v>Disconnection - physical disconnection of the service mains at the connection to the network (Pillar Box, Pit or Pole Top) due to action or inaction of the network user or their agent</v>
      </c>
      <c r="E321" s="438" t="str">
        <f>$E$458</f>
        <v>$/request</v>
      </c>
      <c r="F321" s="400">
        <f>'[12]Fee Based Services'!J13</f>
        <v>249.14213113161546</v>
      </c>
      <c r="H321" s="70">
        <f>IFERROR(IF(MATCH($D321,'19'!$D$9:$D$38,0)&lt;&gt;0,0,1),1)</f>
        <v>0</v>
      </c>
    </row>
    <row r="322" spans="1:9" ht="13.8" thickBot="1" x14ac:dyDescent="0.55000000000000004">
      <c r="D322" s="251" t="str">
        <f>'[12]Fee Based Services'!B14</f>
        <v>Other</v>
      </c>
      <c r="E322" s="438"/>
      <c r="F322" s="400"/>
    </row>
    <row r="323" spans="1:9" ht="13.8" thickBot="1" x14ac:dyDescent="0.55000000000000004">
      <c r="D323" s="469" t="str">
        <f>'[12]Fee Based Services'!B15</f>
        <v>After hours attendance charge</v>
      </c>
      <c r="E323" s="438" t="str">
        <f>$E$458</f>
        <v>$/request</v>
      </c>
      <c r="F323" s="400">
        <f>'[12]Fee Based Services'!J15</f>
        <v>563.35736827161304</v>
      </c>
      <c r="H323" s="70">
        <f>IFERROR(IF(MATCH($D323,'19'!$D$9:$D$38,0)&lt;&gt;0,0,1),1)</f>
        <v>0</v>
      </c>
    </row>
    <row r="324" spans="1:9" ht="13.8" thickBot="1" x14ac:dyDescent="0.55000000000000004">
      <c r="D324" s="469" t="str">
        <f>'[12]Fee Based Services'!B16</f>
        <v xml:space="preserve">Wasted visit fee. 
</v>
      </c>
      <c r="E324" s="438" t="str">
        <f>$E$458</f>
        <v>$/request</v>
      </c>
      <c r="F324" s="400">
        <f>'[12]Fee Based Services'!J16</f>
        <v>123.45603627561638</v>
      </c>
      <c r="H324" s="70">
        <f>IFERROR(IF(MATCH($D324,'19'!$D$9:$D$38,0)&lt;&gt;0,0,1),1)</f>
        <v>0</v>
      </c>
    </row>
    <row r="325" spans="1:9" ht="13.8" thickBot="1" x14ac:dyDescent="0.55000000000000004">
      <c r="D325" s="251" t="str">
        <f>'[12]Fee Based Services'!B31</f>
        <v>Non Standard Data Services</v>
      </c>
      <c r="E325" s="438"/>
      <c r="F325" s="400"/>
    </row>
    <row r="326" spans="1:9" ht="13.8" thickBot="1" x14ac:dyDescent="0.55000000000000004">
      <c r="D326" s="469" t="str">
        <f>'[12]Fee Based Services'!B32</f>
        <v>Historical data requests</v>
      </c>
      <c r="E326" s="438" t="str">
        <f>$E$458</f>
        <v>$/request</v>
      </c>
      <c r="F326" s="400">
        <f>'[12]Fee Based Services'!J32</f>
        <v>157.10761856999878</v>
      </c>
      <c r="H326" s="70">
        <f>IFERROR(IF(MATCH($D327,'19'!$D$9:$D$38,0)&lt;&gt;0,0,1),1)</f>
        <v>0</v>
      </c>
    </row>
    <row r="327" spans="1:9" ht="13.8" thickBot="1" x14ac:dyDescent="0.55000000000000004">
      <c r="D327" s="469" t="str">
        <f>'[12]Fee Based Services'!B33</f>
        <v>Standing data requests</v>
      </c>
      <c r="E327" s="438" t="str">
        <f t="shared" ref="E327:E329" si="3">$E$458</f>
        <v>$/request</v>
      </c>
      <c r="F327" s="400">
        <f>'[12]Fee Based Services'!J33</f>
        <v>34.40392113169861</v>
      </c>
      <c r="H327" s="70">
        <f>IFERROR(IF(MATCH($D328,'19'!$D$9:$D$38,0)&lt;&gt;0,0,1),1)</f>
        <v>0</v>
      </c>
    </row>
    <row r="328" spans="1:9" ht="13.8" thickBot="1" x14ac:dyDescent="0.55000000000000004">
      <c r="D328" s="469" t="str">
        <f>'[12]Fee Based Services'!B34</f>
        <v>Customer transfers</v>
      </c>
      <c r="E328" s="438" t="str">
        <f t="shared" si="3"/>
        <v>$/request</v>
      </c>
      <c r="F328" s="400">
        <f>'[12]Fee Based Services'!J34</f>
        <v>137.61568452679447</v>
      </c>
      <c r="H328" s="70">
        <f>IFERROR(IF(MATCH($D329,'19'!$D$9:$D$38,0)&lt;&gt;0,0,1),1)</f>
        <v>0</v>
      </c>
    </row>
    <row r="329" spans="1:9" ht="13.8" thickBot="1" x14ac:dyDescent="0.55000000000000004">
      <c r="D329" s="469" t="str">
        <f>'[12]Fee Based Services'!B35</f>
        <v>Network tariff change request</v>
      </c>
      <c r="E329" s="438" t="str">
        <f t="shared" si="3"/>
        <v>$/request</v>
      </c>
      <c r="F329" s="400">
        <f>'[12]Fee Based Services'!J35</f>
        <v>34.40392113169861</v>
      </c>
    </row>
    <row r="330" spans="1:9" ht="13.8" thickBot="1" x14ac:dyDescent="0.55000000000000004">
      <c r="D330" s="251" t="str">
        <f>'[12]Fee Based Services'!B37</f>
        <v>Miscellaneous services</v>
      </c>
      <c r="E330" s="438"/>
      <c r="F330" s="400"/>
      <c r="H330" s="70">
        <f>IFERROR(IF(MATCH($D330,'19'!$D$9:$D$38,0)&lt;&gt;0,0,1),1)</f>
        <v>0</v>
      </c>
    </row>
    <row r="331" spans="1:9" ht="13.8" thickBot="1" x14ac:dyDescent="0.55000000000000004">
      <c r="D331" s="469" t="str">
        <f>'[12]Fee Based Services'!B38</f>
        <v xml:space="preserve">Installation of Minor Apparatus </v>
      </c>
      <c r="E331" s="438" t="str">
        <f>$E$458</f>
        <v>$/request</v>
      </c>
      <c r="F331" s="400">
        <f>'[12]Fee Based Services'!J38</f>
        <v>76.323750704616728</v>
      </c>
      <c r="H331" s="70"/>
    </row>
    <row r="333" spans="1:9" ht="15" x14ac:dyDescent="0.5">
      <c r="A333" s="70">
        <f>IF(SUM(D333:H333)&lt;&gt;0,1,0)</f>
        <v>0</v>
      </c>
      <c r="C333" s="270"/>
      <c r="D333" s="270" t="s">
        <v>819</v>
      </c>
      <c r="E333" s="268"/>
      <c r="F333" s="268">
        <f>IF(ROUND(SUM('[12]Fee Based Services'!$J$4:$J$16,'[12]Fee Based Services'!$J$32:$J$38)-SUM(F312:F331),4)&lt;&gt;0,1,0)</f>
        <v>0</v>
      </c>
      <c r="G333" s="268"/>
      <c r="H333" s="70">
        <f>SUM(H312:H330)</f>
        <v>0</v>
      </c>
      <c r="I333" s="268"/>
    </row>
    <row r="335" spans="1:9" s="139" customFormat="1" x14ac:dyDescent="0.35">
      <c r="B335" s="139" t="s">
        <v>1227</v>
      </c>
    </row>
    <row r="336" spans="1:9" ht="13.2" thickBot="1" x14ac:dyDescent="0.55000000000000004"/>
    <row r="337" spans="4:12" ht="39" thickBot="1" x14ac:dyDescent="0.55000000000000004">
      <c r="D337" s="559" t="s">
        <v>584</v>
      </c>
      <c r="E337" s="544" t="s">
        <v>437</v>
      </c>
      <c r="F337" s="544" t="s">
        <v>1206</v>
      </c>
      <c r="G337" s="544" t="s">
        <v>1389</v>
      </c>
    </row>
    <row r="338" spans="4:12" ht="13.8" thickBot="1" x14ac:dyDescent="0.55000000000000004">
      <c r="D338" s="231" t="str">
        <f>'[12]Quoted Services'!B12</f>
        <v>Design related services</v>
      </c>
      <c r="E338" s="231" t="str">
        <f>'[12]Quoted Services'!R12</f>
        <v>Includes the provision of design information, certification, and rechecking technically complex or environmentally sensitive information. - Business Hours</v>
      </c>
      <c r="F338" s="438" t="s">
        <v>1214</v>
      </c>
      <c r="G338" s="400">
        <f>'[12]Quoted Services'!J12</f>
        <v>136.94662386704937</v>
      </c>
      <c r="I338" s="70">
        <f>IFERROR(IF(MATCH($D338,'19'!$D$45:$D$59,0)&lt;&gt;0,0,1),1)</f>
        <v>0</v>
      </c>
    </row>
    <row r="339" spans="4:12" ht="13.8" thickBot="1" x14ac:dyDescent="0.55000000000000004">
      <c r="D339" s="231" t="str">
        <f>'[12]Quoted Services'!B13</f>
        <v>Connection applications</v>
      </c>
      <c r="E339" s="231" t="str">
        <f>'[12]Quoted Services'!R13</f>
        <v>Includes assessing connection applications, undertaking planning studies and associated technical analysis. - Business Hours</v>
      </c>
      <c r="F339" s="438" t="str">
        <f>$F$338</f>
        <v>$/hour</v>
      </c>
      <c r="G339" s="400">
        <f>'[12]Quoted Services'!J13</f>
        <v>136.94662386704937</v>
      </c>
      <c r="I339" s="70">
        <f>IFERROR(IF(MATCH($D339,'19'!$D$45:$D$59,0)&lt;&gt;0,0,1),1)</f>
        <v>0</v>
      </c>
    </row>
    <row r="340" spans="4:12" ht="13.8" thickBot="1" x14ac:dyDescent="0.55000000000000004">
      <c r="D340" s="231" t="str">
        <f>'[12]Quoted Services'!B14</f>
        <v>Access permits, oversights and facilitation</v>
      </c>
      <c r="E340" s="231" t="str">
        <f>'[12]Quoted Services'!R14</f>
        <v>Includes issuing access permits or clearances to work for an authorised person on or near distribution systems (LV and HV), confined spaces and switch rooms, substations and the like. - Business Hours</v>
      </c>
      <c r="F340" s="438" t="str">
        <f t="shared" ref="F340:F352" si="4">$F$338</f>
        <v>$/hour</v>
      </c>
      <c r="G340" s="400">
        <f>'[12]Quoted Services'!J14</f>
        <v>136.94662386704937</v>
      </c>
      <c r="I340" s="70">
        <f>IFERROR(IF(MATCH($D340,'19'!$D$45:$D$59,0)&lt;&gt;0,0,1),1)</f>
        <v>0</v>
      </c>
    </row>
    <row r="341" spans="4:12" ht="13.8" thickBot="1" x14ac:dyDescent="0.55000000000000004">
      <c r="D341" s="231" t="str">
        <f>'[12]Quoted Services'!B15</f>
        <v>Notices of arrangement and completion notices</v>
      </c>
      <c r="E341" s="231" t="str">
        <f>'[12]Quoted Services'!R15</f>
        <v>Includes the requirement to perform administrative work required by a local council to provide written evidence that arrangements required to supply electricity to a development are in place. A completion notice may also be required when a customer/developer requires documentation confirming progress of work. - Business Hours</v>
      </c>
      <c r="F341" s="438" t="str">
        <f t="shared" si="4"/>
        <v>$/hour</v>
      </c>
      <c r="G341" s="400">
        <f>'[12]Quoted Services'!J15</f>
        <v>76.723262179519182</v>
      </c>
      <c r="I341" s="70">
        <f>IFERROR(IF(MATCH($D341,'19'!$D$45:$D$59,0)&lt;&gt;0,0,1),1)</f>
        <v>0</v>
      </c>
    </row>
    <row r="342" spans="4:12" ht="13.8" thickBot="1" x14ac:dyDescent="0.55000000000000004">
      <c r="D342" s="231" t="str">
        <f>'[12]Quoted Services'!B16</f>
        <v>Network related property services</v>
      </c>
      <c r="E342" s="231" t="str">
        <f>'[12]Quoted Services'!R16</f>
        <v>Includes the property tenure services related to deeds of agreement, indemnity deeds, leases, easements and other property tenure rights linked to connection or relocation. - Business Hours</v>
      </c>
      <c r="F342" s="438" t="str">
        <f t="shared" si="4"/>
        <v>$/hour</v>
      </c>
      <c r="G342" s="400">
        <f>'[12]Quoted Services'!J16</f>
        <v>76.723262179519182</v>
      </c>
      <c r="I342" s="70">
        <f>IFERROR(IF(MATCH($D342,'19'!$D$45:$D$59,0)&lt;&gt;0,0,1),1)</f>
        <v>0</v>
      </c>
    </row>
    <row r="343" spans="4:12" ht="13.8" thickBot="1" x14ac:dyDescent="0.55000000000000004">
      <c r="D343" s="231" t="str">
        <f>'[12]Quoted Services'!B17</f>
        <v>Site establishment services</v>
      </c>
      <c r="E343" s="231" t="str">
        <f>'[12]Quoted Services'!R17</f>
        <v>Includes liaising with AEMO (or NT equivalent) and market participants to establish a NMI in markets systems for new or existing premises where AEMO (or NT equivalent) requires a new NMI and the validation and uploading of network load data. 
Activities include but not limited to:
• Site establishment including liaising with the AEMO (or NT Equivalent ) for market participants to establish NMI’s for market systems;
• Site alteration update and maintenance of NMI and associated data in market systems;
• NMI extinction, processing a customer’s request for permanent disconnection and NMI extinction in market systems; &amp;
Confirming or correcting metering or network billing information due to insufficient or incorrect information. - Business Hours</v>
      </c>
      <c r="F343" s="438" t="str">
        <f t="shared" si="4"/>
        <v>$/hour</v>
      </c>
      <c r="G343" s="400">
        <f>'[12]Quoted Services'!J17</f>
        <v>76.723262179519182</v>
      </c>
      <c r="I343" s="70">
        <f>IFERROR(IF(MATCH($D343,'19'!$D$45:$D$59,0)&lt;&gt;0,0,1),1)</f>
        <v>0</v>
      </c>
    </row>
    <row r="344" spans="4:12" ht="13.8" thickBot="1" x14ac:dyDescent="0.55000000000000004">
      <c r="D344" s="231" t="str">
        <f>'[12]Quoted Services'!B18</f>
        <v>Network safety services</v>
      </c>
      <c r="E344" s="231" t="str">
        <f>'[12]Quoted Services'!R18</f>
        <v>Includes the DNSP providing traffic control services, fitting of tiger tails, tree pruning, and high load escorts. - Business Hours</v>
      </c>
      <c r="F344" s="438" t="str">
        <f t="shared" si="4"/>
        <v>$/hour</v>
      </c>
      <c r="G344" s="400">
        <f>'[12]Quoted Services'!J18</f>
        <v>116.78716275589433</v>
      </c>
      <c r="I344" s="70">
        <f>IFERROR(IF(MATCH($D344,'19'!$D$45:$D$59,0)&lt;&gt;0,0,1),1)</f>
        <v>0</v>
      </c>
    </row>
    <row r="345" spans="4:12" ht="13.8" thickBot="1" x14ac:dyDescent="0.55000000000000004">
      <c r="D345" s="231" t="str">
        <f>'[12]Quoted Services'!B19</f>
        <v>Network tariff change request</v>
      </c>
      <c r="E345" s="231" t="str">
        <f>'[12]Quoted Services'!R19</f>
        <v>Activities include altering an existing network tariff by conducting load and tariff analysis to ensure the relevant tariff criteria is met.
This change request relates to processing IT system changes to reflect a bulk tariff change request such as a large customer with multiple sites. - Business Hours</v>
      </c>
      <c r="F345" s="438" t="str">
        <f t="shared" si="4"/>
        <v>$/hour</v>
      </c>
      <c r="G345" s="400">
        <f>'[12]Quoted Services'!J19</f>
        <v>76.723262179519182</v>
      </c>
      <c r="I345" s="70">
        <f>IFERROR(IF(MATCH($D345,'19'!$D$45:$D$59,0)&lt;&gt;0,0,1),1)</f>
        <v>0</v>
      </c>
    </row>
    <row r="346" spans="4:12" ht="13.8" thickBot="1" x14ac:dyDescent="0.55000000000000004">
      <c r="D346" s="231" t="str">
        <f>'[12]Quoted Services'!B20</f>
        <v>Planned interruption - customer request</v>
      </c>
      <c r="E346" s="231" t="str">
        <f>'[12]Quoted Services'!R20</f>
        <v>At customer or retailer request, a planned interruption is moved outside business hours. - Business Hours</v>
      </c>
      <c r="F346" s="438" t="str">
        <f t="shared" si="4"/>
        <v>$/hour</v>
      </c>
      <c r="G346" s="400">
        <f>'[12]Quoted Services'!J20</f>
        <v>116.78716275589433</v>
      </c>
      <c r="I346" s="70">
        <f>IFERROR(IF(MATCH($D346,'19'!$D$45:$D$59,0)&lt;&gt;0,0,1),1)</f>
        <v>0</v>
      </c>
    </row>
    <row r="347" spans="4:12" ht="13.8" thickBot="1" x14ac:dyDescent="0.55000000000000004">
      <c r="D347" s="231" t="str">
        <f>'[12]Quoted Services'!B21</f>
        <v>Performance of a statutory right (access prevented)</v>
      </c>
      <c r="E347" s="231" t="str">
        <f>'[12]Quoted Services'!R21</f>
        <v>Includes a follow up attendance at a customer’s premises to perform a statutory right where access was declined or prevented on the initial visit. This includes any costs of arranging security or police services. - Business Hours</v>
      </c>
      <c r="F347" s="438" t="str">
        <f t="shared" si="4"/>
        <v>$/hour</v>
      </c>
      <c r="G347" s="400">
        <f>'[12]Quoted Services'!J21</f>
        <v>116.78716275589433</v>
      </c>
      <c r="I347" s="70">
        <f>IFERROR(IF(MATCH($D347,'19'!$D$45:$D$59,0)&lt;&gt;0,0,1),1)</f>
        <v>0</v>
      </c>
    </row>
    <row r="348" spans="4:12" ht="13.8" thickBot="1" x14ac:dyDescent="0.55000000000000004">
      <c r="D348" s="231" t="str">
        <f>'[12]Quoted Services'!B22</f>
        <v>Provision of network related training to third parties</v>
      </c>
      <c r="E348" s="231" t="str">
        <f>'[12]Quoted Services'!R22</f>
        <v>Includes the training of third parties to a level of attainment required to obtain specific distribution network access authorisation to the DNSP’s network. This may include demonstrating the necessary competency in the DNSP’s electricity safety rules. - Business Hours</v>
      </c>
      <c r="F348" s="438" t="str">
        <f t="shared" si="4"/>
        <v>$/hour</v>
      </c>
      <c r="G348" s="400">
        <f>'[12]Quoted Services'!J22</f>
        <v>76.723262179519182</v>
      </c>
      <c r="I348" s="70">
        <f>IFERROR(IF(MATCH($D348,'19'!$D$45:$D$59,0)&lt;&gt;0,0,1),1)</f>
        <v>0</v>
      </c>
    </row>
    <row r="349" spans="4:12" ht="13.8" thickBot="1" x14ac:dyDescent="0.55000000000000004">
      <c r="D349" s="231" t="str">
        <f>'[12]Quoted Services'!B23</f>
        <v>Non-standard reporting services</v>
      </c>
      <c r="E349" s="231" t="str">
        <f>'[12]Quoted Services'!R23</f>
        <v>Includes developing meter data provision reporting such as standard data, billing data or load profiles for single requests with more than 5 NMI’s.
Single data requests with 5 NMI’s or less, will be charged the ACS Fee Based charge (Historical Data Request or Standing Data Request) per request.  - Business Hours</v>
      </c>
      <c r="F349" s="438" t="str">
        <f t="shared" si="4"/>
        <v>$/hour</v>
      </c>
      <c r="G349" s="400">
        <f>'[12]Quoted Services'!J23</f>
        <v>76.723262179519182</v>
      </c>
      <c r="H349" s="204"/>
      <c r="I349" s="70">
        <f>IFERROR(IF(MATCH($D349,'19'!$D$45:$D$59,0)&lt;&gt;0,0,1),1)</f>
        <v>0</v>
      </c>
      <c r="J349" s="204"/>
      <c r="K349" s="204"/>
      <c r="L349" s="204"/>
    </row>
    <row r="350" spans="4:12" ht="13.8" thickBot="1" x14ac:dyDescent="0.55000000000000004">
      <c r="D350" s="231" t="str">
        <f>'[12]Quoted Services'!B24</f>
        <v xml:space="preserve">Services provided for retailer of last resort event </v>
      </c>
      <c r="E350" s="231" t="str">
        <f>'[12]Quoted Services'!R24</f>
        <v>DNSP may be required to provide a number of services when an ROLR event occurs. This includes preparing a list of affected sites, estimating reads for the ROLR event date, preparing final invoices and extracting customer data. - Business Hours</v>
      </c>
      <c r="F350" s="438" t="str">
        <f t="shared" si="4"/>
        <v>$/hour</v>
      </c>
      <c r="G350" s="400">
        <f>'[12]Quoted Services'!J24</f>
        <v>76.723262179519182</v>
      </c>
      <c r="I350" s="70">
        <f>IFERROR(IF(MATCH($D350,'19'!$D$45:$D$59,0)&lt;&gt;0,0,1),1)</f>
        <v>0</v>
      </c>
    </row>
    <row r="351" spans="4:12" ht="13.8" thickBot="1" x14ac:dyDescent="0.55000000000000004">
      <c r="D351" s="231" t="str">
        <f>'[12]Quoted Services'!B25</f>
        <v>Rectification of illegal connections service</v>
      </c>
      <c r="E351" s="231" t="str">
        <f>'[12]Quoted Services'!R25</f>
        <v>Includes work undertaken by the DNSP to investigate and rectify the fraudulent acquisition of energy at a premises; or intentional consumption of energy at those premises otherwise than in accordance with the energy laws</v>
      </c>
      <c r="F351" s="438" t="str">
        <f t="shared" si="4"/>
        <v>$/hour</v>
      </c>
      <c r="G351" s="400">
        <f>'[12]Quoted Services'!J25</f>
        <v>116.78716275589434</v>
      </c>
      <c r="I351" s="70">
        <f>IFERROR(IF(MATCH($D351,'19'!$D$45:$D$59,0)&lt;&gt;0,0,1),1)</f>
        <v>0</v>
      </c>
    </row>
    <row r="352" spans="4:12" ht="13.8" thickBot="1" x14ac:dyDescent="0.55000000000000004">
      <c r="D352" s="231" t="str">
        <f>'[12]Quoted Services'!B26</f>
        <v>Rearrangement and connection of network assets at customer request</v>
      </c>
      <c r="E352" s="231" t="str">
        <f>'[12]Quoted Services'!R26</f>
        <v>Includes relocation of assets (such as poles) that involves installing a new asset at customer or retailer request. - Business Hours</v>
      </c>
      <c r="F352" s="438" t="str">
        <f t="shared" si="4"/>
        <v>$/hour</v>
      </c>
      <c r="G352" s="400">
        <f>'[12]Quoted Services'!J26</f>
        <v>116.78716275589434</v>
      </c>
      <c r="I352" s="70">
        <f>IFERROR(IF(MATCH($D352,'19'!$D$45:$D$59,0)&lt;&gt;0,0,1),1)</f>
        <v>0</v>
      </c>
    </row>
    <row r="354" spans="1:9" ht="15" x14ac:dyDescent="0.5">
      <c r="A354" s="70">
        <f>IF(SUM(D354:I354)&lt;&gt;0,1,0)</f>
        <v>0</v>
      </c>
      <c r="C354" s="270"/>
      <c r="D354" s="270" t="s">
        <v>819</v>
      </c>
      <c r="E354" s="268"/>
      <c r="F354" s="268"/>
      <c r="G354" s="268">
        <f>IF(ROUND(SUM('[12]Quoted Services'!$J$12:$J$26)-SUM(G338:G352),4)&lt;&gt;0,1,0)</f>
        <v>0</v>
      </c>
      <c r="H354" s="268"/>
      <c r="I354" s="70">
        <f>SUM(I338:I352)</f>
        <v>0</v>
      </c>
    </row>
    <row r="356" spans="1:9" s="139" customFormat="1" x14ac:dyDescent="0.35">
      <c r="B356" s="139" t="s">
        <v>1228</v>
      </c>
    </row>
    <row r="357" spans="1:9" ht="13.2" thickBot="1" x14ac:dyDescent="0.55000000000000004"/>
    <row r="358" spans="1:9" ht="39" thickBot="1" x14ac:dyDescent="0.55000000000000004">
      <c r="D358" s="541" t="s">
        <v>1390</v>
      </c>
      <c r="E358" s="538" t="s">
        <v>1206</v>
      </c>
      <c r="F358" s="544" t="s">
        <v>1389</v>
      </c>
    </row>
    <row r="359" spans="1:9" ht="13.8" thickBot="1" x14ac:dyDescent="0.55000000000000004">
      <c r="D359" s="231" t="str">
        <f>'21'!D52</f>
        <v>1 Phase Meters (including Prepayment)</v>
      </c>
      <c r="E359" s="438" t="s">
        <v>1211</v>
      </c>
      <c r="F359" s="394">
        <f>'21'!E52</f>
        <v>0.17235227712699</v>
      </c>
    </row>
    <row r="360" spans="1:9" ht="13.8" thickBot="1" x14ac:dyDescent="0.55000000000000004">
      <c r="D360" s="231" t="str">
        <f>'21'!D53</f>
        <v>3 Phase Meters</v>
      </c>
      <c r="E360" s="438" t="s">
        <v>1211</v>
      </c>
      <c r="F360" s="394">
        <f>'21'!E53</f>
        <v>0.18898937528157195</v>
      </c>
    </row>
    <row r="361" spans="1:9" ht="13.8" thickBot="1" x14ac:dyDescent="0.55000000000000004">
      <c r="D361" s="231" t="str">
        <f>'21'!D54</f>
        <v>Metering Dedicated CTs and VTs - Remote read</v>
      </c>
      <c r="E361" s="438" t="s">
        <v>1211</v>
      </c>
      <c r="F361" s="394">
        <f>'21'!E54</f>
        <v>0.36874313553065652</v>
      </c>
    </row>
    <row r="363" spans="1:9" s="139" customFormat="1" x14ac:dyDescent="0.35">
      <c r="B363" s="139" t="s">
        <v>1391</v>
      </c>
    </row>
    <row r="364" spans="1:9" ht="13.2" thickBot="1" x14ac:dyDescent="0.55000000000000004"/>
    <row r="365" spans="1:9" ht="39" thickBot="1" x14ac:dyDescent="0.55000000000000004">
      <c r="D365" s="214" t="s">
        <v>1212</v>
      </c>
      <c r="E365" s="538" t="s">
        <v>1206</v>
      </c>
      <c r="F365" s="544" t="s">
        <v>1389</v>
      </c>
    </row>
    <row r="366" spans="1:9" ht="13.8" thickBot="1" x14ac:dyDescent="0.55000000000000004">
      <c r="D366" s="231" t="str">
        <f>'[12]Fee Based Services'!B19</f>
        <v>Special meter test</v>
      </c>
      <c r="E366" s="438" t="s">
        <v>1226</v>
      </c>
      <c r="F366" s="440">
        <f>'[12]Fee Based Services'!J19</f>
        <v>238.66828989361554</v>
      </c>
      <c r="H366" s="70"/>
    </row>
    <row r="367" spans="1:9" ht="13.8" thickBot="1" x14ac:dyDescent="0.55000000000000004">
      <c r="D367" s="231" t="str">
        <f>'[12]Fee Based Services'!B20</f>
        <v>Exchange or replace meter – three phase</v>
      </c>
      <c r="E367" s="438" t="str">
        <f t="shared" ref="E367:E375" si="5">$E$440</f>
        <v>$/request</v>
      </c>
      <c r="F367" s="440">
        <f>'[12]Fee Based Services'!J20</f>
        <v>502.01238089621529</v>
      </c>
    </row>
    <row r="368" spans="1:9" ht="13.8" thickBot="1" x14ac:dyDescent="0.55000000000000004">
      <c r="D368" s="231" t="str">
        <f>'[12]Fee Based Services'!B21</f>
        <v>Exchange or replace meter - standard</v>
      </c>
      <c r="E368" s="438" t="str">
        <f t="shared" si="5"/>
        <v>$/request</v>
      </c>
      <c r="F368" s="440">
        <f>'[12]Fee Based Services'!J21</f>
        <v>411.96867971921847</v>
      </c>
    </row>
    <row r="369" spans="1:9" ht="13.8" thickBot="1" x14ac:dyDescent="0.55000000000000004">
      <c r="D369" s="231" t="str">
        <f>'[12]Fee Based Services'!B23</f>
        <v>Relocation of meter</v>
      </c>
      <c r="E369" s="438" t="str">
        <f t="shared" si="5"/>
        <v>$/request</v>
      </c>
      <c r="F369" s="440">
        <f>'[12]Fee Based Services'!J23</f>
        <v>249.14213113161546</v>
      </c>
    </row>
    <row r="370" spans="1:9" ht="13.8" thickBot="1" x14ac:dyDescent="0.55000000000000004">
      <c r="D370" s="231" t="str">
        <f>'[12]Fee Based Services'!B24</f>
        <v>Remove meter – permanent removal of connection point (meter) from meter panel</v>
      </c>
      <c r="E370" s="438" t="str">
        <f t="shared" si="5"/>
        <v>$/request</v>
      </c>
      <c r="F370" s="440">
        <f>'[12]Fee Based Services'!J24</f>
        <v>249.14213113161546</v>
      </c>
    </row>
    <row r="371" spans="1:9" ht="13.8" thickBot="1" x14ac:dyDescent="0.55000000000000004">
      <c r="D371" s="231" t="str">
        <f>'[12]Fee Based Services'!B26</f>
        <v>General meter inspection</v>
      </c>
      <c r="E371" s="438" t="str">
        <f t="shared" si="5"/>
        <v>$/request</v>
      </c>
      <c r="F371" s="440">
        <f>'[12]Fee Based Services'!J26</f>
        <v>112.98219503761645</v>
      </c>
    </row>
    <row r="372" spans="1:9" ht="13.8" thickBot="1" x14ac:dyDescent="0.55000000000000004">
      <c r="D372" s="231" t="str">
        <f>'[12]Fee Based Services'!B27</f>
        <v>Special meter read - no appointment</v>
      </c>
      <c r="E372" s="438" t="str">
        <f t="shared" si="5"/>
        <v>$/request</v>
      </c>
      <c r="F372" s="440">
        <f>'[12]Fee Based Services'!J27</f>
        <v>28.380350882160773</v>
      </c>
    </row>
    <row r="373" spans="1:9" ht="13.8" thickBot="1" x14ac:dyDescent="0.55000000000000004">
      <c r="D373" s="231" t="str">
        <f>'[12]Fee Based Services'!B28</f>
        <v>Special meter read - appointment</v>
      </c>
      <c r="E373" s="438" t="str">
        <f t="shared" si="5"/>
        <v>$/request</v>
      </c>
      <c r="F373" s="440">
        <f>'[12]Fee Based Services'!J28</f>
        <v>60.768634500198246</v>
      </c>
    </row>
    <row r="374" spans="1:9" ht="13.8" thickBot="1" x14ac:dyDescent="0.55000000000000004">
      <c r="D374" s="231" t="str">
        <f>'[12]Fee Based Services'!B29</f>
        <v>Meter program change – no comms</v>
      </c>
      <c r="E374" s="438" t="str">
        <f t="shared" si="5"/>
        <v>$/request</v>
      </c>
      <c r="F374" s="440">
        <f>'[12]Fee Based Services'!J29</f>
        <v>133.9298775136163</v>
      </c>
    </row>
    <row r="375" spans="1:9" ht="13.8" thickBot="1" x14ac:dyDescent="0.55000000000000004">
      <c r="D375" s="231" t="str">
        <f>'[12]Fee Based Services'!B30</f>
        <v>Meter program change – with comms</v>
      </c>
      <c r="E375" s="438" t="str">
        <f t="shared" si="5"/>
        <v>$/request</v>
      </c>
      <c r="F375" s="440">
        <f>'[12]Fee Based Services'!J30</f>
        <v>8.7247097512539327</v>
      </c>
    </row>
    <row r="377" spans="1:9" ht="15" x14ac:dyDescent="0.5">
      <c r="A377" s="70">
        <f>IF(SUM(D377:H377)&lt;&gt;0,1,0)</f>
        <v>0</v>
      </c>
      <c r="C377" s="270"/>
      <c r="D377" s="270" t="s">
        <v>819</v>
      </c>
      <c r="E377" s="268"/>
      <c r="F377" s="268">
        <f>IF(ROUND(SUM('[12]Fee Based Services'!$J$19:$J$30)-SUM(F366:F375),4)&lt;&gt;0,1,0)</f>
        <v>0</v>
      </c>
      <c r="G377" s="268"/>
      <c r="H377" s="268"/>
      <c r="I377" s="268"/>
    </row>
    <row r="379" spans="1:9" s="139" customFormat="1" x14ac:dyDescent="0.35">
      <c r="B379" s="139" t="s">
        <v>1392</v>
      </c>
    </row>
    <row r="380" spans="1:9" ht="13.2" thickBot="1" x14ac:dyDescent="0.55000000000000004"/>
    <row r="381" spans="1:9" ht="13.2" thickBot="1" x14ac:dyDescent="0.55000000000000004">
      <c r="D381" s="783" t="s">
        <v>1270</v>
      </c>
      <c r="E381" s="785" t="s">
        <v>1269</v>
      </c>
      <c r="F381" s="785"/>
      <c r="G381" s="785"/>
      <c r="H381" s="785"/>
      <c r="I381" s="785"/>
    </row>
    <row r="382" spans="1:9" ht="13.2" thickBot="1" x14ac:dyDescent="0.55000000000000004">
      <c r="D382" s="783"/>
      <c r="E382" s="209" t="s">
        <v>236</v>
      </c>
      <c r="F382" s="209" t="s">
        <v>237</v>
      </c>
      <c r="G382" s="209" t="s">
        <v>238</v>
      </c>
      <c r="H382" s="209" t="s">
        <v>239</v>
      </c>
      <c r="I382" s="209" t="s">
        <v>240</v>
      </c>
    </row>
    <row r="383" spans="1:9" ht="13.2" thickBot="1" x14ac:dyDescent="0.55000000000000004">
      <c r="D383" s="599" t="str">
        <f>'21'!D26</f>
        <v>System Availability Charge</v>
      </c>
      <c r="E383" s="784" t="s">
        <v>1009</v>
      </c>
      <c r="F383" s="784"/>
      <c r="G383" s="784"/>
      <c r="H383" s="784"/>
      <c r="I383" s="784"/>
    </row>
    <row r="384" spans="1:9" ht="13.8" thickBot="1" x14ac:dyDescent="0.55000000000000004">
      <c r="D384" s="484" t="str">
        <f>'21'!D27</f>
        <v>Cents per day per NMI – LV Residential  Accumulation1</v>
      </c>
      <c r="E384" s="485">
        <f>'21'!E27</f>
        <v>64.041769951086621</v>
      </c>
      <c r="F384" s="486">
        <f>E384*(1+Input_Inflation!V$18)*(1-'17'!F$15)</f>
        <v>67.809223500154033</v>
      </c>
      <c r="G384" s="486">
        <f>F384*(1+Input_Inflation!W$18)*(1-'17'!G$15)</f>
        <v>71.79830905994227</v>
      </c>
      <c r="H384" s="486">
        <f>G384*(1+Input_Inflation!X$18)*(1-'17'!H$15)</f>
        <v>76.022064813281318</v>
      </c>
      <c r="I384" s="486">
        <f>H384*(1+Input_Inflation!Y$18)*(1-'17'!I$15)</f>
        <v>80.49429595409741</v>
      </c>
    </row>
    <row r="385" spans="4:9" ht="13.8" thickBot="1" x14ac:dyDescent="0.55000000000000004">
      <c r="D385" s="484" t="str">
        <f>'21'!D28</f>
        <v>Cents per day per NMI –   LV Non Residential  Accumulation1</v>
      </c>
      <c r="E385" s="485">
        <f>'21'!E28</f>
        <v>135</v>
      </c>
      <c r="F385" s="486">
        <f>E385*(1+Input_Inflation!V$18)*(1-'17'!F$15)</f>
        <v>142.9417890778559</v>
      </c>
      <c r="G385" s="486">
        <f>F385*(1+Input_Inflation!W$18)*(1-'17'!G$15)</f>
        <v>151.35077825761664</v>
      </c>
      <c r="H385" s="486">
        <f>G385*(1+Input_Inflation!X$18)*(1-'17'!H$15)</f>
        <v>160.25445201829314</v>
      </c>
      <c r="I385" s="486">
        <f>H385*(1+Input_Inflation!Y$18)*(1-'17'!I$15)</f>
        <v>169.68191169767584</v>
      </c>
    </row>
    <row r="386" spans="4:9" ht="13.8" thickBot="1" x14ac:dyDescent="0.55000000000000004">
      <c r="D386" s="484" t="str">
        <f>'21'!D29</f>
        <v>Cents per day per NMI –  LV Smart Meter &lt;40 MWh1</v>
      </c>
      <c r="E386" s="485">
        <f>'21'!E29</f>
        <v>135</v>
      </c>
      <c r="F386" s="486">
        <f>E386*(1+Input_Inflation!V$18)*(1-'17'!F$15)</f>
        <v>142.9417890778559</v>
      </c>
      <c r="G386" s="486">
        <f>F386*(1+Input_Inflation!W$18)*(1-'17'!G$15)</f>
        <v>151.35077825761664</v>
      </c>
      <c r="H386" s="486">
        <f>G386*(1+Input_Inflation!X$18)*(1-'17'!H$15)</f>
        <v>160.25445201829314</v>
      </c>
      <c r="I386" s="486">
        <f>H386*(1+Input_Inflation!Y$18)*(1-'17'!I$15)</f>
        <v>169.68191169767584</v>
      </c>
    </row>
    <row r="387" spans="4:9" ht="13.8" thickBot="1" x14ac:dyDescent="0.55000000000000004">
      <c r="D387" s="484" t="str">
        <f>'21'!D30</f>
        <v>Cents per day per NMI –  LV Smart Meter &gt;40 MWh1</v>
      </c>
      <c r="E387" s="485">
        <f>'21'!E30</f>
        <v>650</v>
      </c>
      <c r="F387" s="486">
        <f>E387*(1+Input_Inflation!V$18)*(1-'17'!F$15)</f>
        <v>688.23824370819511</v>
      </c>
      <c r="G387" s="486">
        <f>F387*(1+Input_Inflation!W$18)*(1-'17'!G$15)</f>
        <v>728.72596938852462</v>
      </c>
      <c r="H387" s="486">
        <f>G387*(1+Input_Inflation!X$18)*(1-'17'!H$15)</f>
        <v>771.59550971770784</v>
      </c>
      <c r="I387" s="486">
        <f>H387*(1+Input_Inflation!Y$18)*(1-'17'!I$15)</f>
        <v>816.9869822480689</v>
      </c>
    </row>
    <row r="388" spans="4:9" ht="13.8" thickBot="1" x14ac:dyDescent="0.55000000000000004">
      <c r="D388" s="484" t="str">
        <f>'21'!D31</f>
        <v>Cents per day per NMI – HV &lt;750MWh1</v>
      </c>
      <c r="E388" s="485">
        <f>'21'!E31</f>
        <v>307.08327765560875</v>
      </c>
      <c r="F388" s="486">
        <f>E388*(1+Input_Inflation!V$18)*(1-'17'!F$15)</f>
        <v>325.14839336284956</v>
      </c>
      <c r="G388" s="486">
        <f>F388*(1+Input_Inflation!W$18)*(1-'17'!G$15)</f>
        <v>344.27624491167529</v>
      </c>
      <c r="H388" s="486">
        <f>G388*(1+Input_Inflation!X$18)*(1-'17'!H$15)</f>
        <v>364.5293509976367</v>
      </c>
      <c r="I388" s="486">
        <f>H388*(1+Input_Inflation!Y$18)*(1-'17'!I$15)</f>
        <v>385.97390817031027</v>
      </c>
    </row>
    <row r="389" spans="4:9" ht="13.2" thickBot="1" x14ac:dyDescent="0.55000000000000004">
      <c r="D389" s="599" t="str">
        <f>'21'!D32</f>
        <v>Energy Charges</v>
      </c>
      <c r="E389" s="784" t="s">
        <v>988</v>
      </c>
      <c r="F389" s="784"/>
      <c r="G389" s="784"/>
      <c r="H389" s="784"/>
      <c r="I389" s="784"/>
    </row>
    <row r="390" spans="4:9" ht="13.8" thickBot="1" x14ac:dyDescent="0.55000000000000004">
      <c r="D390" s="484" t="str">
        <f>'21'!D33</f>
        <v>LV Residential Accumulation</v>
      </c>
      <c r="E390" s="487">
        <f>'21'!E33</f>
        <v>10.104915273055934</v>
      </c>
      <c r="F390" s="545">
        <f>E390*(1+Input_Inflation!V$18)*(1-'17'!F$15)</f>
        <v>10.699367908227895</v>
      </c>
      <c r="G390" s="545">
        <f>F390*(1+Input_Inflation!W$18)*(1-'17'!G$15)</f>
        <v>11.328791042994757</v>
      </c>
      <c r="H390" s="545">
        <f>G390*(1+Input_Inflation!X$18)*(1-'17'!H$15)</f>
        <v>11.99524192425822</v>
      </c>
      <c r="I390" s="545">
        <f>H390*(1+Input_Inflation!Y$18)*(1-'17'!I$15)</f>
        <v>12.700898822779058</v>
      </c>
    </row>
    <row r="391" spans="4:9" ht="13.8" thickBot="1" x14ac:dyDescent="0.55000000000000004">
      <c r="D391" s="484" t="str">
        <f>'21'!D34</f>
        <v>LV Non-residential Accumulation</v>
      </c>
      <c r="E391" s="487">
        <f>'21'!E34</f>
        <v>10.455</v>
      </c>
      <c r="F391" s="545">
        <f>E391*(1+Input_Inflation!V$18)*(1-'17'!F$15)</f>
        <v>11.070047443029507</v>
      </c>
      <c r="G391" s="545">
        <f>F391*(1+Input_Inflation!W$18)*(1-'17'!G$15)</f>
        <v>11.721276938395421</v>
      </c>
      <c r="H391" s="545">
        <f>G391*(1+Input_Inflation!X$18)*(1-'17'!H$15)</f>
        <v>12.410817006305592</v>
      </c>
      <c r="I391" s="545">
        <f>H391*(1+Input_Inflation!Y$18)*(1-'17'!I$15)</f>
        <v>13.140921383697785</v>
      </c>
    </row>
    <row r="392" spans="4:9" ht="13.8" thickBot="1" x14ac:dyDescent="0.55000000000000004">
      <c r="D392" s="484" t="str">
        <f>'21'!D35</f>
        <v>LV Smart Meter</v>
      </c>
      <c r="E392" s="487">
        <f>'21'!E35</f>
        <v>3.07569605206987</v>
      </c>
      <c r="F392" s="545">
        <f>E392*(1+Input_Inflation!V$18)*(1-'17'!F$15)</f>
        <v>3.2566333062412256</v>
      </c>
      <c r="G392" s="545">
        <f>F392*(1+Input_Inflation!W$18)*(1-'17'!G$15)</f>
        <v>3.4482147493678057</v>
      </c>
      <c r="H392" s="545">
        <f>G392*(1+Input_Inflation!X$18)*(1-'17'!H$15)</f>
        <v>3.6510665585132194</v>
      </c>
      <c r="I392" s="545">
        <f>H392*(1+Input_Inflation!Y$18)*(1-'17'!I$15)</f>
        <v>3.8658517475274801</v>
      </c>
    </row>
    <row r="393" spans="4:9" ht="13.8" thickBot="1" x14ac:dyDescent="0.55000000000000004">
      <c r="D393" s="484" t="str">
        <f>'21'!D36</f>
        <v>HV &lt;750 MWh</v>
      </c>
      <c r="E393" s="487">
        <f>'21'!E36</f>
        <v>3.07569605206987</v>
      </c>
      <c r="F393" s="545">
        <f>E393*(1+Input_Inflation!V$18)*(1-'17'!F$15)</f>
        <v>3.2566333062412256</v>
      </c>
      <c r="G393" s="545">
        <f>F393*(1+Input_Inflation!W$18)*(1-'17'!G$15)</f>
        <v>3.4482147493678057</v>
      </c>
      <c r="H393" s="545">
        <f>G393*(1+Input_Inflation!X$18)*(1-'17'!H$15)</f>
        <v>3.6510665585132194</v>
      </c>
      <c r="I393" s="545">
        <f>H393*(1+Input_Inflation!Y$18)*(1-'17'!I$15)</f>
        <v>3.8658517475274801</v>
      </c>
    </row>
    <row r="394" spans="4:9" ht="13.2" thickBot="1" x14ac:dyDescent="0.55000000000000004">
      <c r="D394" s="599" t="str">
        <f>'21'!D37</f>
        <v>Unmetered Supply</v>
      </c>
      <c r="E394" s="784" t="s">
        <v>991</v>
      </c>
      <c r="F394" s="784"/>
      <c r="G394" s="784"/>
      <c r="H394" s="784"/>
      <c r="I394" s="784"/>
    </row>
    <row r="395" spans="4:9" ht="13.8" thickBot="1" x14ac:dyDescent="0.55000000000000004">
      <c r="D395" s="484" t="str">
        <f>'21'!D38</f>
        <v>Unmetered Supply 12hr operation</v>
      </c>
      <c r="E395" s="487">
        <f>'21'!E38</f>
        <v>0.267530400000007</v>
      </c>
      <c r="F395" s="545">
        <f>E395*(1+Input_Inflation!V$18)*(1-'17'!F$15)</f>
        <v>0.283268696360855</v>
      </c>
      <c r="G395" s="545">
        <f>F395*(1+Input_Inflation!W$18)*(1-'17'!G$15)</f>
        <v>0.29993284627831518</v>
      </c>
      <c r="H395" s="545">
        <f>G395*(1+Input_Inflation!X$18)*(1-'17'!H$15)</f>
        <v>0.31757731592767335</v>
      </c>
      <c r="I395" s="545">
        <f>H395*(1+Input_Inflation!Y$18)*(1-'17'!I$15)</f>
        <v>0.33625977562403775</v>
      </c>
    </row>
    <row r="396" spans="4:9" ht="13.8" thickBot="1" x14ac:dyDescent="0.55000000000000004">
      <c r="D396" s="484" t="str">
        <f>'21'!D39</f>
        <v>Unmetered Supply 12-24hr operation</v>
      </c>
      <c r="E396" s="487">
        <f>'21'!E39</f>
        <v>0.61398839999999899</v>
      </c>
      <c r="F396" s="545">
        <f>E396*(1+Input_Inflation!V$18)*(1-'17'!F$15)</f>
        <v>0.65010815088185248</v>
      </c>
      <c r="G396" s="545">
        <f>F396*(1+Input_Inflation!W$18)*(1-'17'!G$15)</f>
        <v>0.68835275689739761</v>
      </c>
      <c r="H396" s="545">
        <f>G396*(1+Input_Inflation!X$18)*(1-'17'!H$15)</f>
        <v>0.72884721916732176</v>
      </c>
      <c r="I396" s="545">
        <f>H396*(1+Input_Inflation!Y$18)*(1-'17'!I$15)</f>
        <v>0.77172389238664529</v>
      </c>
    </row>
    <row r="397" spans="4:9" ht="13.2" thickBot="1" x14ac:dyDescent="0.55000000000000004">
      <c r="D397" s="599" t="str">
        <f>'21'!D40</f>
        <v>Demand Charges</v>
      </c>
      <c r="E397" s="784" t="s">
        <v>993</v>
      </c>
      <c r="F397" s="784"/>
      <c r="G397" s="784"/>
      <c r="H397" s="784"/>
      <c r="I397" s="784"/>
    </row>
    <row r="398" spans="4:9" ht="13.8" thickBot="1" x14ac:dyDescent="0.55000000000000004">
      <c r="D398" s="484" t="str">
        <f>'21'!D41</f>
        <v>LV Smart Meter Peak2</v>
      </c>
      <c r="E398" s="487">
        <f>'21'!E41</f>
        <v>20</v>
      </c>
      <c r="F398" s="545">
        <f>E398*(1+Input_Inflation!V$18)*(1-'17'!F$15)</f>
        <v>21.176561344867544</v>
      </c>
      <c r="G398" s="545">
        <f>F398*(1+Input_Inflation!W$18)*(1-'17'!G$15)</f>
        <v>22.422337519646913</v>
      </c>
      <c r="H398" s="545">
        <f>G398*(1+Input_Inflation!X$18)*(1-'17'!H$15)</f>
        <v>23.741400299006397</v>
      </c>
      <c r="I398" s="545">
        <f>H398*(1+Input_Inflation!Y$18)*(1-'17'!I$15)</f>
        <v>25.138060992248278</v>
      </c>
    </row>
    <row r="399" spans="4:9" ht="13.8" thickBot="1" x14ac:dyDescent="0.55000000000000004">
      <c r="D399" s="484" t="str">
        <f>'21'!D42</f>
        <v>LV Smart Meter Off Peak2</v>
      </c>
      <c r="E399" s="487">
        <f>'21'!E42</f>
        <v>0</v>
      </c>
      <c r="F399" s="545">
        <f>E399*(1+Input_Inflation!V$18)*(1-'17'!F$15)</f>
        <v>0</v>
      </c>
      <c r="G399" s="545">
        <f>F399*(1+Input_Inflation!W$18)*(1-'17'!G$15)</f>
        <v>0</v>
      </c>
      <c r="H399" s="545">
        <f>G399*(1+Input_Inflation!X$18)*(1-'17'!H$15)</f>
        <v>0</v>
      </c>
      <c r="I399" s="545">
        <f>H399*(1+Input_Inflation!Y$18)*(1-'17'!I$15)</f>
        <v>0</v>
      </c>
    </row>
    <row r="400" spans="4:9" ht="13.8" thickBot="1" x14ac:dyDescent="0.55000000000000004">
      <c r="D400" s="484" t="str">
        <f>'21'!D43</f>
        <v>HV &lt;750 MWh Peak3</v>
      </c>
      <c r="E400" s="487">
        <f>'21'!E43</f>
        <v>9.4487162355571925</v>
      </c>
      <c r="F400" s="545">
        <f>E400*(1+Input_Inflation!V$18)*(1-'17'!F$15)</f>
        <v>10.004565949626141</v>
      </c>
      <c r="G400" s="545">
        <f>F400*(1+Input_Inflation!W$18)*(1-'17'!G$15)</f>
        <v>10.593115228051547</v>
      </c>
      <c r="H400" s="545">
        <f>G400*(1+Input_Inflation!X$18)*(1-'17'!H$15)</f>
        <v>11.216287723004204</v>
      </c>
      <c r="I400" s="545">
        <f>H400*(1+Input_Inflation!Y$18)*(1-'17'!I$15)</f>
        <v>11.876120251394159</v>
      </c>
    </row>
    <row r="401" spans="1:11" ht="13.8" thickBot="1" x14ac:dyDescent="0.55000000000000004">
      <c r="D401" s="484" t="str">
        <f>'21'!D44</f>
        <v>HV &lt;750 MWh Off Peak3</v>
      </c>
      <c r="E401" s="487">
        <f>'21'!E44</f>
        <v>0</v>
      </c>
      <c r="F401" s="545">
        <f>E401*(1+Input_Inflation!V$18)*(1-'17'!F$15)</f>
        <v>0</v>
      </c>
      <c r="G401" s="545">
        <f>F401*(1+Input_Inflation!W$18)*(1-'17'!G$15)</f>
        <v>0</v>
      </c>
      <c r="H401" s="545">
        <f>G401*(1+Input_Inflation!X$18)*(1-'17'!H$15)</f>
        <v>0</v>
      </c>
      <c r="I401" s="545">
        <f>H401*(1+Input_Inflation!Y$18)*(1-'17'!I$15)</f>
        <v>0</v>
      </c>
    </row>
    <row r="402" spans="1:11" ht="13.2" thickBot="1" x14ac:dyDescent="0.55000000000000004">
      <c r="D402" s="599" t="str">
        <f>'21'!D45</f>
        <v xml:space="preserve">kVAr Charge </v>
      </c>
      <c r="E402" s="784" t="s">
        <v>995</v>
      </c>
      <c r="F402" s="784"/>
      <c r="G402" s="784"/>
      <c r="H402" s="784"/>
      <c r="I402" s="784"/>
    </row>
    <row r="403" spans="1:11" ht="13.8" thickBot="1" x14ac:dyDescent="0.55000000000000004">
      <c r="D403" s="484" t="str">
        <f>'21'!D46</f>
        <v>&gt;40 MWh LV Smart Meter</v>
      </c>
      <c r="E403" s="487">
        <f>'21'!E46</f>
        <v>4</v>
      </c>
      <c r="F403" s="545">
        <f>E403*(1+Input_Inflation!V$18)*(1-'17'!F$15)</f>
        <v>4.2353122689735079</v>
      </c>
      <c r="G403" s="545">
        <f>F403*(1+Input_Inflation!W$18)*(1-'17'!G$15)</f>
        <v>4.4844675039293813</v>
      </c>
      <c r="H403" s="545">
        <f>G403*(1+Input_Inflation!X$18)*(1-'17'!H$15)</f>
        <v>4.748280059801278</v>
      </c>
      <c r="I403" s="545">
        <f>H403*(1+Input_Inflation!Y$18)*(1-'17'!I$15)</f>
        <v>5.0276121984496545</v>
      </c>
    </row>
    <row r="404" spans="1:11" ht="13.8" thickBot="1" x14ac:dyDescent="0.55000000000000004">
      <c r="D404" s="484" t="str">
        <f>'21'!D47</f>
        <v>&gt;40 MWh HV</v>
      </c>
      <c r="E404" s="487">
        <f>'21'!E47</f>
        <v>4</v>
      </c>
      <c r="F404" s="545">
        <f>E404*(1+Input_Inflation!V$18)*(1-'17'!F$15)</f>
        <v>4.2353122689735079</v>
      </c>
      <c r="G404" s="545">
        <f>F404*(1+Input_Inflation!W$18)*(1-'17'!G$15)</f>
        <v>4.4844675039293813</v>
      </c>
      <c r="H404" s="545">
        <f>G404*(1+Input_Inflation!X$18)*(1-'17'!H$15)</f>
        <v>4.748280059801278</v>
      </c>
      <c r="I404" s="545">
        <f>H404*(1+Input_Inflation!Y$18)*(1-'17'!I$15)</f>
        <v>5.0276121984496545</v>
      </c>
    </row>
    <row r="406" spans="1:11" ht="15" x14ac:dyDescent="0.5">
      <c r="A406" s="70">
        <f>IF(SUM(D406:H406)&lt;&gt;0,1,0)</f>
        <v>0</v>
      </c>
      <c r="C406" s="270"/>
      <c r="D406" s="270" t="s">
        <v>819</v>
      </c>
      <c r="E406" s="268">
        <f>IF(ROUND(SUM('21'!E27:E31,'21'!E33:E36,'21'!E38:E39,'21'!E41:E44,'21'!E46:E47)-SUM(E384:E388,E390:E393,E395:E396,E398:E401,E403:E404),4)&lt;&gt;0,1,0)</f>
        <v>0</v>
      </c>
      <c r="F406" s="268"/>
      <c r="G406" s="268"/>
      <c r="H406" s="268"/>
      <c r="I406" s="268"/>
    </row>
    <row r="408" spans="1:11" s="139" customFormat="1" x14ac:dyDescent="0.35">
      <c r="B408" s="139" t="s">
        <v>1393</v>
      </c>
    </row>
    <row r="409" spans="1:11" ht="13.2" thickBot="1" x14ac:dyDescent="0.55000000000000004"/>
    <row r="410" spans="1:11" ht="13.15" customHeight="1" thickBot="1" x14ac:dyDescent="0.55000000000000004">
      <c r="D410" s="783" t="s">
        <v>1270</v>
      </c>
      <c r="E410" s="785" t="s">
        <v>1206</v>
      </c>
      <c r="F410" s="785" t="s">
        <v>1271</v>
      </c>
      <c r="G410" s="785" t="s">
        <v>1269</v>
      </c>
      <c r="H410" s="785"/>
      <c r="I410" s="785"/>
      <c r="J410" s="785"/>
      <c r="K410" s="785"/>
    </row>
    <row r="411" spans="1:11" ht="13.2" thickBot="1" x14ac:dyDescent="0.55000000000000004">
      <c r="D411" s="783"/>
      <c r="E411" s="785"/>
      <c r="F411" s="785"/>
      <c r="G411" s="209" t="s">
        <v>236</v>
      </c>
      <c r="H411" s="209" t="s">
        <v>237</v>
      </c>
      <c r="I411" s="209" t="s">
        <v>238</v>
      </c>
      <c r="J411" s="209" t="s">
        <v>239</v>
      </c>
      <c r="K411" s="209" t="s">
        <v>240</v>
      </c>
    </row>
    <row r="412" spans="1:11" ht="13.8" thickBot="1" x14ac:dyDescent="0.55000000000000004">
      <c r="D412" s="488" t="str">
        <f>'21'!D10</f>
        <v>System Availability Charge</v>
      </c>
      <c r="E412" s="489" t="s">
        <v>986</v>
      </c>
      <c r="F412" s="489" t="s">
        <v>34</v>
      </c>
      <c r="G412" s="490">
        <f>'21'!E19</f>
        <v>1298.0454680479745</v>
      </c>
      <c r="H412" s="490">
        <f>G412*(1+Input_Inflation!V$18)*(1-'17'!F$15)</f>
        <v>1374.4069741272615</v>
      </c>
      <c r="I412" s="490">
        <f>H412*(1+Input_Inflation!W$18)*(1-'17'!G$15)</f>
        <v>1455.2606800209865</v>
      </c>
      <c r="J412" s="490">
        <f>I412*(1+Input_Inflation!X$18)*(1-'17'!H$15)</f>
        <v>1540.8708531619036</v>
      </c>
      <c r="K412" s="490">
        <f>J412*(1+Input_Inflation!Y$18)*(1-'17'!I$15)</f>
        <v>1631.5173073250719</v>
      </c>
    </row>
    <row r="413" spans="1:11" ht="15.6" thickBot="1" x14ac:dyDescent="0.55000000000000004">
      <c r="D413" s="786" t="str">
        <f>'21'!D11</f>
        <v>Plus charges related to monthly demand</v>
      </c>
      <c r="E413" s="489" t="s">
        <v>978</v>
      </c>
      <c r="F413" s="489" t="s">
        <v>980</v>
      </c>
      <c r="G413" s="492">
        <f>'21'!F20</f>
        <v>8.2579999999999991</v>
      </c>
      <c r="H413" s="492">
        <f>G413*(1+Input_Inflation!V$18)*(1-'17'!F$15)</f>
        <v>8.7438021792958054</v>
      </c>
      <c r="I413" s="492">
        <f>H413*(1+Input_Inflation!W$18)*(1-'17'!G$15)</f>
        <v>9.2581831618622061</v>
      </c>
      <c r="J413" s="492">
        <f>I413*(1+Input_Inflation!X$18)*(1-'17'!H$15)</f>
        <v>9.8028241834597374</v>
      </c>
      <c r="K413" s="492">
        <f>J413*(1+Input_Inflation!Y$18)*(1-'17'!I$15)</f>
        <v>10.379505383699311</v>
      </c>
    </row>
    <row r="414" spans="1:11" ht="15.6" thickBot="1" x14ac:dyDescent="0.55000000000000004">
      <c r="D414" s="787" t="str">
        <f>'21'!D12</f>
        <v>Plus charges related to energy metered</v>
      </c>
      <c r="E414" s="489" t="s">
        <v>978</v>
      </c>
      <c r="F414" s="489" t="s">
        <v>981</v>
      </c>
      <c r="G414" s="492">
        <f>'21'!G20</f>
        <v>0</v>
      </c>
      <c r="H414" s="492">
        <f>G414*(1+Input_Inflation!V$18)*(1-'17'!F$15)</f>
        <v>0</v>
      </c>
      <c r="I414" s="492">
        <f>H414*(1+Input_Inflation!W$18)*(1-'17'!G$15)</f>
        <v>0</v>
      </c>
      <c r="J414" s="492">
        <f>I414*(1+Input_Inflation!X$18)*(1-'17'!H$15)</f>
        <v>0</v>
      </c>
      <c r="K414" s="492">
        <f>J414*(1+Input_Inflation!Y$18)*(1-'17'!I$15)</f>
        <v>0</v>
      </c>
    </row>
    <row r="415" spans="1:11" ht="26.1" thickBot="1" x14ac:dyDescent="0.55000000000000004">
      <c r="D415" s="491" t="str">
        <f>'21'!D12</f>
        <v>Plus charges related to energy metered</v>
      </c>
      <c r="E415" s="489" t="s">
        <v>979</v>
      </c>
      <c r="F415" s="489" t="s">
        <v>1248</v>
      </c>
      <c r="G415" s="492">
        <f>'21'!H21</f>
        <v>3.2850999999999999</v>
      </c>
      <c r="H415" s="492">
        <f>G415*(1+Input_Inflation!V$18)*(1-'17'!F$15)</f>
        <v>3.4783560837012177</v>
      </c>
      <c r="I415" s="492">
        <f>H415*(1+Input_Inflation!W$18)*(1-'17'!G$15)</f>
        <v>3.6829810492896029</v>
      </c>
      <c r="J415" s="492">
        <f>I415*(1+Input_Inflation!X$18)*(1-'17'!H$15)</f>
        <v>3.8996437061132951</v>
      </c>
      <c r="K415" s="492">
        <f>J415*(1+Input_Inflation!Y$18)*(1-'17'!I$15)</f>
        <v>4.12905220828174</v>
      </c>
    </row>
    <row r="416" spans="1:11" ht="13.8" thickBot="1" x14ac:dyDescent="0.55000000000000004">
      <c r="D416" s="491" t="str">
        <f>'21'!D13</f>
        <v>Plus charges related to excess Kvar</v>
      </c>
      <c r="E416" s="489" t="s">
        <v>1307</v>
      </c>
      <c r="F416" s="489" t="s">
        <v>1248</v>
      </c>
      <c r="G416" s="492">
        <f>'21'!I22</f>
        <v>4</v>
      </c>
      <c r="H416" s="492">
        <f>G416*(1+Input_Inflation!V$18)*(1-'17'!F$15)</f>
        <v>4.2353122689735079</v>
      </c>
      <c r="I416" s="492">
        <f>H416*(1+Input_Inflation!W$18)*(1-'17'!G$15)</f>
        <v>4.4844675039293813</v>
      </c>
      <c r="J416" s="492">
        <f>I416*(1+Input_Inflation!X$18)*(1-'17'!H$15)</f>
        <v>4.748280059801278</v>
      </c>
      <c r="K416" s="492">
        <f>J416*(1+Input_Inflation!Y$18)*(1-'17'!I$15)</f>
        <v>5.0276121984496545</v>
      </c>
    </row>
    <row r="418" spans="2:11" s="139" customFormat="1" x14ac:dyDescent="0.35">
      <c r="B418" s="139" t="s">
        <v>1394</v>
      </c>
    </row>
    <row r="419" spans="2:11" ht="13.2" thickBot="1" x14ac:dyDescent="0.55000000000000004"/>
    <row r="420" spans="2:11" ht="13.15" customHeight="1" thickBot="1" x14ac:dyDescent="0.55000000000000004">
      <c r="D420" s="783" t="s">
        <v>1270</v>
      </c>
      <c r="E420" s="785" t="s">
        <v>1206</v>
      </c>
      <c r="F420" s="785" t="s">
        <v>1271</v>
      </c>
      <c r="G420" s="785" t="s">
        <v>1269</v>
      </c>
      <c r="H420" s="785"/>
      <c r="I420" s="785"/>
      <c r="J420" s="785"/>
      <c r="K420" s="785"/>
    </row>
    <row r="421" spans="2:11" ht="13.2" thickBot="1" x14ac:dyDescent="0.55000000000000004">
      <c r="D421" s="783"/>
      <c r="E421" s="785"/>
      <c r="F421" s="785"/>
      <c r="G421" s="209" t="s">
        <v>236</v>
      </c>
      <c r="H421" s="209" t="s">
        <v>237</v>
      </c>
      <c r="I421" s="209" t="s">
        <v>238</v>
      </c>
      <c r="J421" s="209" t="s">
        <v>239</v>
      </c>
      <c r="K421" s="209" t="s">
        <v>240</v>
      </c>
    </row>
    <row r="422" spans="2:11" ht="13.8" thickBot="1" x14ac:dyDescent="0.55000000000000004">
      <c r="D422" s="488" t="str">
        <f>'21'!D19</f>
        <v>System Availability Charge</v>
      </c>
      <c r="E422" s="489" t="s">
        <v>986</v>
      </c>
      <c r="F422" s="489" t="s">
        <v>34</v>
      </c>
      <c r="G422" s="490">
        <f>'21'!E10</f>
        <v>1116.3191025212582</v>
      </c>
      <c r="H422" s="490">
        <f>G422*(1+Input_Inflation!V$18)*(1-'17'!F$15)</f>
        <v>1181.9899977494449</v>
      </c>
      <c r="I422" s="490">
        <f>H422*(1+Input_Inflation!W$18)*(1-'17'!G$15)</f>
        <v>1251.5241848180483</v>
      </c>
      <c r="J422" s="490">
        <f>I422*(1+Input_Inflation!X$18)*(1-'17'!H$15)</f>
        <v>1325.1489337192372</v>
      </c>
      <c r="K422" s="490">
        <f>J422*(1+Input_Inflation!Y$18)*(1-'17'!I$15)</f>
        <v>1403.1048842995619</v>
      </c>
    </row>
    <row r="423" spans="2:11" ht="15.6" thickBot="1" x14ac:dyDescent="0.55000000000000004">
      <c r="D423" s="786" t="str">
        <f>'21'!D20</f>
        <v>Plus charges related to monthly demand</v>
      </c>
      <c r="E423" s="489" t="s">
        <v>978</v>
      </c>
      <c r="F423" s="489" t="s">
        <v>980</v>
      </c>
      <c r="G423" s="492">
        <f>'21'!F11</f>
        <v>7.1561833650559903</v>
      </c>
      <c r="H423" s="492">
        <f>G423*(1+Input_Inflation!V$18)*(1-'17'!F$15)</f>
        <v>7.5771678012614405</v>
      </c>
      <c r="I423" s="492">
        <f>H423*(1+Input_Inflation!W$18)*(1-'17'!G$15)</f>
        <v>8.0229179381883995</v>
      </c>
      <c r="J423" s="492">
        <f>I423*(1+Input_Inflation!X$18)*(1-'17'!H$15)</f>
        <v>8.4948906941442424</v>
      </c>
      <c r="K423" s="492">
        <f>J423*(1+Input_Inflation!Y$18)*(1-'17'!I$15)</f>
        <v>8.9946286951244971</v>
      </c>
    </row>
    <row r="424" spans="2:11" ht="15.6" thickBot="1" x14ac:dyDescent="0.55000000000000004">
      <c r="D424" s="787" t="str">
        <f>'21'!D21</f>
        <v>Plus charges related to energy metered</v>
      </c>
      <c r="E424" s="489" t="s">
        <v>978</v>
      </c>
      <c r="F424" s="489" t="s">
        <v>981</v>
      </c>
      <c r="G424" s="492">
        <f>'21'!G11</f>
        <v>0</v>
      </c>
      <c r="H424" s="492">
        <f>G424*(1+Input_Inflation!V$18)*(1-'17'!F$15)</f>
        <v>0</v>
      </c>
      <c r="I424" s="492">
        <f>H424*(1+Input_Inflation!W$18)*(1-'17'!G$15)</f>
        <v>0</v>
      </c>
      <c r="J424" s="492">
        <f>I424*(1+Input_Inflation!X$18)*(1-'17'!H$15)</f>
        <v>0</v>
      </c>
      <c r="K424" s="492">
        <f>J424*(1+Input_Inflation!Y$18)*(1-'17'!I$15)</f>
        <v>0</v>
      </c>
    </row>
    <row r="425" spans="2:11" ht="26.1" thickBot="1" x14ac:dyDescent="0.55000000000000004">
      <c r="D425" s="491" t="str">
        <f>'21'!D21</f>
        <v>Plus charges related to energy metered</v>
      </c>
      <c r="E425" s="489" t="s">
        <v>979</v>
      </c>
      <c r="F425" s="489" t="s">
        <v>1248</v>
      </c>
      <c r="G425" s="492">
        <f>'21'!H12</f>
        <v>3.2851393876953505</v>
      </c>
      <c r="H425" s="492">
        <f>G425*(1+Input_Inflation!V$18)*(1-'17'!F$15)</f>
        <v>3.4783977884985591</v>
      </c>
      <c r="I425" s="492">
        <f>H425*(1+Input_Inflation!W$18)*(1-'17'!G$15)</f>
        <v>3.6830252074995662</v>
      </c>
      <c r="J425" s="492">
        <f>I425*(1+Input_Inflation!X$18)*(1-'17'!H$15)</f>
        <v>3.8996904620654034</v>
      </c>
      <c r="K425" s="492">
        <f>J425*(1+Input_Inflation!Y$18)*(1-'17'!I$15)</f>
        <v>4.1291017147961426</v>
      </c>
    </row>
    <row r="426" spans="2:11" ht="13.8" thickBot="1" x14ac:dyDescent="0.55000000000000004">
      <c r="D426" s="491" t="str">
        <f>'21'!D22</f>
        <v>Plus charges related to excess Kvar</v>
      </c>
      <c r="E426" s="489" t="s">
        <v>1307</v>
      </c>
      <c r="F426" s="489" t="s">
        <v>1248</v>
      </c>
      <c r="G426" s="492">
        <f>'21'!I13</f>
        <v>4</v>
      </c>
      <c r="H426" s="492">
        <f>G426*(1+Input_Inflation!V$18)*(1-'17'!F$15)</f>
        <v>4.2353122689735079</v>
      </c>
      <c r="I426" s="492">
        <f>H426*(1+Input_Inflation!W$18)*(1-'17'!G$15)</f>
        <v>4.4844675039293813</v>
      </c>
      <c r="J426" s="492">
        <f>I426*(1+Input_Inflation!X$18)*(1-'17'!H$15)</f>
        <v>4.748280059801278</v>
      </c>
      <c r="K426" s="492">
        <f>J426*(1+Input_Inflation!Y$18)*(1-'17'!I$15)</f>
        <v>5.0276121984496545</v>
      </c>
    </row>
    <row r="428" spans="2:11" s="139" customFormat="1" x14ac:dyDescent="0.35">
      <c r="B428" s="139" t="s">
        <v>1395</v>
      </c>
    </row>
    <row r="429" spans="2:11" ht="13.2" thickBot="1" x14ac:dyDescent="0.55000000000000004"/>
    <row r="430" spans="2:11" ht="13.2" thickBot="1" x14ac:dyDescent="0.55000000000000004">
      <c r="D430" s="798" t="s">
        <v>1390</v>
      </c>
      <c r="E430" s="696" t="s">
        <v>1206</v>
      </c>
      <c r="F430" s="785" t="s">
        <v>1269</v>
      </c>
      <c r="G430" s="785"/>
      <c r="H430" s="785"/>
      <c r="I430" s="785"/>
      <c r="J430" s="785"/>
    </row>
    <row r="431" spans="2:11" ht="13.2" thickBot="1" x14ac:dyDescent="0.55000000000000004">
      <c r="D431" s="799"/>
      <c r="E431" s="698"/>
      <c r="F431" s="434" t="s">
        <v>236</v>
      </c>
      <c r="G431" s="479" t="s">
        <v>237</v>
      </c>
      <c r="H431" s="479" t="s">
        <v>238</v>
      </c>
      <c r="I431" s="479" t="s">
        <v>239</v>
      </c>
      <c r="J431" s="479" t="s">
        <v>240</v>
      </c>
    </row>
    <row r="432" spans="2:11" ht="13.8" thickBot="1" x14ac:dyDescent="0.55000000000000004">
      <c r="D432" s="231" t="str">
        <f>'21'!D52</f>
        <v>1 Phase Meters (including Prepayment)</v>
      </c>
      <c r="E432" s="438" t="s">
        <v>1211</v>
      </c>
      <c r="F432" s="394">
        <f>'21'!E52</f>
        <v>0.17235227712699</v>
      </c>
      <c r="G432" s="394">
        <f>'21'!F52</f>
        <v>0.18937349701584208</v>
      </c>
      <c r="H432" s="394">
        <f>'21'!G52</f>
        <v>0.2075071909901999</v>
      </c>
      <c r="I432" s="394">
        <f>'21'!H52</f>
        <v>0.22737729931153552</v>
      </c>
      <c r="J432" s="394">
        <f>'21'!I52</f>
        <v>0.24846935652520563</v>
      </c>
    </row>
    <row r="433" spans="2:10" ht="13.8" thickBot="1" x14ac:dyDescent="0.55000000000000004">
      <c r="D433" s="231" t="str">
        <f>'21'!D53</f>
        <v>3 Phase Meters</v>
      </c>
      <c r="E433" s="438" t="s">
        <v>1211</v>
      </c>
      <c r="F433" s="394">
        <f>'21'!E53</f>
        <v>0.18898937528157195</v>
      </c>
      <c r="G433" s="394">
        <f>'21'!F53</f>
        <v>0.20765364689403373</v>
      </c>
      <c r="H433" s="394">
        <f>'21'!G53</f>
        <v>0.22753777928200331</v>
      </c>
      <c r="I433" s="394">
        <f>'21'!H53</f>
        <v>0.2493259414172764</v>
      </c>
      <c r="J433" s="394">
        <f>'21'!I53</f>
        <v>0.27245400669533276</v>
      </c>
    </row>
    <row r="434" spans="2:10" ht="13.8" thickBot="1" x14ac:dyDescent="0.55000000000000004">
      <c r="D434" s="231" t="str">
        <f>'21'!D54</f>
        <v>Metering Dedicated CTs and VTs - Remote read</v>
      </c>
      <c r="E434" s="438" t="s">
        <v>1211</v>
      </c>
      <c r="F434" s="394">
        <f>'21'!E54</f>
        <v>0.36874313553065652</v>
      </c>
      <c r="G434" s="394">
        <f>'21'!F54</f>
        <v>0.40515958500841748</v>
      </c>
      <c r="H434" s="394">
        <f>'21'!G54</f>
        <v>0.44395614334997802</v>
      </c>
      <c r="I434" s="394">
        <f>'21'!H54</f>
        <v>0.48646771423189067</v>
      </c>
      <c r="J434" s="394">
        <f>'21'!I54</f>
        <v>0.53159361242951164</v>
      </c>
    </row>
    <row r="436" spans="2:10" s="139" customFormat="1" x14ac:dyDescent="0.35">
      <c r="B436" s="139" t="s">
        <v>1396</v>
      </c>
    </row>
    <row r="437" spans="2:10" ht="13.2" thickBot="1" x14ac:dyDescent="0.55000000000000004"/>
    <row r="438" spans="2:10" ht="13.5" customHeight="1" thickBot="1" x14ac:dyDescent="0.55000000000000004">
      <c r="D438" s="790" t="s">
        <v>1212</v>
      </c>
      <c r="E438" s="788" t="s">
        <v>1206</v>
      </c>
      <c r="F438" s="785" t="s">
        <v>1269</v>
      </c>
      <c r="G438" s="785"/>
      <c r="H438" s="785"/>
      <c r="I438" s="785"/>
      <c r="J438" s="785"/>
    </row>
    <row r="439" spans="2:10" ht="13.2" thickBot="1" x14ac:dyDescent="0.55000000000000004">
      <c r="D439" s="791"/>
      <c r="E439" s="789"/>
      <c r="F439" s="434" t="s">
        <v>236</v>
      </c>
      <c r="G439" s="479" t="s">
        <v>237</v>
      </c>
      <c r="H439" s="479" t="s">
        <v>238</v>
      </c>
      <c r="I439" s="479" t="s">
        <v>239</v>
      </c>
      <c r="J439" s="479" t="s">
        <v>240</v>
      </c>
    </row>
    <row r="440" spans="2:10" ht="13.8" thickBot="1" x14ac:dyDescent="0.55000000000000004">
      <c r="D440" s="231" t="str">
        <f>'[12]Fee Based Services'!B19</f>
        <v>Special meter test</v>
      </c>
      <c r="E440" s="438" t="s">
        <v>1226</v>
      </c>
      <c r="F440" s="440">
        <f>'[12]Fee Based Services'!J19</f>
        <v>238.66828989361554</v>
      </c>
      <c r="G440" s="440">
        <f>F440*(1+Input_Inflation!V$18)</f>
        <v>244.45569677082912</v>
      </c>
      <c r="H440" s="440">
        <f>G440*(1+Input_Inflation!W$18)</f>
        <v>250.38344101073696</v>
      </c>
      <c r="I440" s="440">
        <f>H440*(1+Input_Inflation!X$18)</f>
        <v>256.45492561848209</v>
      </c>
      <c r="J440" s="440">
        <f>I440*(1+Input_Inflation!Y$18)</f>
        <v>262.67363611781684</v>
      </c>
    </row>
    <row r="441" spans="2:10" ht="13.8" thickBot="1" x14ac:dyDescent="0.55000000000000004">
      <c r="D441" s="231" t="str">
        <f>'[12]Fee Based Services'!B20</f>
        <v>Exchange or replace meter – three phase</v>
      </c>
      <c r="E441" s="438" t="str">
        <f t="shared" ref="E441:E449" si="6">$E$440</f>
        <v>$/request</v>
      </c>
      <c r="F441" s="440">
        <f>'[12]Fee Based Services'!J20</f>
        <v>502.01238089621529</v>
      </c>
      <c r="G441" s="440">
        <f>F441*(1+Input_Inflation!V$18)</f>
        <v>514.18555189827907</v>
      </c>
      <c r="H441" s="440">
        <f>G441*(1+Input_Inflation!W$18)</f>
        <v>526.65390703899095</v>
      </c>
      <c r="I441" s="440">
        <f>H441*(1+Input_Inflation!X$18)</f>
        <v>539.42460416372194</v>
      </c>
      <c r="J441" s="440">
        <f>I441*(1+Input_Inflation!Y$18)</f>
        <v>552.50497468662172</v>
      </c>
    </row>
    <row r="442" spans="2:10" ht="13.8" thickBot="1" x14ac:dyDescent="0.55000000000000004">
      <c r="D442" s="231" t="str">
        <f>'[12]Fee Based Services'!B21</f>
        <v>Exchange or replace meter - standard</v>
      </c>
      <c r="E442" s="438" t="str">
        <f t="shared" si="6"/>
        <v>$/request</v>
      </c>
      <c r="F442" s="440">
        <f>'[12]Fee Based Services'!J21</f>
        <v>411.96867971921847</v>
      </c>
      <c r="G442" s="440">
        <f>F442*(1+Input_Inflation!V$18)</f>
        <v>421.95840383073056</v>
      </c>
      <c r="H442" s="440">
        <f>G442*(1+Input_Inflation!W$18)</f>
        <v>432.19036623058082</v>
      </c>
      <c r="I442" s="440">
        <f>H442*(1+Input_Inflation!X$18)</f>
        <v>442.67044089363407</v>
      </c>
      <c r="J442" s="440">
        <f>I442*(1+Input_Inflation!Y$18)</f>
        <v>453.40464423128293</v>
      </c>
    </row>
    <row r="443" spans="2:10" ht="13.8" thickBot="1" x14ac:dyDescent="0.55000000000000004">
      <c r="D443" s="231" t="str">
        <f>'[12]Fee Based Services'!B23</f>
        <v>Relocation of meter</v>
      </c>
      <c r="E443" s="438" t="str">
        <f t="shared" si="6"/>
        <v>$/request</v>
      </c>
      <c r="F443" s="440">
        <f>'[12]Fee Based Services'!J23</f>
        <v>249.14213113161546</v>
      </c>
      <c r="G443" s="440">
        <f>F443*(1+Input_Inflation!V$18)</f>
        <v>255.18351553068024</v>
      </c>
      <c r="H443" s="440">
        <f>G443*(1+Input_Inflation!W$18)</f>
        <v>261.37139592900252</v>
      </c>
      <c r="I443" s="440">
        <f>H443*(1+Input_Inflation!X$18)</f>
        <v>267.70932467094258</v>
      </c>
      <c r="J443" s="440">
        <f>I443*(1+Input_Inflation!Y$18)</f>
        <v>274.20094024075883</v>
      </c>
    </row>
    <row r="444" spans="2:10" ht="13.8" thickBot="1" x14ac:dyDescent="0.55000000000000004">
      <c r="D444" s="231" t="str">
        <f>'[12]Fee Based Services'!B24</f>
        <v>Remove meter – permanent removal of connection point (meter) from meter panel</v>
      </c>
      <c r="E444" s="438" t="str">
        <f t="shared" si="6"/>
        <v>$/request</v>
      </c>
      <c r="F444" s="440">
        <f>'[12]Fee Based Services'!J24</f>
        <v>249.14213113161546</v>
      </c>
      <c r="G444" s="440">
        <f>F444*(1+Input_Inflation!V$18)</f>
        <v>255.18351553068024</v>
      </c>
      <c r="H444" s="440">
        <f>G444*(1+Input_Inflation!W$18)</f>
        <v>261.37139592900252</v>
      </c>
      <c r="I444" s="440">
        <f>H444*(1+Input_Inflation!X$18)</f>
        <v>267.70932467094258</v>
      </c>
      <c r="J444" s="440">
        <f>I444*(1+Input_Inflation!Y$18)</f>
        <v>274.20094024075883</v>
      </c>
    </row>
    <row r="445" spans="2:10" ht="13.8" thickBot="1" x14ac:dyDescent="0.55000000000000004">
      <c r="D445" s="231" t="str">
        <f>'[12]Fee Based Services'!B26</f>
        <v>General meter inspection</v>
      </c>
      <c r="E445" s="438" t="str">
        <f t="shared" si="6"/>
        <v>$/request</v>
      </c>
      <c r="F445" s="440">
        <f>'[12]Fee Based Services'!J26</f>
        <v>112.98219503761645</v>
      </c>
      <c r="G445" s="440">
        <f>F445*(1+Input_Inflation!V$18)</f>
        <v>115.72187165261565</v>
      </c>
      <c r="H445" s="440">
        <f>G445*(1+Input_Inflation!W$18)</f>
        <v>118.5279819915505</v>
      </c>
      <c r="I445" s="440">
        <f>H445*(1+Input_Inflation!X$18)</f>
        <v>121.4021369889568</v>
      </c>
      <c r="J445" s="440">
        <f>I445*(1+Input_Inflation!Y$18)</f>
        <v>124.34598664251359</v>
      </c>
    </row>
    <row r="446" spans="2:10" ht="13.8" thickBot="1" x14ac:dyDescent="0.55000000000000004">
      <c r="D446" s="231" t="str">
        <f>'[12]Fee Based Services'!B27</f>
        <v>Special meter read - no appointment</v>
      </c>
      <c r="E446" s="438" t="str">
        <f t="shared" si="6"/>
        <v>$/request</v>
      </c>
      <c r="F446" s="440">
        <f>'[12]Fee Based Services'!J27</f>
        <v>28.380350882160773</v>
      </c>
      <c r="G446" s="440">
        <f>F446*(1+Input_Inflation!V$18)</f>
        <v>29.068538818423125</v>
      </c>
      <c r="H446" s="440">
        <f>G446*(1+Input_Inflation!W$18)</f>
        <v>29.773414449548149</v>
      </c>
      <c r="I446" s="440">
        <f>H446*(1+Input_Inflation!X$18)</f>
        <v>30.495382431219493</v>
      </c>
      <c r="J446" s="440">
        <f>I446*(1+Input_Inflation!Y$18)</f>
        <v>31.234857231513939</v>
      </c>
    </row>
    <row r="447" spans="2:10" ht="13.8" thickBot="1" x14ac:dyDescent="0.55000000000000004">
      <c r="D447" s="231" t="str">
        <f>'[12]Fee Based Services'!B28</f>
        <v>Special meter read - appointment</v>
      </c>
      <c r="E447" s="438" t="str">
        <f t="shared" si="6"/>
        <v>$/request</v>
      </c>
      <c r="F447" s="440">
        <f>'[12]Fee Based Services'!J28</f>
        <v>60.768634500198246</v>
      </c>
      <c r="G447" s="440">
        <f>F447*(1+Input_Inflation!V$18)</f>
        <v>62.242197717926459</v>
      </c>
      <c r="H447" s="440">
        <f>G447*(1+Input_Inflation!W$18)</f>
        <v>63.751492996684192</v>
      </c>
      <c r="I447" s="440">
        <f>H447*(1+Input_Inflation!X$18)</f>
        <v>65.297386794163955</v>
      </c>
      <c r="J447" s="440">
        <f>I447*(1+Input_Inflation!Y$18)</f>
        <v>66.880766578571283</v>
      </c>
    </row>
    <row r="448" spans="2:10" ht="13.8" thickBot="1" x14ac:dyDescent="0.55000000000000004">
      <c r="D448" s="231" t="str">
        <f>'[12]Fee Based Services'!B29</f>
        <v>Meter program change – no comms</v>
      </c>
      <c r="E448" s="438" t="str">
        <f t="shared" si="6"/>
        <v>$/request</v>
      </c>
      <c r="F448" s="440">
        <f>'[12]Fee Based Services'!J29</f>
        <v>133.9298775136163</v>
      </c>
      <c r="G448" s="440">
        <f>F448*(1+Input_Inflation!V$18)</f>
        <v>137.17750917231791</v>
      </c>
      <c r="H448" s="440">
        <f>G448*(1+Input_Inflation!W$18)</f>
        <v>140.50389182808161</v>
      </c>
      <c r="I448" s="440">
        <f>H448*(1+Input_Inflation!X$18)</f>
        <v>143.9109350938777</v>
      </c>
      <c r="J448" s="440">
        <f>I448*(1+Input_Inflation!Y$18)</f>
        <v>147.40059488839751</v>
      </c>
    </row>
    <row r="449" spans="1:10" ht="13.8" thickBot="1" x14ac:dyDescent="0.55000000000000004">
      <c r="D449" s="231" t="str">
        <f>'[12]Fee Based Services'!B30</f>
        <v>Meter program change – with comms</v>
      </c>
      <c r="E449" s="438" t="str">
        <f t="shared" si="6"/>
        <v>$/request</v>
      </c>
      <c r="F449" s="440">
        <f>'[12]Fee Based Services'!J30</f>
        <v>8.7247097512539327</v>
      </c>
      <c r="G449" s="440">
        <f>F449*(1+Input_Inflation!V$18)</f>
        <v>8.9362730269559805</v>
      </c>
      <c r="H449" s="440">
        <f>G449*(1+Input_Inflation!W$18)</f>
        <v>9.1529664469151886</v>
      </c>
      <c r="I449" s="440">
        <f>H449*(1+Input_Inflation!X$18)</f>
        <v>9.3749144106995441</v>
      </c>
      <c r="J449" s="440">
        <f>I449*(1+Input_Inflation!Y$18)</f>
        <v>9.6022443344106314</v>
      </c>
    </row>
    <row r="451" spans="1:10" ht="15" x14ac:dyDescent="0.5">
      <c r="A451" s="70">
        <f>IF(SUM(D451:H451)&lt;&gt;0,1,0)</f>
        <v>0</v>
      </c>
      <c r="C451" s="270"/>
      <c r="D451" s="270" t="s">
        <v>819</v>
      </c>
      <c r="E451" s="268"/>
      <c r="F451" s="268">
        <f>IF(ROUND(SUM('[12]Fee Based Services'!$J$19:$J$30)-SUM(F440:F449),4)&lt;&gt;0,1,0)</f>
        <v>0</v>
      </c>
      <c r="G451" s="268"/>
      <c r="H451" s="268"/>
      <c r="I451" s="268"/>
    </row>
    <row r="453" spans="1:10" s="139" customFormat="1" x14ac:dyDescent="0.35">
      <c r="B453" s="139" t="s">
        <v>1397</v>
      </c>
    </row>
    <row r="454" spans="1:10" ht="13.2" thickBot="1" x14ac:dyDescent="0.55000000000000004"/>
    <row r="455" spans="1:10" ht="13.5" customHeight="1" thickBot="1" x14ac:dyDescent="0.55000000000000004">
      <c r="D455" s="800" t="s">
        <v>584</v>
      </c>
      <c r="E455" s="788" t="s">
        <v>1206</v>
      </c>
      <c r="F455" s="785" t="s">
        <v>1269</v>
      </c>
      <c r="G455" s="785"/>
      <c r="H455" s="785"/>
      <c r="I455" s="785"/>
      <c r="J455" s="785"/>
    </row>
    <row r="456" spans="1:10" ht="13.2" thickBot="1" x14ac:dyDescent="0.55000000000000004">
      <c r="D456" s="800"/>
      <c r="E456" s="789"/>
      <c r="F456" s="479" t="s">
        <v>236</v>
      </c>
      <c r="G456" s="479" t="s">
        <v>237</v>
      </c>
      <c r="H456" s="479" t="s">
        <v>238</v>
      </c>
      <c r="I456" s="479" t="s">
        <v>239</v>
      </c>
      <c r="J456" s="479" t="s">
        <v>240</v>
      </c>
    </row>
    <row r="457" spans="1:10" ht="13.8" thickBot="1" x14ac:dyDescent="0.55000000000000004">
      <c r="D457" s="251" t="str">
        <f>'[12]Fee Based Services'!B3</f>
        <v>Connections Services</v>
      </c>
      <c r="E457" s="438"/>
      <c r="F457" s="400"/>
      <c r="G457" s="400"/>
      <c r="H457" s="400"/>
      <c r="I457" s="400"/>
      <c r="J457" s="400"/>
    </row>
    <row r="458" spans="1:10" ht="13.8" thickBot="1" x14ac:dyDescent="0.55000000000000004">
      <c r="D458" s="469" t="str">
        <f>'[12]Fee Based Services'!B4</f>
        <v>Disconnection</v>
      </c>
      <c r="E458" s="438" t="s">
        <v>1226</v>
      </c>
      <c r="F458" s="400">
        <f>'[12]Fee Based Services'!J4</f>
        <v>70.022071396109126</v>
      </c>
      <c r="G458" s="440">
        <f>F458*(1+Input_Inflation!V$18)</f>
        <v>71.720018860077701</v>
      </c>
      <c r="H458" s="440">
        <f>G458*(1+Input_Inflation!W$18)</f>
        <v>73.459139421798398</v>
      </c>
      <c r="I458" s="440">
        <f>H458*(1+Input_Inflation!X$18)</f>
        <v>75.240431477284318</v>
      </c>
      <c r="J458" s="440">
        <f>I458*(1+Input_Inflation!Y$18)</f>
        <v>77.06491763240048</v>
      </c>
    </row>
    <row r="459" spans="1:10" ht="13.8" thickBot="1" x14ac:dyDescent="0.55000000000000004">
      <c r="D459" s="469" t="str">
        <f>'[12]Fee Based Services'!B5</f>
        <v>Reconnection</v>
      </c>
      <c r="E459" s="438" t="str">
        <f>$E$458</f>
        <v>$/request</v>
      </c>
      <c r="F459" s="400">
        <f>'[12]Fee Based Services'!J5</f>
        <v>70.022071396109126</v>
      </c>
      <c r="G459" s="440">
        <f>F459*(1+Input_Inflation!V$18)</f>
        <v>71.720018860077701</v>
      </c>
      <c r="H459" s="440">
        <f>G459*(1+Input_Inflation!W$18)</f>
        <v>73.459139421798398</v>
      </c>
      <c r="I459" s="440">
        <f>H459*(1+Input_Inflation!X$18)</f>
        <v>75.240431477284318</v>
      </c>
      <c r="J459" s="440">
        <f>I459*(1+Input_Inflation!Y$18)</f>
        <v>77.06491763240048</v>
      </c>
    </row>
    <row r="460" spans="1:10" ht="13.8" thickBot="1" x14ac:dyDescent="0.55000000000000004">
      <c r="D460" s="469" t="str">
        <f>'[12]Fee Based Services'!B6</f>
        <v xml:space="preserve">Disconnection – with comms (remote charge) </v>
      </c>
      <c r="E460" s="438" t="str">
        <f t="shared" ref="E460:E464" si="7">$E$458</f>
        <v>$/request</v>
      </c>
      <c r="F460" s="400">
        <f>'[12]Fee Based Services'!J6</f>
        <v>8.7247097512539327</v>
      </c>
      <c r="G460" s="440">
        <f>F460*(1+Input_Inflation!V$18)</f>
        <v>8.9362730269559805</v>
      </c>
      <c r="H460" s="440">
        <f>G460*(1+Input_Inflation!W$18)</f>
        <v>9.1529664469151886</v>
      </c>
      <c r="I460" s="440">
        <f>H460*(1+Input_Inflation!X$18)</f>
        <v>9.3749144106995441</v>
      </c>
      <c r="J460" s="440">
        <f>I460*(1+Input_Inflation!Y$18)</f>
        <v>9.6022443344106314</v>
      </c>
    </row>
    <row r="461" spans="1:10" ht="13.8" thickBot="1" x14ac:dyDescent="0.55000000000000004">
      <c r="D461" s="469" t="str">
        <f>'[12]Fee Based Services'!B7</f>
        <v>Reconnection – with comms (remote charge)</v>
      </c>
      <c r="E461" s="438" t="str">
        <f t="shared" si="7"/>
        <v>$/request</v>
      </c>
      <c r="F461" s="400">
        <f>'[12]Fee Based Services'!J7</f>
        <v>8.7247097512539327</v>
      </c>
      <c r="G461" s="440">
        <f>F461*(1+Input_Inflation!V$18)</f>
        <v>8.9362730269559805</v>
      </c>
      <c r="H461" s="440">
        <f>G461*(1+Input_Inflation!W$18)</f>
        <v>9.1529664469151886</v>
      </c>
      <c r="I461" s="440">
        <f>H461*(1+Input_Inflation!X$18)</f>
        <v>9.3749144106995441</v>
      </c>
      <c r="J461" s="440">
        <f>I461*(1+Input_Inflation!Y$18)</f>
        <v>9.6022443344106314</v>
      </c>
    </row>
    <row r="462" spans="1:10" ht="13.8" thickBot="1" x14ac:dyDescent="0.55000000000000004">
      <c r="D462" s="469" t="str">
        <f>'[12]Fee Based Services'!B8</f>
        <v>Remove and reinstate cable</v>
      </c>
      <c r="E462" s="438" t="str">
        <f t="shared" si="7"/>
        <v>$/request</v>
      </c>
      <c r="F462" s="400">
        <f>'[12]Fee Based Services'!J8</f>
        <v>584.30505074761288</v>
      </c>
      <c r="G462" s="440">
        <f>F462*(1+Input_Inflation!V$18)</f>
        <v>598.47371584591599</v>
      </c>
      <c r="H462" s="440">
        <f>G462*(1+Input_Inflation!W$18)</f>
        <v>612.98595331349952</v>
      </c>
      <c r="I462" s="440">
        <f>H462*(1+Input_Inflation!X$18)</f>
        <v>627.85009434967651</v>
      </c>
      <c r="J462" s="440">
        <f>I462*(1+Input_Inflation!Y$18)</f>
        <v>643.07467217490068</v>
      </c>
    </row>
    <row r="463" spans="1:10" ht="13.8" thickBot="1" x14ac:dyDescent="0.55000000000000004">
      <c r="D463" s="469" t="str">
        <f>'[12]Fee Based Services'!B9</f>
        <v>Provision of 3 phase service</v>
      </c>
      <c r="E463" s="438" t="str">
        <f t="shared" si="7"/>
        <v>$/request</v>
      </c>
      <c r="F463" s="400">
        <f>'[12]Fee Based Services'!J9</f>
        <v>1107.9971126476089</v>
      </c>
      <c r="G463" s="440">
        <f>F463*(1+Input_Inflation!V$18)</f>
        <v>1134.8646538384719</v>
      </c>
      <c r="H463" s="440">
        <f>G463*(1+Input_Inflation!W$18)</f>
        <v>1162.3836992267763</v>
      </c>
      <c r="I463" s="440">
        <f>H463*(1+Input_Inflation!X$18)</f>
        <v>1190.5700469726985</v>
      </c>
      <c r="J463" s="440">
        <f>I463*(1+Input_Inflation!Y$18)</f>
        <v>1219.4398783219976</v>
      </c>
    </row>
    <row r="464" spans="1:10" ht="13.8" thickBot="1" x14ac:dyDescent="0.55000000000000004">
      <c r="D464" s="469" t="str">
        <f>'[12]Fee Based Services'!B10</f>
        <v>Standard temporary builder’s connection</v>
      </c>
      <c r="E464" s="438" t="str">
        <f t="shared" si="7"/>
        <v>$/request</v>
      </c>
      <c r="F464" s="400">
        <f>'[12]Fee Based Services'!J10</f>
        <v>526.95107832151302</v>
      </c>
      <c r="G464" s="440">
        <f>F464*(1+Input_Inflation!V$18)</f>
        <v>539.72898147736339</v>
      </c>
      <c r="H464" s="440">
        <f>G464*(1+Input_Inflation!W$18)</f>
        <v>552.81673276860488</v>
      </c>
      <c r="I464" s="440">
        <f>H464*(1+Input_Inflation!X$18)</f>
        <v>566.22184562414952</v>
      </c>
      <c r="J464" s="440">
        <f>I464*(1+Input_Inflation!Y$18)</f>
        <v>579.95201566414289</v>
      </c>
    </row>
    <row r="465" spans="1:10" ht="13.8" thickBot="1" x14ac:dyDescent="0.55000000000000004">
      <c r="D465" s="251" t="str">
        <f>'[12]Fee Based Services'!B11</f>
        <v>De-energisation / Re-energisation</v>
      </c>
      <c r="E465" s="438"/>
      <c r="F465" s="400"/>
      <c r="G465" s="440"/>
      <c r="H465" s="440"/>
      <c r="I465" s="440"/>
      <c r="J465" s="440"/>
    </row>
    <row r="466" spans="1:10" ht="13.8" thickBot="1" x14ac:dyDescent="0.55000000000000004">
      <c r="D466" s="469" t="str">
        <f>'[12]Fee Based Services'!B12</f>
        <v>Temporary disconnection and reconnection</v>
      </c>
      <c r="E466" s="438" t="str">
        <f t="shared" ref="E466:E467" si="8">$E$458</f>
        <v>$/request</v>
      </c>
      <c r="F466" s="400">
        <f>'[12]Fee Based Services'!J12</f>
        <v>228.19444865561556</v>
      </c>
      <c r="G466" s="440">
        <f>F466*(1+Input_Inflation!V$18)</f>
        <v>233.72787801097795</v>
      </c>
      <c r="H466" s="440">
        <f>G466*(1+Input_Inflation!W$18)</f>
        <v>239.39548609247137</v>
      </c>
      <c r="I466" s="440">
        <f>H466*(1+Input_Inflation!X$18)</f>
        <v>245.20052656602161</v>
      </c>
      <c r="J466" s="440">
        <f>I466*(1+Input_Inflation!Y$18)</f>
        <v>251.14633199487488</v>
      </c>
    </row>
    <row r="467" spans="1:10" ht="13.8" thickBot="1" x14ac:dyDescent="0.55000000000000004">
      <c r="D467" s="469" t="str">
        <f>'[12]Fee Based Services'!B13</f>
        <v>Disconnection - physical disconnection of the service mains at the connection to the network (Pillar Box, Pit or Pole Top) due to action or inaction of the network user or their agent</v>
      </c>
      <c r="E467" s="438" t="str">
        <f t="shared" si="8"/>
        <v>$/request</v>
      </c>
      <c r="F467" s="400">
        <f>'[12]Fee Based Services'!J13</f>
        <v>249.14213113161546</v>
      </c>
      <c r="G467" s="440">
        <f>F467*(1+Input_Inflation!V$18)</f>
        <v>255.18351553068024</v>
      </c>
      <c r="H467" s="440">
        <f>G467*(1+Input_Inflation!W$18)</f>
        <v>261.37139592900252</v>
      </c>
      <c r="I467" s="440">
        <f>H467*(1+Input_Inflation!X$18)</f>
        <v>267.70932467094258</v>
      </c>
      <c r="J467" s="440">
        <f>I467*(1+Input_Inflation!Y$18)</f>
        <v>274.20094024075883</v>
      </c>
    </row>
    <row r="468" spans="1:10" ht="13.8" thickBot="1" x14ac:dyDescent="0.55000000000000004">
      <c r="D468" s="251" t="str">
        <f>'[12]Fee Based Services'!B14</f>
        <v>Other</v>
      </c>
      <c r="E468" s="438"/>
      <c r="F468" s="400"/>
      <c r="G468" s="440"/>
      <c r="H468" s="440"/>
      <c r="I468" s="440"/>
      <c r="J468" s="440"/>
    </row>
    <row r="469" spans="1:10" ht="13.8" thickBot="1" x14ac:dyDescent="0.55000000000000004">
      <c r="D469" s="469" t="str">
        <f>'[12]Fee Based Services'!B15</f>
        <v>After hours attendance charge</v>
      </c>
      <c r="E469" s="438" t="str">
        <f t="shared" ref="E469:E470" si="9">$E$458</f>
        <v>$/request</v>
      </c>
      <c r="F469" s="400">
        <f>'[12]Fee Based Services'!J15</f>
        <v>563.35736827161304</v>
      </c>
      <c r="G469" s="440">
        <f>F469*(1+Input_Inflation!V$18)</f>
        <v>577.01807832621375</v>
      </c>
      <c r="H469" s="440">
        <f>G469*(1+Input_Inflation!W$18)</f>
        <v>591.01004347696846</v>
      </c>
      <c r="I469" s="440">
        <f>H469*(1+Input_Inflation!X$18)</f>
        <v>605.34129624475565</v>
      </c>
      <c r="J469" s="440">
        <f>I469*(1+Input_Inflation!Y$18)</f>
        <v>620.02006392901683</v>
      </c>
    </row>
    <row r="470" spans="1:10" ht="13.8" thickBot="1" x14ac:dyDescent="0.55000000000000004">
      <c r="D470" s="469" t="str">
        <f>'[12]Fee Based Services'!B16</f>
        <v xml:space="preserve">Wasted visit fee. 
</v>
      </c>
      <c r="E470" s="438" t="str">
        <f t="shared" si="9"/>
        <v>$/request</v>
      </c>
      <c r="F470" s="400">
        <f>'[12]Fee Based Services'!J16</f>
        <v>123.45603627561638</v>
      </c>
      <c r="G470" s="440">
        <f>F470*(1+Input_Inflation!V$18)</f>
        <v>126.44969041246678</v>
      </c>
      <c r="H470" s="440">
        <f>G470*(1+Input_Inflation!W$18)</f>
        <v>129.51593690981605</v>
      </c>
      <c r="I470" s="440">
        <f>H470*(1+Input_Inflation!X$18)</f>
        <v>132.65653604141724</v>
      </c>
      <c r="J470" s="440">
        <f>I470*(1+Input_Inflation!Y$18)</f>
        <v>135.87329076545555</v>
      </c>
    </row>
    <row r="471" spans="1:10" ht="13.8" thickBot="1" x14ac:dyDescent="0.55000000000000004">
      <c r="D471" s="251" t="str">
        <f>'[12]Fee Based Services'!B31</f>
        <v>Non Standard Data Services</v>
      </c>
      <c r="E471" s="438"/>
      <c r="F471" s="400"/>
      <c r="G471" s="440"/>
      <c r="H471" s="440"/>
      <c r="I471" s="440"/>
      <c r="J471" s="440"/>
    </row>
    <row r="472" spans="1:10" ht="13.8" thickBot="1" x14ac:dyDescent="0.55000000000000004">
      <c r="D472" s="469" t="str">
        <f>'[12]Fee Based Services'!B32</f>
        <v>Historical data requests</v>
      </c>
      <c r="E472" s="438" t="str">
        <f t="shared" ref="E472:E475" si="10">$E$458</f>
        <v>$/request</v>
      </c>
      <c r="F472" s="400">
        <f>'[12]Fee Based Services'!J32</f>
        <v>157.10761856999878</v>
      </c>
      <c r="G472" s="440">
        <f>F472*(1+Input_Inflation!V$18)</f>
        <v>160.91728139776677</v>
      </c>
      <c r="H472" s="440">
        <f>G472*(1+Input_Inflation!W$18)</f>
        <v>164.819323773983</v>
      </c>
      <c r="I472" s="440">
        <f>H472*(1+Input_Inflation!X$18)</f>
        <v>168.81598578690657</v>
      </c>
      <c r="J472" s="440">
        <f>I472*(1+Input_Inflation!Y$18)</f>
        <v>172.90956184412903</v>
      </c>
    </row>
    <row r="473" spans="1:10" ht="13.8" thickBot="1" x14ac:dyDescent="0.55000000000000004">
      <c r="D473" s="469" t="str">
        <f>'[12]Fee Based Services'!B33</f>
        <v>Standing data requests</v>
      </c>
      <c r="E473" s="438" t="str">
        <f t="shared" si="10"/>
        <v>$/request</v>
      </c>
      <c r="F473" s="400">
        <f>'[12]Fee Based Services'!J33</f>
        <v>34.40392113169861</v>
      </c>
      <c r="G473" s="440">
        <f>F473*(1+Input_Inflation!V$18)</f>
        <v>35.2381730964211</v>
      </c>
      <c r="H473" s="440">
        <f>G473*(1+Input_Inflation!W$18)</f>
        <v>36.092654625616177</v>
      </c>
      <c r="I473" s="440">
        <f>H473*(1+Input_Inflation!X$18)</f>
        <v>36.967856260866064</v>
      </c>
      <c r="J473" s="440">
        <f>I473*(1+Input_Inflation!Y$18)</f>
        <v>37.864280438771495</v>
      </c>
    </row>
    <row r="474" spans="1:10" ht="13.8" thickBot="1" x14ac:dyDescent="0.55000000000000004">
      <c r="D474" s="469" t="str">
        <f>'[12]Fee Based Services'!B34</f>
        <v>Customer transfers</v>
      </c>
      <c r="E474" s="438" t="str">
        <f t="shared" si="10"/>
        <v>$/request</v>
      </c>
      <c r="F474" s="400">
        <f>'[12]Fee Based Services'!J34</f>
        <v>137.61568452679447</v>
      </c>
      <c r="G474" s="440">
        <f>F474*(1+Input_Inflation!V$18)</f>
        <v>140.95269238568443</v>
      </c>
      <c r="H474" s="440">
        <f>G474*(1+Input_Inflation!W$18)</f>
        <v>144.37061850246474</v>
      </c>
      <c r="I474" s="440">
        <f>H474*(1+Input_Inflation!X$18)</f>
        <v>147.87142504346428</v>
      </c>
      <c r="J474" s="440">
        <f>I474*(1+Input_Inflation!Y$18)</f>
        <v>151.45712175508601</v>
      </c>
    </row>
    <row r="475" spans="1:10" ht="13.8" thickBot="1" x14ac:dyDescent="0.55000000000000004">
      <c r="D475" s="469" t="str">
        <f>'[12]Fee Based Services'!B35</f>
        <v>Network tariff change request</v>
      </c>
      <c r="E475" s="438" t="str">
        <f t="shared" si="10"/>
        <v>$/request</v>
      </c>
      <c r="F475" s="400">
        <f>'[12]Fee Based Services'!J35</f>
        <v>34.40392113169861</v>
      </c>
      <c r="G475" s="440">
        <f>F475*(1+Input_Inflation!V$18)</f>
        <v>35.2381730964211</v>
      </c>
      <c r="H475" s="440">
        <f>G475*(1+Input_Inflation!W$18)</f>
        <v>36.092654625616177</v>
      </c>
      <c r="I475" s="440">
        <f>H475*(1+Input_Inflation!X$18)</f>
        <v>36.967856260866064</v>
      </c>
      <c r="J475" s="440">
        <f>I475*(1+Input_Inflation!Y$18)</f>
        <v>37.864280438771495</v>
      </c>
    </row>
    <row r="476" spans="1:10" ht="13.8" thickBot="1" x14ac:dyDescent="0.55000000000000004">
      <c r="D476" s="251" t="str">
        <f>'[12]Fee Based Services'!B37</f>
        <v>Miscellaneous services</v>
      </c>
      <c r="E476" s="438"/>
      <c r="F476" s="400"/>
      <c r="G476" s="440"/>
      <c r="H476" s="440"/>
      <c r="I476" s="440"/>
      <c r="J476" s="440"/>
    </row>
    <row r="477" spans="1:10" ht="13.8" thickBot="1" x14ac:dyDescent="0.55000000000000004">
      <c r="D477" s="469" t="str">
        <f>'[12]Fee Based Services'!B38</f>
        <v xml:space="preserve">Installation of Minor Apparatus </v>
      </c>
      <c r="E477" s="438" t="str">
        <f>$E$458</f>
        <v>$/request</v>
      </c>
      <c r="F477" s="400">
        <f>'[12]Fee Based Services'!J38</f>
        <v>76.323750704616728</v>
      </c>
      <c r="G477" s="440">
        <f>F477*(1+Input_Inflation!V$18)</f>
        <v>78.174505993136734</v>
      </c>
      <c r="H477" s="440">
        <f>G477*(1+Input_Inflation!W$18)</f>
        <v>80.070139777621137</v>
      </c>
      <c r="I477" s="440">
        <f>H477*(1+Input_Inflation!X$18)</f>
        <v>82.011740305345256</v>
      </c>
      <c r="J477" s="440">
        <f>I477*(1+Input_Inflation!Y$18)</f>
        <v>84.000422212216819</v>
      </c>
    </row>
    <row r="479" spans="1:10" ht="15" x14ac:dyDescent="0.5">
      <c r="A479" s="70">
        <f>IF(SUM(D479:H479)&lt;&gt;0,1,0)</f>
        <v>0</v>
      </c>
      <c r="C479" s="270"/>
      <c r="D479" s="270" t="s">
        <v>819</v>
      </c>
      <c r="E479" s="268"/>
      <c r="F479" s="268">
        <f>IF(ROUND(SUM('[12]Fee Based Services'!$J$4:$J$16,'[12]Fee Based Services'!$J$32:$J$38)-SUM(F458:F477),4)&lt;&gt;0,1,0)</f>
        <v>0</v>
      </c>
      <c r="G479" s="268"/>
      <c r="H479" s="268"/>
      <c r="I479" s="268"/>
    </row>
    <row r="481" spans="2:12" s="139" customFormat="1" x14ac:dyDescent="0.35">
      <c r="B481" s="139" t="s">
        <v>1398</v>
      </c>
    </row>
    <row r="482" spans="2:12" ht="13.2" thickBot="1" x14ac:dyDescent="0.55000000000000004"/>
    <row r="483" spans="2:12" ht="13.5" customHeight="1" thickBot="1" x14ac:dyDescent="0.55000000000000004">
      <c r="D483" s="800" t="s">
        <v>584</v>
      </c>
      <c r="E483" s="788" t="s">
        <v>437</v>
      </c>
      <c r="F483" s="788" t="s">
        <v>1206</v>
      </c>
      <c r="G483" s="785" t="s">
        <v>1269</v>
      </c>
      <c r="H483" s="785"/>
      <c r="I483" s="785"/>
      <c r="J483" s="785"/>
      <c r="K483" s="785"/>
    </row>
    <row r="484" spans="2:12" ht="13.2" thickBot="1" x14ac:dyDescent="0.55000000000000004">
      <c r="D484" s="800"/>
      <c r="E484" s="789"/>
      <c r="F484" s="789"/>
      <c r="G484" s="479" t="s">
        <v>236</v>
      </c>
      <c r="H484" s="479" t="s">
        <v>237</v>
      </c>
      <c r="I484" s="479" t="s">
        <v>238</v>
      </c>
      <c r="J484" s="479" t="s">
        <v>239</v>
      </c>
      <c r="K484" s="479" t="s">
        <v>240</v>
      </c>
    </row>
    <row r="485" spans="2:12" ht="13.8" thickBot="1" x14ac:dyDescent="0.55000000000000004">
      <c r="D485" s="231" t="str">
        <f>'[12]Quoted Services'!B12</f>
        <v>Design related services</v>
      </c>
      <c r="E485" s="649" t="str">
        <f>'[12]Quoted Services'!R12</f>
        <v>Includes the provision of design information, certification, and rechecking technically complex or environmentally sensitive information. - Business Hours</v>
      </c>
      <c r="F485" s="438" t="s">
        <v>1214</v>
      </c>
      <c r="G485" s="400">
        <f>'[12]Quoted Services'!$J12</f>
        <v>136.94662386704937</v>
      </c>
      <c r="H485" s="440">
        <f>G485*(1+Input_Inflation!V$18)</f>
        <v>140.26740784355761</v>
      </c>
      <c r="I485" s="440">
        <f>H485*(1+Input_Inflation!W$18)</f>
        <v>143.66871666914383</v>
      </c>
      <c r="J485" s="440">
        <f>I485*(1+Input_Inflation!X$18)</f>
        <v>147.15250297046637</v>
      </c>
      <c r="K485" s="440">
        <f>J485*(1+Input_Inflation!Y$18)</f>
        <v>150.72076672293252</v>
      </c>
    </row>
    <row r="486" spans="2:12" ht="13.8" thickBot="1" x14ac:dyDescent="0.55000000000000004">
      <c r="D486" s="231" t="str">
        <f>'[12]Quoted Services'!B13</f>
        <v>Connection applications</v>
      </c>
      <c r="E486" s="649" t="str">
        <f>'[12]Quoted Services'!R13</f>
        <v>Includes assessing connection applications, undertaking planning studies and associated technical analysis. - Business Hours</v>
      </c>
      <c r="F486" s="438" t="s">
        <v>1214</v>
      </c>
      <c r="G486" s="400">
        <f>'[12]Quoted Services'!$J13</f>
        <v>136.94662386704937</v>
      </c>
      <c r="H486" s="440">
        <f>G486*(1+Input_Inflation!V$18)</f>
        <v>140.26740784355761</v>
      </c>
      <c r="I486" s="440">
        <f>H486*(1+Input_Inflation!W$18)</f>
        <v>143.66871666914383</v>
      </c>
      <c r="J486" s="440">
        <f>I486*(1+Input_Inflation!X$18)</f>
        <v>147.15250297046637</v>
      </c>
      <c r="K486" s="440">
        <f>J486*(1+Input_Inflation!Y$18)</f>
        <v>150.72076672293252</v>
      </c>
    </row>
    <row r="487" spans="2:12" ht="13.8" thickBot="1" x14ac:dyDescent="0.55000000000000004">
      <c r="D487" s="231" t="str">
        <f>'[12]Quoted Services'!B14</f>
        <v>Access permits, oversights and facilitation</v>
      </c>
      <c r="E487" s="649" t="str">
        <f>'[12]Quoted Services'!R14</f>
        <v>Includes issuing access permits or clearances to work for an authorised person on or near distribution systems (LV and HV), confined spaces and switch rooms, substations and the like. - Business Hours</v>
      </c>
      <c r="F487" s="438" t="s">
        <v>1214</v>
      </c>
      <c r="G487" s="400">
        <f>'[12]Quoted Services'!$J14</f>
        <v>136.94662386704937</v>
      </c>
      <c r="H487" s="440">
        <f>G487*(1+Input_Inflation!V$18)</f>
        <v>140.26740784355761</v>
      </c>
      <c r="I487" s="440">
        <f>H487*(1+Input_Inflation!W$18)</f>
        <v>143.66871666914383</v>
      </c>
      <c r="J487" s="440">
        <f>I487*(1+Input_Inflation!X$18)</f>
        <v>147.15250297046637</v>
      </c>
      <c r="K487" s="440">
        <f>J487*(1+Input_Inflation!Y$18)</f>
        <v>150.72076672293252</v>
      </c>
    </row>
    <row r="488" spans="2:12" ht="13.8" thickBot="1" x14ac:dyDescent="0.55000000000000004">
      <c r="D488" s="231" t="str">
        <f>'[12]Quoted Services'!B15</f>
        <v>Notices of arrangement and completion notices</v>
      </c>
      <c r="E488" s="649" t="str">
        <f>'[12]Quoted Services'!R15</f>
        <v>Includes the requirement to perform administrative work required by a local council to provide written evidence that arrangements required to supply electricity to a development are in place. A completion notice may also be required when a customer/developer requires documentation confirming progress of work. - Business Hours</v>
      </c>
      <c r="F488" s="438" t="s">
        <v>1214</v>
      </c>
      <c r="G488" s="400">
        <f>'[12]Quoted Services'!$J15</f>
        <v>76.723262179519182</v>
      </c>
      <c r="H488" s="440">
        <f>G488*(1+Input_Inflation!V$18)</f>
        <v>78.583705120548061</v>
      </c>
      <c r="I488" s="440">
        <f>H488*(1+Input_Inflation!W$18)</f>
        <v>80.489261470971925</v>
      </c>
      <c r="J488" s="440">
        <f>I488*(1+Input_Inflation!X$18)</f>
        <v>82.441025174422364</v>
      </c>
      <c r="K488" s="440">
        <f>J488*(1+Input_Inflation!Y$18)</f>
        <v>84.440116701292823</v>
      </c>
    </row>
    <row r="489" spans="2:12" ht="13.8" thickBot="1" x14ac:dyDescent="0.55000000000000004">
      <c r="D489" s="231" t="str">
        <f>'[12]Quoted Services'!B16</f>
        <v>Network related property services</v>
      </c>
      <c r="E489" s="649" t="str">
        <f>'[12]Quoted Services'!R16</f>
        <v>Includes the property tenure services related to deeds of agreement, indemnity deeds, leases, easements and other property tenure rights linked to connection or relocation. - Business Hours</v>
      </c>
      <c r="F489" s="438" t="s">
        <v>1214</v>
      </c>
      <c r="G489" s="400">
        <f>'[12]Quoted Services'!$J16</f>
        <v>76.723262179519182</v>
      </c>
      <c r="H489" s="440">
        <f>G489*(1+Input_Inflation!V$18)</f>
        <v>78.583705120548061</v>
      </c>
      <c r="I489" s="440">
        <f>H489*(1+Input_Inflation!W$18)</f>
        <v>80.489261470971925</v>
      </c>
      <c r="J489" s="440">
        <f>I489*(1+Input_Inflation!X$18)</f>
        <v>82.441025174422364</v>
      </c>
      <c r="K489" s="440">
        <f>J489*(1+Input_Inflation!Y$18)</f>
        <v>84.440116701292823</v>
      </c>
    </row>
    <row r="490" spans="2:12" ht="13.8" thickBot="1" x14ac:dyDescent="0.55000000000000004">
      <c r="D490" s="231" t="str">
        <f>'[12]Quoted Services'!B17</f>
        <v>Site establishment services</v>
      </c>
      <c r="E490" s="649" t="str">
        <f>'[12]Quoted Services'!R17</f>
        <v>Includes liaising with AEMO (or NT equivalent) and market participants to establish a NMI in markets systems for new or existing premises where AEMO (or NT equivalent) requires a new NMI and the validation and uploading of network load data. 
Activities include but not limited to:
• Site establishment including liaising with the AEMO (or NT Equivalent ) for market participants to establish NMI’s for market systems;
• Site alteration update and maintenance of NMI and associated data in market systems;
• NMI extinction, processing a customer’s request for permanent disconnection and NMI extinction in market systems; &amp;
Confirming or correcting metering or network billing information due to insufficient or incorrect information. - Business Hours</v>
      </c>
      <c r="F490" s="438" t="s">
        <v>1214</v>
      </c>
      <c r="G490" s="400">
        <f>'[12]Quoted Services'!$J17</f>
        <v>76.723262179519182</v>
      </c>
      <c r="H490" s="440">
        <f>G490*(1+Input_Inflation!V$18)</f>
        <v>78.583705120548061</v>
      </c>
      <c r="I490" s="440">
        <f>H490*(1+Input_Inflation!W$18)</f>
        <v>80.489261470971925</v>
      </c>
      <c r="J490" s="440">
        <f>I490*(1+Input_Inflation!X$18)</f>
        <v>82.441025174422364</v>
      </c>
      <c r="K490" s="440">
        <f>J490*(1+Input_Inflation!Y$18)</f>
        <v>84.440116701292823</v>
      </c>
    </row>
    <row r="491" spans="2:12" ht="13.8" thickBot="1" x14ac:dyDescent="0.55000000000000004">
      <c r="D491" s="231" t="str">
        <f>'[12]Quoted Services'!B18</f>
        <v>Network safety services</v>
      </c>
      <c r="E491" s="649" t="str">
        <f>'[12]Quoted Services'!R18</f>
        <v>Includes the DNSP providing traffic control services, fitting of tiger tails, tree pruning, and high load escorts. - Business Hours</v>
      </c>
      <c r="F491" s="438" t="s">
        <v>1214</v>
      </c>
      <c r="G491" s="400">
        <f>'[12]Quoted Services'!$J18</f>
        <v>116.78716275589433</v>
      </c>
      <c r="H491" s="440">
        <f>G491*(1+Input_Inflation!V$18)</f>
        <v>119.61910506882161</v>
      </c>
      <c r="I491" s="440">
        <f>H491*(1+Input_Inflation!W$18)</f>
        <v>122.51971843321121</v>
      </c>
      <c r="J491" s="440">
        <f>I491*(1+Input_Inflation!X$18)</f>
        <v>125.4906680359871</v>
      </c>
      <c r="K491" s="440">
        <f>J491*(1+Input_Inflation!Y$18)</f>
        <v>128.53365944276899</v>
      </c>
    </row>
    <row r="492" spans="2:12" ht="13.8" thickBot="1" x14ac:dyDescent="0.55000000000000004">
      <c r="D492" s="231" t="str">
        <f>'[12]Quoted Services'!B19</f>
        <v>Network tariff change request</v>
      </c>
      <c r="E492" s="649" t="str">
        <f>'[12]Quoted Services'!R19</f>
        <v>Activities include altering an existing network tariff by conducting load and tariff analysis to ensure the relevant tariff criteria is met.
This change request relates to processing IT system changes to reflect a bulk tariff change request such as a large customer with multiple sites. - Business Hours</v>
      </c>
      <c r="F492" s="438" t="s">
        <v>1214</v>
      </c>
      <c r="G492" s="400">
        <f>'[12]Quoted Services'!$J19</f>
        <v>76.723262179519182</v>
      </c>
      <c r="H492" s="440">
        <f>G492*(1+Input_Inflation!V$18)</f>
        <v>78.583705120548061</v>
      </c>
      <c r="I492" s="440">
        <f>H492*(1+Input_Inflation!W$18)</f>
        <v>80.489261470971925</v>
      </c>
      <c r="J492" s="440">
        <f>I492*(1+Input_Inflation!X$18)</f>
        <v>82.441025174422364</v>
      </c>
      <c r="K492" s="440">
        <f>J492*(1+Input_Inflation!Y$18)</f>
        <v>84.440116701292823</v>
      </c>
    </row>
    <row r="493" spans="2:12" ht="13.8" thickBot="1" x14ac:dyDescent="0.55000000000000004">
      <c r="D493" s="231" t="str">
        <f>'[12]Quoted Services'!B20</f>
        <v>Planned interruption - customer request</v>
      </c>
      <c r="E493" s="649" t="str">
        <f>'[12]Quoted Services'!R20</f>
        <v>At customer or retailer request, a planned interruption is moved outside business hours. - Business Hours</v>
      </c>
      <c r="F493" s="438" t="s">
        <v>1214</v>
      </c>
      <c r="G493" s="400">
        <f>'[12]Quoted Services'!$J20</f>
        <v>116.78716275589433</v>
      </c>
      <c r="H493" s="440">
        <f>G493*(1+Input_Inflation!V$18)</f>
        <v>119.61910506882161</v>
      </c>
      <c r="I493" s="440">
        <f>H493*(1+Input_Inflation!W$18)</f>
        <v>122.51971843321121</v>
      </c>
      <c r="J493" s="440">
        <f>I493*(1+Input_Inflation!X$18)</f>
        <v>125.4906680359871</v>
      </c>
      <c r="K493" s="440">
        <f>J493*(1+Input_Inflation!Y$18)</f>
        <v>128.53365944276899</v>
      </c>
    </row>
    <row r="494" spans="2:12" ht="13.8" thickBot="1" x14ac:dyDescent="0.55000000000000004">
      <c r="D494" s="231" t="str">
        <f>'[12]Quoted Services'!B21</f>
        <v>Performance of a statutory right (access prevented)</v>
      </c>
      <c r="E494" s="649" t="str">
        <f>'[12]Quoted Services'!R21</f>
        <v>Includes a follow up attendance at a customer’s premises to perform a statutory right where access was declined or prevented on the initial visit. This includes any costs of arranging security or police services. - Business Hours</v>
      </c>
      <c r="F494" s="438" t="s">
        <v>1214</v>
      </c>
      <c r="G494" s="400">
        <f>'[12]Quoted Services'!$J21</f>
        <v>116.78716275589433</v>
      </c>
      <c r="H494" s="440">
        <f>G494*(1+Input_Inflation!V$18)</f>
        <v>119.61910506882161</v>
      </c>
      <c r="I494" s="440">
        <f>H494*(1+Input_Inflation!W$18)</f>
        <v>122.51971843321121</v>
      </c>
      <c r="J494" s="440">
        <f>I494*(1+Input_Inflation!X$18)</f>
        <v>125.4906680359871</v>
      </c>
      <c r="K494" s="440">
        <f>J494*(1+Input_Inflation!Y$18)</f>
        <v>128.53365944276899</v>
      </c>
    </row>
    <row r="495" spans="2:12" ht="13.8" thickBot="1" x14ac:dyDescent="0.55000000000000004">
      <c r="D495" s="231" t="str">
        <f>'[12]Quoted Services'!B22</f>
        <v>Provision of network related training to third parties</v>
      </c>
      <c r="E495" s="649" t="str">
        <f>'[12]Quoted Services'!R22</f>
        <v>Includes the training of third parties to a level of attainment required to obtain specific distribution network access authorisation to the DNSP’s network. This may include demonstrating the necessary competency in the DNSP’s electricity safety rules. - Business Hours</v>
      </c>
      <c r="F495" s="438" t="s">
        <v>1214</v>
      </c>
      <c r="G495" s="400">
        <f>'[12]Quoted Services'!$J22</f>
        <v>76.723262179519182</v>
      </c>
      <c r="H495" s="440">
        <f>G495*(1+Input_Inflation!V$18)</f>
        <v>78.583705120548061</v>
      </c>
      <c r="I495" s="440">
        <f>H495*(1+Input_Inflation!W$18)</f>
        <v>80.489261470971925</v>
      </c>
      <c r="J495" s="440">
        <f>I495*(1+Input_Inflation!X$18)</f>
        <v>82.441025174422364</v>
      </c>
      <c r="K495" s="440">
        <f>J495*(1+Input_Inflation!Y$18)</f>
        <v>84.440116701292823</v>
      </c>
    </row>
    <row r="496" spans="2:12" ht="13.8" thickBot="1" x14ac:dyDescent="0.55000000000000004">
      <c r="D496" s="231" t="str">
        <f>'[12]Quoted Services'!B23</f>
        <v>Non-standard reporting services</v>
      </c>
      <c r="E496" s="649" t="str">
        <f>'[12]Quoted Services'!R23</f>
        <v>Includes developing meter data provision reporting such as standard data, billing data or load profiles for single requests with more than 5 NMI’s.
Single data requests with 5 NMI’s or less, will be charged the ACS Fee Based charge (Historical Data Request or Standing Data Request) per request.  - Business Hours</v>
      </c>
      <c r="F496" s="438" t="s">
        <v>1214</v>
      </c>
      <c r="G496" s="400">
        <f>'[12]Quoted Services'!$J23</f>
        <v>76.723262179519182</v>
      </c>
      <c r="H496" s="440">
        <f>G496*(1+Input_Inflation!V$18)</f>
        <v>78.583705120548061</v>
      </c>
      <c r="I496" s="440">
        <f>H496*(1+Input_Inflation!W$18)</f>
        <v>80.489261470971925</v>
      </c>
      <c r="J496" s="440">
        <f>I496*(1+Input_Inflation!X$18)</f>
        <v>82.441025174422364</v>
      </c>
      <c r="K496" s="440">
        <f>J496*(1+Input_Inflation!Y$18)</f>
        <v>84.440116701292823</v>
      </c>
      <c r="L496" s="204"/>
    </row>
    <row r="497" spans="1:11" ht="13.8" thickBot="1" x14ac:dyDescent="0.55000000000000004">
      <c r="D497" s="231" t="str">
        <f>'[12]Quoted Services'!B24</f>
        <v xml:space="preserve">Services provided for retailer of last resort event </v>
      </c>
      <c r="E497" s="649" t="str">
        <f>'[12]Quoted Services'!R24</f>
        <v>DNSP may be required to provide a number of services when an ROLR event occurs. This includes preparing a list of affected sites, estimating reads for the ROLR event date, preparing final invoices and extracting customer data. - Business Hours</v>
      </c>
      <c r="F497" s="438" t="s">
        <v>1214</v>
      </c>
      <c r="G497" s="400">
        <f>'[12]Quoted Services'!$J24</f>
        <v>76.723262179519182</v>
      </c>
      <c r="H497" s="440">
        <f>G497*(1+Input_Inflation!V$18)</f>
        <v>78.583705120548061</v>
      </c>
      <c r="I497" s="440">
        <f>H497*(1+Input_Inflation!W$18)</f>
        <v>80.489261470971925</v>
      </c>
      <c r="J497" s="440">
        <f>I497*(1+Input_Inflation!X$18)</f>
        <v>82.441025174422364</v>
      </c>
      <c r="K497" s="440">
        <f>J497*(1+Input_Inflation!Y$18)</f>
        <v>84.440116701292823</v>
      </c>
    </row>
    <row r="498" spans="1:11" ht="13.8" thickBot="1" x14ac:dyDescent="0.55000000000000004">
      <c r="D498" s="231" t="str">
        <f>'[12]Quoted Services'!B25</f>
        <v>Rectification of illegal connections service</v>
      </c>
      <c r="E498" s="649" t="str">
        <f>'[12]Quoted Services'!R25</f>
        <v>Includes work undertaken by the DNSP to investigate and rectify the fraudulent acquisition of energy at a premises; or intentional consumption of energy at those premises otherwise than in accordance with the energy laws</v>
      </c>
      <c r="F498" s="438" t="s">
        <v>1214</v>
      </c>
      <c r="G498" s="400">
        <f>'[12]Quoted Services'!$J25</f>
        <v>116.78716275589434</v>
      </c>
      <c r="H498" s="440">
        <f>G498*(1+Input_Inflation!V$18)</f>
        <v>119.61910506882163</v>
      </c>
      <c r="I498" s="440">
        <f>H498*(1+Input_Inflation!W$18)</f>
        <v>122.51971843321122</v>
      </c>
      <c r="J498" s="440">
        <f>I498*(1+Input_Inflation!X$18)</f>
        <v>125.49066803598711</v>
      </c>
      <c r="K498" s="440">
        <f>J498*(1+Input_Inflation!Y$18)</f>
        <v>128.53365944276899</v>
      </c>
    </row>
    <row r="499" spans="1:11" ht="13.8" thickBot="1" x14ac:dyDescent="0.55000000000000004">
      <c r="D499" s="231" t="str">
        <f>'[12]Quoted Services'!B26</f>
        <v>Rearrangement and connection of network assets at customer request</v>
      </c>
      <c r="E499" s="649" t="str">
        <f>'[12]Quoted Services'!R26</f>
        <v>Includes relocation of assets (such as poles) that involves installing a new asset at customer or retailer request. - Business Hours</v>
      </c>
      <c r="F499" s="438" t="s">
        <v>1214</v>
      </c>
      <c r="G499" s="400">
        <f>'[12]Quoted Services'!$J26</f>
        <v>116.78716275589434</v>
      </c>
      <c r="H499" s="440">
        <f>G499*(1+Input_Inflation!V$18)</f>
        <v>119.61910506882163</v>
      </c>
      <c r="I499" s="440">
        <f>H499*(1+Input_Inflation!W$18)</f>
        <v>122.51971843321122</v>
      </c>
      <c r="J499" s="440">
        <f>I499*(1+Input_Inflation!X$18)</f>
        <v>125.49066803598711</v>
      </c>
      <c r="K499" s="440">
        <f>J499*(1+Input_Inflation!Y$18)</f>
        <v>128.53365944276899</v>
      </c>
    </row>
    <row r="501" spans="1:11" ht="15" x14ac:dyDescent="0.5">
      <c r="A501" s="70">
        <f>IF(SUM(D501:H501)&lt;&gt;0,1,0)</f>
        <v>0</v>
      </c>
      <c r="C501" s="270"/>
      <c r="D501" s="270" t="s">
        <v>819</v>
      </c>
      <c r="E501" s="268"/>
      <c r="F501" s="268"/>
      <c r="G501" s="268">
        <f>IF(ROUND(SUM('[12]Quoted Services'!$J$12:$J$26)-SUM(G485:G499),4)&lt;&gt;0,1,0)</f>
        <v>0</v>
      </c>
      <c r="H501" s="268"/>
      <c r="I501" s="268"/>
    </row>
    <row r="503" spans="1:11" s="139" customFormat="1" x14ac:dyDescent="0.35">
      <c r="B503" s="139" t="s">
        <v>32</v>
      </c>
    </row>
    <row r="504" spans="1:11" x14ac:dyDescent="0.5">
      <c r="B504" s="226" t="s">
        <v>548</v>
      </c>
    </row>
  </sheetData>
  <mergeCells count="58">
    <mergeCell ref="D136:D139"/>
    <mergeCell ref="D202:D203"/>
    <mergeCell ref="E202:G202"/>
    <mergeCell ref="D217:D218"/>
    <mergeCell ref="D251:D252"/>
    <mergeCell ref="E251:F251"/>
    <mergeCell ref="G251:H251"/>
    <mergeCell ref="D32:F32"/>
    <mergeCell ref="D34:F34"/>
    <mergeCell ref="D47:F47"/>
    <mergeCell ref="D51:F51"/>
    <mergeCell ref="D54:F54"/>
    <mergeCell ref="E135:K135"/>
    <mergeCell ref="E136:K136"/>
    <mergeCell ref="E137:K137"/>
    <mergeCell ref="E138:K138"/>
    <mergeCell ref="E139:K139"/>
    <mergeCell ref="G483:K483"/>
    <mergeCell ref="E483:E484"/>
    <mergeCell ref="F483:F484"/>
    <mergeCell ref="D483:D484"/>
    <mergeCell ref="E455:E456"/>
    <mergeCell ref="F455:J455"/>
    <mergeCell ref="D455:D456"/>
    <mergeCell ref="F438:J438"/>
    <mergeCell ref="E438:E439"/>
    <mergeCell ref="D438:D439"/>
    <mergeCell ref="E140:K140"/>
    <mergeCell ref="E141:K141"/>
    <mergeCell ref="I251:J251"/>
    <mergeCell ref="F430:J430"/>
    <mergeCell ref="E430:E431"/>
    <mergeCell ref="D430:D431"/>
    <mergeCell ref="D381:D382"/>
    <mergeCell ref="E410:E411"/>
    <mergeCell ref="F410:F411"/>
    <mergeCell ref="G420:K420"/>
    <mergeCell ref="E397:I397"/>
    <mergeCell ref="E383:I383"/>
    <mergeCell ref="E389:I389"/>
    <mergeCell ref="D413:D414"/>
    <mergeCell ref="D423:D424"/>
    <mergeCell ref="D420:D421"/>
    <mergeCell ref="E420:E421"/>
    <mergeCell ref="F420:F421"/>
    <mergeCell ref="D292:D293"/>
    <mergeCell ref="E292:E293"/>
    <mergeCell ref="E301:E302"/>
    <mergeCell ref="D410:D411"/>
    <mergeCell ref="E402:I402"/>
    <mergeCell ref="E381:I381"/>
    <mergeCell ref="E394:I394"/>
    <mergeCell ref="G410:K410"/>
    <mergeCell ref="D261:J261"/>
    <mergeCell ref="I253:I258"/>
    <mergeCell ref="J253:J258"/>
    <mergeCell ref="I259:I260"/>
    <mergeCell ref="J259:J260"/>
  </mergeCells>
  <conditionalFormatting sqref="B2">
    <cfRule type="cellIs" dxfId="8" priority="1" operator="notEqual">
      <formula>"No Errors Found"</formula>
    </cfRule>
  </conditionalFormatting>
  <hyperlinks>
    <hyperlink ref="B3:D3" location="Cover!A1" display="Go to Cover Sheet" xr:uid="{00000000-0004-0000-2900-000000000000}"/>
    <hyperlink ref="D48" location="_ftn1" display="_ftn1" xr:uid="{00000000-0004-0000-2900-000001000000}"/>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179"/>
  <sheetViews>
    <sheetView showGridLines="0" workbookViewId="0">
      <pane xSplit="1" ySplit="4" topLeftCell="B5" activePane="bottomRight" state="frozen"/>
      <selection activeCell="B45" sqref="B45"/>
      <selection pane="topRight" activeCell="B45" sqref="B45"/>
      <selection pane="bottomLeft" activeCell="B45" sqref="B45"/>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5" ht="20.399999999999999" x14ac:dyDescent="0.5">
      <c r="A1" s="65">
        <f>IF(SUM($A6:$A178)&gt;0,1,0)</f>
        <v>0</v>
      </c>
      <c r="B1" s="136" t="s">
        <v>1229</v>
      </c>
    </row>
    <row r="2" spans="1:5" s="104" customFormat="1" ht="10.199999999999999" x14ac:dyDescent="0.35">
      <c r="B2" s="105" t="str">
        <f>Title_Msg</f>
        <v>No Errors Found</v>
      </c>
    </row>
    <row r="3" spans="1:5" s="104" customFormat="1" ht="12.3" x14ac:dyDescent="0.35">
      <c r="B3" s="106" t="s">
        <v>51</v>
      </c>
      <c r="C3" s="106"/>
      <c r="D3" s="106"/>
      <c r="E3" s="107"/>
    </row>
    <row r="4" spans="1:5" s="104" customFormat="1" ht="12.3" x14ac:dyDescent="0.35">
      <c r="B4" s="108" t="str">
        <f>Model_Name</f>
        <v>Power and Water Corporation (PWC) - Regulatory Proposal Tables and Charts</v>
      </c>
    </row>
    <row r="6" spans="1:5" s="139" customFormat="1" x14ac:dyDescent="0.35">
      <c r="B6" s="139" t="s">
        <v>1409</v>
      </c>
    </row>
    <row r="24" spans="2:2" s="139" customFormat="1" x14ac:dyDescent="0.35">
      <c r="B24" s="139" t="s">
        <v>1410</v>
      </c>
    </row>
    <row r="41" spans="2:2" s="139" customFormat="1" x14ac:dyDescent="0.35">
      <c r="B41" s="139" t="s">
        <v>1411</v>
      </c>
    </row>
    <row r="50" spans="2:2" s="139" customFormat="1" x14ac:dyDescent="0.35">
      <c r="B50" s="139" t="s">
        <v>1412</v>
      </c>
    </row>
    <row r="63" spans="2:2" s="139" customFormat="1" x14ac:dyDescent="0.35">
      <c r="B63" s="139" t="s">
        <v>1413</v>
      </c>
    </row>
    <row r="64" spans="2:2" ht="13.2" thickBot="1" x14ac:dyDescent="0.55000000000000004"/>
    <row r="65" spans="2:11" ht="39.75" customHeight="1" thickBot="1" x14ac:dyDescent="0.55000000000000004">
      <c r="D65" s="308" t="s">
        <v>1170</v>
      </c>
      <c r="E65" s="790" t="s">
        <v>1753</v>
      </c>
      <c r="F65" s="790"/>
      <c r="G65" s="790"/>
      <c r="H65" s="790"/>
      <c r="I65" s="790"/>
      <c r="J65" s="790"/>
      <c r="K65" s="790"/>
    </row>
    <row r="66" spans="2:11" ht="27" customHeight="1" thickBot="1" x14ac:dyDescent="0.55000000000000004">
      <c r="D66" s="802" t="s">
        <v>1172</v>
      </c>
      <c r="E66" s="792" t="s">
        <v>1704</v>
      </c>
      <c r="F66" s="793"/>
      <c r="G66" s="793"/>
      <c r="H66" s="793"/>
      <c r="I66" s="793"/>
      <c r="J66" s="793"/>
      <c r="K66" s="794"/>
    </row>
    <row r="67" spans="2:11" ht="26.25" customHeight="1" thickBot="1" x14ac:dyDescent="0.55000000000000004">
      <c r="D67" s="803"/>
      <c r="E67" s="792" t="s">
        <v>1705</v>
      </c>
      <c r="F67" s="793"/>
      <c r="G67" s="793"/>
      <c r="H67" s="793"/>
      <c r="I67" s="793"/>
      <c r="J67" s="793"/>
      <c r="K67" s="794"/>
    </row>
    <row r="68" spans="2:11" ht="13.5" customHeight="1" thickBot="1" x14ac:dyDescent="0.55000000000000004">
      <c r="D68" s="803"/>
      <c r="E68" s="792" t="s">
        <v>1706</v>
      </c>
      <c r="F68" s="793"/>
      <c r="G68" s="793"/>
      <c r="H68" s="793"/>
      <c r="I68" s="793"/>
      <c r="J68" s="793"/>
      <c r="K68" s="794"/>
    </row>
    <row r="69" spans="2:11" ht="45.75" customHeight="1" thickBot="1" x14ac:dyDescent="0.55000000000000004">
      <c r="D69" s="804"/>
      <c r="E69" s="792" t="s">
        <v>1754</v>
      </c>
      <c r="F69" s="793"/>
      <c r="G69" s="793"/>
      <c r="H69" s="793"/>
      <c r="I69" s="793"/>
      <c r="J69" s="793"/>
      <c r="K69" s="794"/>
    </row>
    <row r="70" spans="2:11" ht="13.8" thickBot="1" x14ac:dyDescent="0.55000000000000004">
      <c r="D70" s="476" t="s">
        <v>1173</v>
      </c>
      <c r="E70" s="792" t="s">
        <v>1230</v>
      </c>
      <c r="F70" s="793"/>
      <c r="G70" s="793"/>
      <c r="H70" s="793"/>
      <c r="I70" s="793"/>
      <c r="J70" s="793"/>
      <c r="K70" s="794"/>
    </row>
    <row r="71" spans="2:11" ht="13.8" thickBot="1" x14ac:dyDescent="0.55000000000000004">
      <c r="D71" s="476" t="s">
        <v>1174</v>
      </c>
      <c r="E71" s="795" t="s">
        <v>1498</v>
      </c>
      <c r="F71" s="796"/>
      <c r="G71" s="796"/>
      <c r="H71" s="796"/>
      <c r="I71" s="796"/>
      <c r="J71" s="796"/>
      <c r="K71" s="797"/>
    </row>
    <row r="73" spans="2:11" s="139" customFormat="1" x14ac:dyDescent="0.35">
      <c r="B73" s="139" t="s">
        <v>1499</v>
      </c>
    </row>
    <row r="86" spans="2:10" s="139" customFormat="1" x14ac:dyDescent="0.35">
      <c r="B86" s="139" t="s">
        <v>1500</v>
      </c>
    </row>
    <row r="87" spans="2:10" ht="13.2" thickBot="1" x14ac:dyDescent="0.55000000000000004"/>
    <row r="88" spans="2:10" ht="13.2" thickBot="1" x14ac:dyDescent="0.55000000000000004">
      <c r="D88" s="815" t="s">
        <v>1170</v>
      </c>
      <c r="E88" s="815" t="s">
        <v>1762</v>
      </c>
      <c r="F88" s="815" t="s">
        <v>1763</v>
      </c>
      <c r="G88" s="815"/>
      <c r="H88" s="815"/>
      <c r="I88" s="815"/>
      <c r="J88" s="815"/>
    </row>
    <row r="89" spans="2:10" ht="13.2" thickBot="1" x14ac:dyDescent="0.55000000000000004">
      <c r="D89" s="815"/>
      <c r="E89" s="815"/>
      <c r="F89" s="560" t="s">
        <v>1231</v>
      </c>
      <c r="G89" s="560" t="s">
        <v>1232</v>
      </c>
      <c r="H89" s="560" t="s">
        <v>1233</v>
      </c>
      <c r="I89" s="560" t="s">
        <v>1234</v>
      </c>
      <c r="J89" s="560" t="s">
        <v>1235</v>
      </c>
    </row>
    <row r="90" spans="2:10" ht="13.2" thickBot="1" x14ac:dyDescent="0.55000000000000004">
      <c r="D90" s="815" t="s">
        <v>1236</v>
      </c>
      <c r="E90" s="561" t="s">
        <v>1237</v>
      </c>
      <c r="F90" s="648" t="s">
        <v>1241</v>
      </c>
      <c r="G90" s="561" t="s">
        <v>1238</v>
      </c>
      <c r="H90" s="561" t="s">
        <v>1238</v>
      </c>
      <c r="I90" s="562" t="s">
        <v>1049</v>
      </c>
      <c r="J90" s="562" t="s">
        <v>1049</v>
      </c>
    </row>
    <row r="91" spans="2:10" ht="13.2" thickBot="1" x14ac:dyDescent="0.55000000000000004">
      <c r="D91" s="815"/>
      <c r="E91" s="561" t="s">
        <v>1239</v>
      </c>
      <c r="F91" s="648" t="s">
        <v>1241</v>
      </c>
      <c r="G91" s="561" t="s">
        <v>1238</v>
      </c>
      <c r="H91" s="561" t="s">
        <v>1238</v>
      </c>
      <c r="I91" s="562" t="s">
        <v>1049</v>
      </c>
      <c r="J91" s="562" t="s">
        <v>1049</v>
      </c>
    </row>
    <row r="92" spans="2:10" ht="13.2" thickBot="1" x14ac:dyDescent="0.55000000000000004">
      <c r="D92" s="815"/>
      <c r="E92" s="561" t="s">
        <v>1240</v>
      </c>
      <c r="F92" s="562" t="s">
        <v>1241</v>
      </c>
      <c r="G92" s="561" t="s">
        <v>1238</v>
      </c>
      <c r="H92" s="561" t="s">
        <v>1238</v>
      </c>
      <c r="I92" s="561" t="s">
        <v>1755</v>
      </c>
      <c r="J92" s="562" t="s">
        <v>1756</v>
      </c>
    </row>
    <row r="93" spans="2:10" ht="13.2" thickBot="1" x14ac:dyDescent="0.55000000000000004">
      <c r="D93" s="815"/>
      <c r="E93" s="814" t="s">
        <v>1243</v>
      </c>
      <c r="F93" s="562" t="s">
        <v>1761</v>
      </c>
      <c r="G93" s="562" t="s">
        <v>1049</v>
      </c>
      <c r="H93" s="562" t="s">
        <v>1049</v>
      </c>
      <c r="I93" s="562" t="s">
        <v>1238</v>
      </c>
      <c r="J93" s="562" t="s">
        <v>1049</v>
      </c>
    </row>
    <row r="94" spans="2:10" ht="13.2" thickBot="1" x14ac:dyDescent="0.55000000000000004">
      <c r="D94" s="815"/>
      <c r="E94" s="814"/>
      <c r="F94" s="562" t="s">
        <v>1760</v>
      </c>
      <c r="G94" s="562" t="s">
        <v>1049</v>
      </c>
      <c r="H94" s="562" t="s">
        <v>1049</v>
      </c>
      <c r="I94" s="562" t="s">
        <v>1238</v>
      </c>
      <c r="J94" s="562" t="s">
        <v>1049</v>
      </c>
    </row>
    <row r="95" spans="2:10" ht="13.2" thickBot="1" x14ac:dyDescent="0.55000000000000004">
      <c r="D95" s="815" t="s">
        <v>1244</v>
      </c>
      <c r="E95" s="561" t="s">
        <v>1230</v>
      </c>
      <c r="F95" s="820" t="s">
        <v>1245</v>
      </c>
      <c r="G95" s="561" t="s">
        <v>1238</v>
      </c>
      <c r="H95" s="561" t="s">
        <v>1238</v>
      </c>
      <c r="I95" s="561" t="s">
        <v>1758</v>
      </c>
      <c r="J95" s="647" t="s">
        <v>1242</v>
      </c>
    </row>
    <row r="96" spans="2:10" ht="13.2" thickBot="1" x14ac:dyDescent="0.55000000000000004">
      <c r="D96" s="815"/>
      <c r="E96" s="561" t="s">
        <v>1759</v>
      </c>
      <c r="F96" s="820"/>
      <c r="G96" s="814" t="s">
        <v>1246</v>
      </c>
      <c r="H96" s="814"/>
      <c r="I96" s="814"/>
      <c r="J96" s="561" t="s">
        <v>1242</v>
      </c>
    </row>
    <row r="97" spans="2:10" ht="13.5" customHeight="1" thickBot="1" x14ac:dyDescent="0.55000000000000004">
      <c r="D97" s="815" t="s">
        <v>1174</v>
      </c>
      <c r="E97" s="561" t="s">
        <v>1498</v>
      </c>
      <c r="F97" s="650" t="s">
        <v>1501</v>
      </c>
      <c r="G97" s="561" t="s">
        <v>1238</v>
      </c>
      <c r="H97" s="561" t="s">
        <v>1238</v>
      </c>
      <c r="I97" s="647" t="s">
        <v>1757</v>
      </c>
      <c r="J97" s="648" t="s">
        <v>1756</v>
      </c>
    </row>
    <row r="98" spans="2:10" ht="13.2" thickBot="1" x14ac:dyDescent="0.55000000000000004">
      <c r="D98" s="815"/>
      <c r="E98" s="561" t="s">
        <v>1759</v>
      </c>
      <c r="F98" s="647" t="s">
        <v>1245</v>
      </c>
      <c r="G98" s="814" t="s">
        <v>1246</v>
      </c>
      <c r="H98" s="814"/>
      <c r="I98" s="814"/>
      <c r="J98" s="647" t="s">
        <v>1242</v>
      </c>
    </row>
    <row r="99" spans="2:10" ht="19.5" customHeight="1" thickBot="1" x14ac:dyDescent="0.55000000000000004">
      <c r="D99" s="809" t="s">
        <v>1399</v>
      </c>
      <c r="E99" s="810"/>
      <c r="F99" s="810"/>
      <c r="G99" s="810"/>
      <c r="H99" s="810"/>
      <c r="I99" s="810"/>
      <c r="J99" s="811"/>
    </row>
    <row r="101" spans="2:10" s="139" customFormat="1" x14ac:dyDescent="0.35">
      <c r="B101" s="139" t="s">
        <v>1414</v>
      </c>
    </row>
    <row r="103" spans="2:10" x14ac:dyDescent="0.5">
      <c r="D103" s="137" t="s">
        <v>1247</v>
      </c>
      <c r="E103" s="137" t="s">
        <v>1247</v>
      </c>
    </row>
    <row r="114" spans="2:9" s="139" customFormat="1" x14ac:dyDescent="0.35">
      <c r="B114" s="139" t="s">
        <v>1415</v>
      </c>
    </row>
    <row r="116" spans="2:9" ht="13.2" thickBot="1" x14ac:dyDescent="0.55000000000000004">
      <c r="D116" s="816" t="s">
        <v>1406</v>
      </c>
      <c r="E116" s="817"/>
      <c r="F116" s="817"/>
      <c r="G116" s="817"/>
      <c r="H116" s="817"/>
      <c r="I116" s="817"/>
    </row>
    <row r="117" spans="2:9" ht="54.3" thickBot="1" x14ac:dyDescent="0.55000000000000004">
      <c r="D117" s="564"/>
      <c r="E117" s="565" t="s">
        <v>1403</v>
      </c>
      <c r="F117" s="563" t="s">
        <v>1400</v>
      </c>
      <c r="G117" s="563" t="s">
        <v>1401</v>
      </c>
      <c r="H117" s="563" t="s">
        <v>1402</v>
      </c>
      <c r="I117" s="563" t="s">
        <v>1307</v>
      </c>
    </row>
    <row r="118" spans="2:9" ht="13.8" thickBot="1" x14ac:dyDescent="0.55000000000000004">
      <c r="D118" s="248" t="str">
        <f>'21'!D10</f>
        <v>System Availability Charge</v>
      </c>
      <c r="E118" s="400">
        <f>'21'!E10</f>
        <v>1116.3191025212582</v>
      </c>
      <c r="F118" s="401"/>
      <c r="G118" s="401"/>
      <c r="H118" s="401"/>
      <c r="I118" s="401"/>
    </row>
    <row r="119" spans="2:9" ht="26.1" thickBot="1" x14ac:dyDescent="0.55000000000000004">
      <c r="D119" s="390" t="str">
        <f>'21'!D11</f>
        <v>Plus charges related to monthly demand</v>
      </c>
      <c r="E119" s="401"/>
      <c r="F119" s="402">
        <f>'21'!F11</f>
        <v>7.1561833650559903</v>
      </c>
      <c r="G119" s="402">
        <f>'21'!G11</f>
        <v>0</v>
      </c>
      <c r="H119" s="402"/>
      <c r="I119" s="401"/>
    </row>
    <row r="120" spans="2:9" ht="26.1" thickBot="1" x14ac:dyDescent="0.55000000000000004">
      <c r="D120" s="390" t="str">
        <f>'21'!D12</f>
        <v>Plus charges related to energy metered</v>
      </c>
      <c r="E120" s="401"/>
      <c r="F120" s="402"/>
      <c r="G120" s="402"/>
      <c r="H120" s="402">
        <f>'21'!H12</f>
        <v>3.2851393876953505</v>
      </c>
      <c r="I120" s="401"/>
    </row>
    <row r="121" spans="2:9" ht="13.8" thickBot="1" x14ac:dyDescent="0.55000000000000004">
      <c r="D121" s="390" t="str">
        <f>'21'!D13</f>
        <v>Plus charges related to excess Kvar</v>
      </c>
      <c r="E121" s="401"/>
      <c r="F121" s="402"/>
      <c r="G121" s="402"/>
      <c r="H121" s="402"/>
      <c r="I121" s="402">
        <f>'21'!I13</f>
        <v>4</v>
      </c>
    </row>
    <row r="122" spans="2:9" x14ac:dyDescent="0.5">
      <c r="D122" s="471" t="s">
        <v>1404</v>
      </c>
    </row>
    <row r="123" spans="2:9" x14ac:dyDescent="0.5">
      <c r="D123" s="471" t="s">
        <v>1405</v>
      </c>
    </row>
    <row r="125" spans="2:9" s="139" customFormat="1" x14ac:dyDescent="0.35">
      <c r="B125" s="139" t="s">
        <v>1416</v>
      </c>
    </row>
    <row r="127" spans="2:9" ht="13.2" thickBot="1" x14ac:dyDescent="0.55000000000000004">
      <c r="D127" s="818" t="s">
        <v>1407</v>
      </c>
      <c r="E127" s="819"/>
      <c r="F127" s="819"/>
      <c r="G127" s="819"/>
      <c r="H127" s="819"/>
      <c r="I127" s="819"/>
    </row>
    <row r="128" spans="2:9" ht="54.3" thickBot="1" x14ac:dyDescent="0.55000000000000004">
      <c r="D128" s="564"/>
      <c r="E128" s="565" t="s">
        <v>1403</v>
      </c>
      <c r="F128" s="563" t="s">
        <v>1400</v>
      </c>
      <c r="G128" s="563" t="s">
        <v>1401</v>
      </c>
      <c r="H128" s="563" t="s">
        <v>1402</v>
      </c>
      <c r="I128" s="563" t="s">
        <v>1307</v>
      </c>
    </row>
    <row r="129" spans="2:9" ht="13.8" thickBot="1" x14ac:dyDescent="0.55000000000000004">
      <c r="D129" s="390" t="str">
        <f>'21'!D19</f>
        <v>System Availability Charge</v>
      </c>
      <c r="E129" s="402">
        <f>'21'!E19</f>
        <v>1298.0454680479745</v>
      </c>
      <c r="F129" s="563"/>
      <c r="G129" s="563"/>
      <c r="H129" s="563"/>
      <c r="I129" s="563"/>
    </row>
    <row r="130" spans="2:9" ht="26.1" thickBot="1" x14ac:dyDescent="0.55000000000000004">
      <c r="D130" s="390" t="str">
        <f>'21'!D20</f>
        <v>Plus charges related to monthly demand</v>
      </c>
      <c r="E130" s="401"/>
      <c r="F130" s="402">
        <f>'21'!F20</f>
        <v>8.2579999999999991</v>
      </c>
      <c r="G130" s="402">
        <f>'21'!G20</f>
        <v>0</v>
      </c>
      <c r="H130" s="402"/>
      <c r="I130" s="401"/>
    </row>
    <row r="131" spans="2:9" ht="26.1" thickBot="1" x14ac:dyDescent="0.55000000000000004">
      <c r="D131" s="390" t="str">
        <f>'21'!D21</f>
        <v>Plus charges related to energy metered</v>
      </c>
      <c r="E131" s="401"/>
      <c r="F131" s="402"/>
      <c r="G131" s="402"/>
      <c r="H131" s="402">
        <f>'21'!H21</f>
        <v>3.2850999999999999</v>
      </c>
      <c r="I131" s="401"/>
    </row>
    <row r="132" spans="2:9" ht="13.8" thickBot="1" x14ac:dyDescent="0.55000000000000004">
      <c r="D132" s="390" t="str">
        <f>'21'!D22</f>
        <v>Plus charges related to excess Kvar</v>
      </c>
      <c r="E132" s="401"/>
      <c r="F132" s="402"/>
      <c r="G132" s="402"/>
      <c r="H132" s="402"/>
      <c r="I132" s="402">
        <f>'21'!I22</f>
        <v>4</v>
      </c>
    </row>
    <row r="133" spans="2:9" x14ac:dyDescent="0.5">
      <c r="D133" s="471" t="s">
        <v>1404</v>
      </c>
    </row>
    <row r="134" spans="2:9" x14ac:dyDescent="0.5">
      <c r="D134" s="471" t="s">
        <v>1405</v>
      </c>
    </row>
    <row r="136" spans="2:9" s="139" customFormat="1" x14ac:dyDescent="0.35">
      <c r="B136" s="139" t="s">
        <v>1727</v>
      </c>
    </row>
    <row r="138" spans="2:9" ht="31.5" customHeight="1" thickBot="1" x14ac:dyDescent="0.55000000000000004">
      <c r="D138" s="812" t="s">
        <v>1728</v>
      </c>
      <c r="E138" s="813"/>
    </row>
    <row r="139" spans="2:9" ht="13.2" thickBot="1" x14ac:dyDescent="0.55000000000000004">
      <c r="D139" s="566" t="s">
        <v>982</v>
      </c>
      <c r="E139" s="567" t="s">
        <v>1009</v>
      </c>
    </row>
    <row r="140" spans="2:9" ht="13.8" thickBot="1" x14ac:dyDescent="0.55000000000000004">
      <c r="D140" s="231" t="str">
        <f>'21'!D27</f>
        <v>Cents per day per NMI – LV Residential  Accumulation1</v>
      </c>
      <c r="E140" s="403">
        <f>'21'!E27</f>
        <v>64.041769951086621</v>
      </c>
    </row>
    <row r="141" spans="2:9" ht="13.8" thickBot="1" x14ac:dyDescent="0.55000000000000004">
      <c r="D141" s="231" t="str">
        <f>'21'!D28</f>
        <v>Cents per day per NMI –   LV Non Residential  Accumulation1</v>
      </c>
      <c r="E141" s="403">
        <f>'21'!E28</f>
        <v>135</v>
      </c>
    </row>
    <row r="142" spans="2:9" ht="13.8" thickBot="1" x14ac:dyDescent="0.55000000000000004">
      <c r="D142" s="231" t="str">
        <f>'21'!D29</f>
        <v>Cents per day per NMI –  LV Smart Meter &lt;40 MWh1</v>
      </c>
      <c r="E142" s="403">
        <f>'21'!E29</f>
        <v>135</v>
      </c>
    </row>
    <row r="143" spans="2:9" ht="13.8" thickBot="1" x14ac:dyDescent="0.55000000000000004">
      <c r="D143" s="231" t="str">
        <f>'21'!D30</f>
        <v>Cents per day per NMI –  LV Smart Meter &gt;40 MWh1</v>
      </c>
      <c r="E143" s="403">
        <f>'21'!E30</f>
        <v>650</v>
      </c>
    </row>
    <row r="144" spans="2:9" ht="13.8" thickBot="1" x14ac:dyDescent="0.55000000000000004">
      <c r="D144" s="231" t="str">
        <f>'21'!D31</f>
        <v>Cents per day per NMI – HV &lt;750MWh1</v>
      </c>
      <c r="E144" s="403">
        <f>'21'!E31</f>
        <v>307.08327765560875</v>
      </c>
    </row>
    <row r="145" spans="4:5" ht="13.2" thickBot="1" x14ac:dyDescent="0.55000000000000004">
      <c r="D145" s="568" t="s">
        <v>987</v>
      </c>
      <c r="E145" s="567" t="s">
        <v>988</v>
      </c>
    </row>
    <row r="146" spans="4:5" ht="13.8" thickBot="1" x14ac:dyDescent="0.55000000000000004">
      <c r="D146" s="231" t="str">
        <f>'21'!D33</f>
        <v>LV Residential Accumulation</v>
      </c>
      <c r="E146" s="404">
        <f>'21'!E33</f>
        <v>10.104915273055934</v>
      </c>
    </row>
    <row r="147" spans="4:5" ht="13.8" thickBot="1" x14ac:dyDescent="0.55000000000000004">
      <c r="D147" s="231" t="str">
        <f>'21'!D34</f>
        <v>LV Non-residential Accumulation</v>
      </c>
      <c r="E147" s="404">
        <f>'21'!E34</f>
        <v>10.455</v>
      </c>
    </row>
    <row r="148" spans="4:5" ht="13.8" thickBot="1" x14ac:dyDescent="0.55000000000000004">
      <c r="D148" s="231" t="str">
        <f>'21'!D35</f>
        <v>LV Smart Meter</v>
      </c>
      <c r="E148" s="404">
        <f>'21'!E35</f>
        <v>3.07569605206987</v>
      </c>
    </row>
    <row r="149" spans="4:5" ht="13.8" thickBot="1" x14ac:dyDescent="0.55000000000000004">
      <c r="D149" s="231" t="str">
        <f>'21'!D36</f>
        <v>HV &lt;750 MWh</v>
      </c>
      <c r="E149" s="404">
        <f>'21'!E36</f>
        <v>3.07569605206987</v>
      </c>
    </row>
    <row r="150" spans="4:5" ht="13.2" thickBot="1" x14ac:dyDescent="0.55000000000000004">
      <c r="D150" s="568" t="s">
        <v>990</v>
      </c>
      <c r="E150" s="567" t="s">
        <v>991</v>
      </c>
    </row>
    <row r="151" spans="4:5" ht="13.8" thickBot="1" x14ac:dyDescent="0.55000000000000004">
      <c r="D151" s="231" t="str">
        <f>'21'!D38</f>
        <v>Unmetered Supply 12hr operation</v>
      </c>
      <c r="E151" s="404">
        <f>'21'!E38</f>
        <v>0.267530400000007</v>
      </c>
    </row>
    <row r="152" spans="4:5" ht="13.8" thickBot="1" x14ac:dyDescent="0.55000000000000004">
      <c r="D152" s="231" t="str">
        <f>'21'!D39</f>
        <v>Unmetered Supply 12-24hr operation</v>
      </c>
      <c r="E152" s="404">
        <f>'21'!E39</f>
        <v>0.61398839999999899</v>
      </c>
    </row>
    <row r="153" spans="4:5" ht="13.2" thickBot="1" x14ac:dyDescent="0.55000000000000004">
      <c r="D153" s="568" t="s">
        <v>992</v>
      </c>
      <c r="E153" s="567" t="s">
        <v>993</v>
      </c>
    </row>
    <row r="154" spans="4:5" ht="13.8" thickBot="1" x14ac:dyDescent="0.55000000000000004">
      <c r="D154" s="231" t="str">
        <f>'21'!D41</f>
        <v>LV Smart Meter Peak2</v>
      </c>
      <c r="E154" s="404">
        <f>'21'!E41</f>
        <v>20</v>
      </c>
    </row>
    <row r="155" spans="4:5" ht="13.8" thickBot="1" x14ac:dyDescent="0.55000000000000004">
      <c r="D155" s="231" t="str">
        <f>'21'!D42</f>
        <v>LV Smart Meter Off Peak2</v>
      </c>
      <c r="E155" s="404">
        <f>'21'!E42</f>
        <v>0</v>
      </c>
    </row>
    <row r="156" spans="4:5" ht="13.8" thickBot="1" x14ac:dyDescent="0.55000000000000004">
      <c r="D156" s="231" t="str">
        <f>'21'!D43</f>
        <v>HV &lt;750 MWh Peak3</v>
      </c>
      <c r="E156" s="404">
        <f>'21'!E43</f>
        <v>9.4487162355571925</v>
      </c>
    </row>
    <row r="157" spans="4:5" ht="13.8" thickBot="1" x14ac:dyDescent="0.55000000000000004">
      <c r="D157" s="231" t="str">
        <f>'21'!D44</f>
        <v>HV &lt;750 MWh Off Peak3</v>
      </c>
      <c r="E157" s="404">
        <f>'21'!E44</f>
        <v>0</v>
      </c>
    </row>
    <row r="158" spans="4:5" ht="13.2" thickBot="1" x14ac:dyDescent="0.55000000000000004">
      <c r="D158" s="568" t="s">
        <v>994</v>
      </c>
      <c r="E158" s="567" t="s">
        <v>995</v>
      </c>
    </row>
    <row r="159" spans="4:5" ht="13.8" thickBot="1" x14ac:dyDescent="0.55000000000000004">
      <c r="D159" s="231" t="str">
        <f>'21'!D46</f>
        <v>&gt;40 MWh LV Smart Meter</v>
      </c>
      <c r="E159" s="404">
        <f>'21'!E46</f>
        <v>4</v>
      </c>
    </row>
    <row r="160" spans="4:5" ht="13.8" thickBot="1" x14ac:dyDescent="0.55000000000000004">
      <c r="D160" s="231" t="str">
        <f>'21'!D47</f>
        <v>&gt;40 MWh HV</v>
      </c>
      <c r="E160" s="404">
        <f>'21'!E47</f>
        <v>4</v>
      </c>
    </row>
    <row r="161" spans="2:10" x14ac:dyDescent="0.5">
      <c r="D161" s="471" t="s">
        <v>1404</v>
      </c>
    </row>
    <row r="162" spans="2:10" x14ac:dyDescent="0.5">
      <c r="D162" s="471" t="s">
        <v>1408</v>
      </c>
    </row>
    <row r="164" spans="2:10" s="139" customFormat="1" x14ac:dyDescent="0.35">
      <c r="B164" s="139" t="s">
        <v>1417</v>
      </c>
    </row>
    <row r="165" spans="2:10" ht="13.2" thickBot="1" x14ac:dyDescent="0.55000000000000004"/>
    <row r="166" spans="2:10" ht="24" customHeight="1" thickBot="1" x14ac:dyDescent="0.55000000000000004">
      <c r="D166" s="725" t="s">
        <v>999</v>
      </c>
      <c r="E166" s="721" t="s">
        <v>1000</v>
      </c>
      <c r="F166" s="722"/>
      <c r="G166" s="721" t="s">
        <v>1001</v>
      </c>
      <c r="H166" s="722"/>
      <c r="I166" s="721" t="s">
        <v>1709</v>
      </c>
      <c r="J166" s="722"/>
    </row>
    <row r="167" spans="2:10" ht="13.2" thickBot="1" x14ac:dyDescent="0.55000000000000004">
      <c r="D167" s="726"/>
      <c r="E167" s="470" t="s">
        <v>1002</v>
      </c>
      <c r="F167" s="470" t="s">
        <v>236</v>
      </c>
      <c r="G167" s="470" t="s">
        <v>258</v>
      </c>
      <c r="H167" s="470" t="s">
        <v>676</v>
      </c>
      <c r="I167" s="482" t="s">
        <v>1295</v>
      </c>
      <c r="J167" s="482" t="s">
        <v>676</v>
      </c>
    </row>
    <row r="168" spans="2:10" ht="27.3" thickBot="1" x14ac:dyDescent="0.55000000000000004">
      <c r="D168" s="611" t="str">
        <f>'21'!D60</f>
        <v>Small Residential Accumulation Meter
(8,500 kWh pa)</v>
      </c>
      <c r="E168" s="395">
        <f>'21'!E60</f>
        <v>1108.6599999999999</v>
      </c>
      <c r="F168" s="395">
        <f>'21'!F60</f>
        <v>1092.6702585312205</v>
      </c>
      <c r="G168" s="395">
        <f>F168-E168</f>
        <v>-15.989741468779357</v>
      </c>
      <c r="H168" s="405">
        <f>G168/E168*100</f>
        <v>-1.4422583541193297</v>
      </c>
      <c r="I168" s="780">
        <f>'21'!I60</f>
        <v>-7.262640055881235</v>
      </c>
      <c r="J168" s="780">
        <f>'21'!J60</f>
        <v>-5.2643273405806994</v>
      </c>
    </row>
    <row r="169" spans="2:10" ht="27.3" thickBot="1" x14ac:dyDescent="0.55000000000000004">
      <c r="D169" s="611" t="str">
        <f>'21'!D61</f>
        <v>Small Residential Smart Meter
(8,500 kWh pa)</v>
      </c>
      <c r="E169" s="395">
        <f>'21'!E61</f>
        <v>1106.9007000000001</v>
      </c>
      <c r="F169" s="395">
        <f>'21'!F61</f>
        <v>1083.2119086543562</v>
      </c>
      <c r="G169" s="395">
        <f t="shared" ref="G169:G175" si="0">F169-E169</f>
        <v>-23.688791345643949</v>
      </c>
      <c r="H169" s="405">
        <f t="shared" ref="H169:H175" si="1">G169/E169*100</f>
        <v>-2.1401008550851897</v>
      </c>
      <c r="I169" s="781">
        <f>'21'!I61</f>
        <v>0</v>
      </c>
      <c r="J169" s="781">
        <f>'21'!J61</f>
        <v>0</v>
      </c>
    </row>
    <row r="170" spans="2:10" ht="27.3" thickBot="1" x14ac:dyDescent="0.55000000000000004">
      <c r="D170" s="611" t="str">
        <f>'21'!D62</f>
        <v>Large Residential Accumulation Meter
(15,000 kWh pa)</v>
      </c>
      <c r="E170" s="395">
        <f>'21'!E62</f>
        <v>1831.135</v>
      </c>
      <c r="F170" s="395">
        <f>'21'!F62</f>
        <v>1749.4897512798561</v>
      </c>
      <c r="G170" s="395">
        <f t="shared" si="0"/>
        <v>-81.645248720143854</v>
      </c>
      <c r="H170" s="405">
        <f t="shared" si="1"/>
        <v>-4.4587236178732779</v>
      </c>
      <c r="I170" s="781">
        <f>'21'!I62</f>
        <v>0</v>
      </c>
      <c r="J170" s="781">
        <f>'21'!J62</f>
        <v>0</v>
      </c>
    </row>
    <row r="171" spans="2:10" ht="27.3" thickBot="1" x14ac:dyDescent="0.55000000000000004">
      <c r="D171" s="611" t="str">
        <f>'21'!D63</f>
        <v>Large Residential Smart Meter
(15,000 kWh pa)</v>
      </c>
      <c r="E171" s="395">
        <f>'21'!E63</f>
        <v>1831.135</v>
      </c>
      <c r="F171" s="395">
        <f>'21'!F63</f>
        <v>1534.7416035076872</v>
      </c>
      <c r="G171" s="395">
        <f t="shared" si="0"/>
        <v>-296.39339649231283</v>
      </c>
      <c r="H171" s="405">
        <f t="shared" si="1"/>
        <v>-16.18632140679485</v>
      </c>
      <c r="I171" s="781">
        <f>'21'!I63</f>
        <v>0</v>
      </c>
      <c r="J171" s="781">
        <f>'21'!J63</f>
        <v>0</v>
      </c>
    </row>
    <row r="172" spans="2:10" ht="27.3" thickBot="1" x14ac:dyDescent="0.55000000000000004">
      <c r="D172" s="611" t="str">
        <f>'21'!D64</f>
        <v>Non-Residential Accumulation Meter
(38,000 kWh pa)</v>
      </c>
      <c r="E172" s="395">
        <f>'21'!E64</f>
        <v>4258.6337999999996</v>
      </c>
      <c r="F172" s="395">
        <f>'21'!F64</f>
        <v>4465.6499999999996</v>
      </c>
      <c r="G172" s="395">
        <f t="shared" si="0"/>
        <v>207.01620000000003</v>
      </c>
      <c r="H172" s="405">
        <f t="shared" si="1"/>
        <v>4.8610941847124787</v>
      </c>
      <c r="I172" s="781">
        <f>'21'!I64</f>
        <v>0</v>
      </c>
      <c r="J172" s="781">
        <f>'21'!J64</f>
        <v>0</v>
      </c>
    </row>
    <row r="173" spans="2:10" ht="27.3" thickBot="1" x14ac:dyDescent="0.55000000000000004">
      <c r="D173" s="611" t="str">
        <f>'21'!D65</f>
        <v>Non-Residential Smart Meter
(38,000 kWh pa)</v>
      </c>
      <c r="E173" s="395">
        <f>'21'!E65</f>
        <v>4258.6337999999996</v>
      </c>
      <c r="F173" s="395">
        <f>'21'!F65</f>
        <v>3299.7426084942963</v>
      </c>
      <c r="G173" s="395">
        <f t="shared" si="0"/>
        <v>-958.89119150570332</v>
      </c>
      <c r="H173" s="405">
        <f t="shared" si="1"/>
        <v>-22.516404005099087</v>
      </c>
      <c r="I173" s="782">
        <f>'21'!I65</f>
        <v>0</v>
      </c>
      <c r="J173" s="782">
        <f>'21'!J65</f>
        <v>0</v>
      </c>
    </row>
    <row r="174" spans="2:10" ht="27.3" thickBot="1" x14ac:dyDescent="0.55000000000000004">
      <c r="D174" s="611" t="str">
        <f>'21'!D66</f>
        <v>Industrial #
(1,000,000 kWh pa)</v>
      </c>
      <c r="E174" s="395">
        <f>'21'!E66</f>
        <v>89481.446513541421</v>
      </c>
      <c r="F174" s="395">
        <f>'21'!F66</f>
        <v>79723.12772837386</v>
      </c>
      <c r="G174" s="395">
        <f t="shared" si="0"/>
        <v>-9758.3187851675611</v>
      </c>
      <c r="H174" s="405">
        <f t="shared" si="1"/>
        <v>-10.90541018879351</v>
      </c>
      <c r="I174" s="727">
        <f>'21'!I66</f>
        <v>0.38496500642813741</v>
      </c>
      <c r="J174" s="727">
        <f>'21'!J66</f>
        <v>1.1457627984996943</v>
      </c>
    </row>
    <row r="175" spans="2:10" ht="27.3" thickBot="1" x14ac:dyDescent="0.55000000000000004">
      <c r="D175" s="611" t="str">
        <f>'21'!D67</f>
        <v xml:space="preserve"> Large Industrial HV
(8,000,000 kWh pa)</v>
      </c>
      <c r="E175" s="395">
        <f>'21'!E67</f>
        <v>405637.8764720097</v>
      </c>
      <c r="F175" s="395">
        <f>'21'!F67</f>
        <v>456419.74301645427</v>
      </c>
      <c r="G175" s="395">
        <f t="shared" si="0"/>
        <v>50781.86654444458</v>
      </c>
      <c r="H175" s="405">
        <f t="shared" si="1"/>
        <v>12.519014986005306</v>
      </c>
      <c r="I175" s="727">
        <f>'21'!I67</f>
        <v>0</v>
      </c>
      <c r="J175" s="727">
        <f>'21'!J67</f>
        <v>0</v>
      </c>
    </row>
    <row r="176" spans="2:10" ht="38.65" customHeight="1" thickBot="1" x14ac:dyDescent="0.55000000000000004">
      <c r="D176" s="718" t="str">
        <f>'21'!D68</f>
        <v>Notes:    * 2018-19 Network Tariffs are indicative and will be subject to review and approval by the 
                  Northern Territory Treasurer in May 2018
               + Excludes ACS Metering</v>
      </c>
      <c r="E176" s="719"/>
      <c r="F176" s="719"/>
      <c r="G176" s="719"/>
      <c r="H176" s="719"/>
      <c r="I176" s="719"/>
      <c r="J176" s="720"/>
    </row>
    <row r="177" spans="2:2" ht="13.5" customHeight="1" x14ac:dyDescent="0.5"/>
    <row r="178" spans="2:2" s="139" customFormat="1" x14ac:dyDescent="0.35">
      <c r="B178" s="139" t="s">
        <v>32</v>
      </c>
    </row>
    <row r="179" spans="2:2" x14ac:dyDescent="0.5">
      <c r="B179" s="226" t="s">
        <v>548</v>
      </c>
    </row>
  </sheetData>
  <mergeCells count="31">
    <mergeCell ref="G166:H166"/>
    <mergeCell ref="I168:I173"/>
    <mergeCell ref="J168:J173"/>
    <mergeCell ref="D90:D94"/>
    <mergeCell ref="E93:E94"/>
    <mergeCell ref="D95:D96"/>
    <mergeCell ref="F95:F96"/>
    <mergeCell ref="D166:D167"/>
    <mergeCell ref="E166:F166"/>
    <mergeCell ref="E65:K65"/>
    <mergeCell ref="D66:D69"/>
    <mergeCell ref="E66:K66"/>
    <mergeCell ref="E67:K67"/>
    <mergeCell ref="E68:K68"/>
    <mergeCell ref="E69:K69"/>
    <mergeCell ref="D176:J176"/>
    <mergeCell ref="E70:K70"/>
    <mergeCell ref="E71:K71"/>
    <mergeCell ref="D99:J99"/>
    <mergeCell ref="D138:E138"/>
    <mergeCell ref="G96:I96"/>
    <mergeCell ref="D88:D89"/>
    <mergeCell ref="E88:E89"/>
    <mergeCell ref="D97:D98"/>
    <mergeCell ref="G98:I98"/>
    <mergeCell ref="I174:I175"/>
    <mergeCell ref="J174:J175"/>
    <mergeCell ref="F88:J88"/>
    <mergeCell ref="I166:J166"/>
    <mergeCell ref="D116:I116"/>
    <mergeCell ref="D127:I127"/>
  </mergeCells>
  <conditionalFormatting sqref="B2">
    <cfRule type="cellIs" dxfId="7" priority="1" operator="notEqual">
      <formula>"No Errors Found"</formula>
    </cfRule>
  </conditionalFormatting>
  <hyperlinks>
    <hyperlink ref="B3:D3" location="Cover!A1" display="Go to Cover Sheet" xr:uid="{00000000-0004-0000-2A00-000000000000}"/>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
  <dimension ref="B1:AB12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328125" defaultRowHeight="10.199999999999999" outlineLevelRow="1" x14ac:dyDescent="0.35"/>
  <cols>
    <col min="1" max="3" width="2.796875" style="1" customWidth="1"/>
    <col min="4" max="4" width="34" style="1" customWidth="1"/>
    <col min="5" max="6" width="30.796875" style="1" customWidth="1"/>
    <col min="7" max="9" width="10.796875" style="1" customWidth="1"/>
    <col min="10" max="13" width="12.1328125" style="7" bestFit="1" customWidth="1"/>
    <col min="14" max="14" width="14.1328125" style="7" customWidth="1"/>
    <col min="15" max="15" width="12.796875" style="7" customWidth="1"/>
    <col min="16" max="25" width="12.796875" style="1" customWidth="1"/>
    <col min="26" max="32" width="10.796875" style="1" customWidth="1"/>
    <col min="33" max="16384" width="9.1328125" style="1"/>
  </cols>
  <sheetData>
    <row r="1" spans="2:25" ht="18.899999999999999" x14ac:dyDescent="0.35">
      <c r="B1" s="5" t="s">
        <v>45</v>
      </c>
    </row>
    <row r="2" spans="2:25" x14ac:dyDescent="0.35">
      <c r="B2" s="18" t="str">
        <f>Title_Msg</f>
        <v>No Errors Found</v>
      </c>
    </row>
    <row r="3" spans="2:25" s="7" customFormat="1" x14ac:dyDescent="0.35">
      <c r="B3" s="55" t="str">
        <f>TOC!B1</f>
        <v>Table of Contents</v>
      </c>
      <c r="C3" s="49"/>
      <c r="D3" s="49"/>
      <c r="E3" s="49"/>
    </row>
    <row r="4" spans="2:25" s="7" customFormat="1" ht="12.3" x14ac:dyDescent="0.35">
      <c r="B4" s="46" t="str">
        <f>Model_Name</f>
        <v>Power and Water Corporation (PWC) - Regulatory Proposal Tables and Charts</v>
      </c>
    </row>
    <row r="5" spans="2:25" s="7" customFormat="1" x14ac:dyDescent="0.35"/>
    <row r="6" spans="2:25" s="4" customFormat="1" ht="15" x14ac:dyDescent="0.35">
      <c r="B6" s="4" t="s">
        <v>30</v>
      </c>
    </row>
    <row r="7" spans="2:25" s="2" customFormat="1" ht="6.75" customHeight="1" x14ac:dyDescent="0.35">
      <c r="J7" s="6"/>
      <c r="K7" s="6"/>
      <c r="L7" s="6"/>
      <c r="M7" s="6"/>
      <c r="N7" s="6"/>
      <c r="O7" s="6"/>
    </row>
    <row r="8" spans="2:25" s="13" customFormat="1" ht="14.1" x14ac:dyDescent="0.35">
      <c r="C8" s="13" t="s">
        <v>56</v>
      </c>
    </row>
    <row r="9" spans="2:25" s="2" customFormat="1" x14ac:dyDescent="0.35">
      <c r="D9" s="3"/>
      <c r="J9" s="6"/>
      <c r="K9" s="6"/>
      <c r="L9" s="6"/>
      <c r="M9" s="6"/>
      <c r="N9" s="6"/>
      <c r="O9" s="6"/>
    </row>
    <row r="10" spans="2:25" s="6" customFormat="1" ht="12.3" x14ac:dyDescent="0.35">
      <c r="D10" s="16" t="s">
        <v>55</v>
      </c>
      <c r="E10" s="56">
        <v>41821</v>
      </c>
    </row>
    <row r="11" spans="2:25" s="7" customFormat="1" ht="12.3" x14ac:dyDescent="0.35">
      <c r="D11" s="16" t="s">
        <v>58</v>
      </c>
      <c r="E11" s="17">
        <v>2018</v>
      </c>
      <c r="R11" s="23"/>
      <c r="S11" s="24"/>
      <c r="T11" s="24"/>
      <c r="U11" s="24"/>
    </row>
    <row r="12" spans="2:25" s="7" customFormat="1" x14ac:dyDescent="0.35">
      <c r="R12" s="23"/>
      <c r="S12" s="24"/>
      <c r="T12" s="24"/>
      <c r="U12" s="24"/>
    </row>
    <row r="13" spans="2:25" s="13" customFormat="1" ht="14.1" x14ac:dyDescent="0.35">
      <c r="C13" s="13" t="s">
        <v>57</v>
      </c>
    </row>
    <row r="14" spans="2:25" s="7" customFormat="1" x14ac:dyDescent="0.35">
      <c r="R14" s="23"/>
      <c r="S14" s="24"/>
      <c r="T14" s="24"/>
      <c r="U14" s="24"/>
    </row>
    <row r="15" spans="2:25" s="7" customFormat="1" ht="12.3" outlineLevel="1" x14ac:dyDescent="0.35">
      <c r="B15" s="16" t="s">
        <v>53</v>
      </c>
      <c r="J15" s="57">
        <f>EOMONTH(K15,-Mths_In_Yr-1)+1</f>
        <v>39630</v>
      </c>
      <c r="K15" s="57">
        <f>EOMONTH(L15,-Mths_In_Yr-1)+1</f>
        <v>39995</v>
      </c>
      <c r="L15" s="57">
        <f>EOMONTH(M15,-Mths_In_Yr-1)+1</f>
        <v>40360</v>
      </c>
      <c r="M15" s="57">
        <f>EOMONTH(N15,-Mths_In_Yr-1)+1</f>
        <v>40725</v>
      </c>
      <c r="N15" s="57">
        <f>EOMONTH(O15,-Mths_In_Yr-1)+1</f>
        <v>41091</v>
      </c>
      <c r="O15" s="88">
        <f>EOMONTH(O16,-Mths_In_Yr)+1</f>
        <v>41456</v>
      </c>
      <c r="P15" s="57">
        <f t="shared" ref="P15:Y15" si="0">IF(P17=1,Model_Start_Date,O16+1)</f>
        <v>41821</v>
      </c>
      <c r="Q15" s="57">
        <f t="shared" si="0"/>
        <v>42186</v>
      </c>
      <c r="R15" s="57">
        <f t="shared" si="0"/>
        <v>42552</v>
      </c>
      <c r="S15" s="57">
        <f t="shared" si="0"/>
        <v>42917</v>
      </c>
      <c r="T15" s="57">
        <f t="shared" si="0"/>
        <v>43282</v>
      </c>
      <c r="U15" s="57">
        <f t="shared" si="0"/>
        <v>43647</v>
      </c>
      <c r="V15" s="57">
        <f t="shared" si="0"/>
        <v>44013</v>
      </c>
      <c r="W15" s="57">
        <f t="shared" si="0"/>
        <v>44378</v>
      </c>
      <c r="X15" s="57">
        <f t="shared" si="0"/>
        <v>44743</v>
      </c>
      <c r="Y15" s="57">
        <f t="shared" si="0"/>
        <v>45108</v>
      </c>
    </row>
    <row r="16" spans="2:25" s="7" customFormat="1" ht="12.3" outlineLevel="1" x14ac:dyDescent="0.35">
      <c r="B16" s="16" t="s">
        <v>54</v>
      </c>
      <c r="J16" s="57">
        <f t="shared" ref="J16" si="1">EOMONTH(J15,Mths_In_Yr-1)</f>
        <v>39994</v>
      </c>
      <c r="K16" s="57">
        <f t="shared" ref="K16" si="2">EOMONTH(K15,Mths_In_Yr-1)</f>
        <v>40359</v>
      </c>
      <c r="L16" s="57">
        <f t="shared" ref="L16" si="3">EOMONTH(L15,Mths_In_Yr-1)</f>
        <v>40724</v>
      </c>
      <c r="M16" s="57">
        <f t="shared" ref="M16" si="4">EOMONTH(M15,Mths_In_Yr-1)</f>
        <v>41090</v>
      </c>
      <c r="N16" s="57">
        <f t="shared" ref="N16:Y16" si="5">EOMONTH(N15,Mths_In_Yr-1)</f>
        <v>41455</v>
      </c>
      <c r="O16" s="89">
        <f>P15-1</f>
        <v>41820</v>
      </c>
      <c r="P16" s="57">
        <f t="shared" si="5"/>
        <v>42185</v>
      </c>
      <c r="Q16" s="57">
        <f t="shared" si="5"/>
        <v>42551</v>
      </c>
      <c r="R16" s="57">
        <f t="shared" si="5"/>
        <v>42916</v>
      </c>
      <c r="S16" s="57">
        <f t="shared" si="5"/>
        <v>43281</v>
      </c>
      <c r="T16" s="57">
        <f t="shared" si="5"/>
        <v>43646</v>
      </c>
      <c r="U16" s="57">
        <f t="shared" si="5"/>
        <v>44012</v>
      </c>
      <c r="V16" s="57">
        <f t="shared" si="5"/>
        <v>44377</v>
      </c>
      <c r="W16" s="57">
        <f t="shared" si="5"/>
        <v>44742</v>
      </c>
      <c r="X16" s="57">
        <f t="shared" si="5"/>
        <v>45107</v>
      </c>
      <c r="Y16" s="57">
        <f t="shared" si="5"/>
        <v>45473</v>
      </c>
    </row>
    <row r="17" spans="2:28" s="7" customFormat="1" ht="12.3" outlineLevel="1" x14ac:dyDescent="0.35">
      <c r="B17" s="16" t="s">
        <v>52</v>
      </c>
      <c r="O17" s="27">
        <v>0</v>
      </c>
      <c r="P17" s="27">
        <f>N(O17)+1</f>
        <v>1</v>
      </c>
      <c r="Q17" s="27">
        <f t="shared" ref="Q17:Y17" si="6">N(P17)+1</f>
        <v>2</v>
      </c>
      <c r="R17" s="27">
        <f t="shared" si="6"/>
        <v>3</v>
      </c>
      <c r="S17" s="27">
        <f t="shared" si="6"/>
        <v>4</v>
      </c>
      <c r="T17" s="27">
        <f t="shared" si="6"/>
        <v>5</v>
      </c>
      <c r="U17" s="27">
        <f t="shared" si="6"/>
        <v>6</v>
      </c>
      <c r="V17" s="27">
        <f t="shared" si="6"/>
        <v>7</v>
      </c>
      <c r="W17" s="27">
        <f t="shared" si="6"/>
        <v>8</v>
      </c>
      <c r="X17" s="27">
        <f t="shared" si="6"/>
        <v>9</v>
      </c>
      <c r="Y17" s="27">
        <f t="shared" si="6"/>
        <v>10</v>
      </c>
    </row>
    <row r="18" spans="2:28" s="7" customFormat="1" ht="12.3" outlineLevel="1" x14ac:dyDescent="0.35">
      <c r="B18" s="16" t="s">
        <v>59</v>
      </c>
      <c r="J18" s="12">
        <f t="shared" ref="J18:P18" si="7">YEAR(J16)</f>
        <v>2009</v>
      </c>
      <c r="K18" s="12">
        <f t="shared" si="7"/>
        <v>2010</v>
      </c>
      <c r="L18" s="12">
        <f t="shared" si="7"/>
        <v>2011</v>
      </c>
      <c r="M18" s="12">
        <f t="shared" si="7"/>
        <v>2012</v>
      </c>
      <c r="N18" s="12">
        <f t="shared" si="7"/>
        <v>2013</v>
      </c>
      <c r="O18" s="12">
        <f t="shared" si="7"/>
        <v>2014</v>
      </c>
      <c r="P18" s="12">
        <f t="shared" si="7"/>
        <v>2015</v>
      </c>
      <c r="Q18" s="12">
        <f t="shared" ref="Q18:Y18" si="8">YEAR(Q16)</f>
        <v>2016</v>
      </c>
      <c r="R18" s="12">
        <f t="shared" si="8"/>
        <v>2017</v>
      </c>
      <c r="S18" s="12">
        <f t="shared" si="8"/>
        <v>2018</v>
      </c>
      <c r="T18" s="12">
        <f t="shared" si="8"/>
        <v>2019</v>
      </c>
      <c r="U18" s="12">
        <f t="shared" si="8"/>
        <v>2020</v>
      </c>
      <c r="V18" s="12">
        <f t="shared" si="8"/>
        <v>2021</v>
      </c>
      <c r="W18" s="12">
        <f t="shared" si="8"/>
        <v>2022</v>
      </c>
      <c r="X18" s="12">
        <f t="shared" si="8"/>
        <v>2023</v>
      </c>
      <c r="Y18" s="12">
        <f t="shared" si="8"/>
        <v>2024</v>
      </c>
    </row>
    <row r="19" spans="2:28" s="7" customFormat="1" ht="12.3" outlineLevel="1" x14ac:dyDescent="0.35">
      <c r="B19" s="16" t="s">
        <v>60</v>
      </c>
      <c r="J19" s="19" t="s">
        <v>61</v>
      </c>
      <c r="K19" s="19" t="s">
        <v>61</v>
      </c>
      <c r="L19" s="19" t="s">
        <v>61</v>
      </c>
      <c r="M19" s="19" t="s">
        <v>61</v>
      </c>
      <c r="N19" s="19" t="s">
        <v>61</v>
      </c>
      <c r="O19" s="19" t="s">
        <v>61</v>
      </c>
      <c r="P19" s="19" t="s">
        <v>61</v>
      </c>
      <c r="Q19" s="19" t="s">
        <v>61</v>
      </c>
      <c r="R19" s="19" t="s">
        <v>61</v>
      </c>
      <c r="S19" s="19" t="s">
        <v>58</v>
      </c>
      <c r="T19" s="19" t="s">
        <v>62</v>
      </c>
      <c r="U19" s="19" t="s">
        <v>62</v>
      </c>
      <c r="V19" s="19" t="s">
        <v>62</v>
      </c>
      <c r="W19" s="19" t="s">
        <v>62</v>
      </c>
      <c r="X19" s="19" t="s">
        <v>62</v>
      </c>
      <c r="Y19" s="19" t="s">
        <v>62</v>
      </c>
    </row>
    <row r="20" spans="2:28" s="7" customFormat="1" ht="12.3" x14ac:dyDescent="0.35">
      <c r="B20" s="14" t="s">
        <v>63</v>
      </c>
      <c r="E20" s="20" t="s">
        <v>64</v>
      </c>
      <c r="F20" s="20" t="s">
        <v>65</v>
      </c>
      <c r="G20" s="20" t="s">
        <v>66</v>
      </c>
      <c r="H20" s="20" t="s">
        <v>67</v>
      </c>
      <c r="J20" s="58" t="str">
        <f t="shared" ref="J20:P20" si="9">"RY"&amp;RIGHT(J18,2)</f>
        <v>RY09</v>
      </c>
      <c r="K20" s="58" t="str">
        <f t="shared" si="9"/>
        <v>RY10</v>
      </c>
      <c r="L20" s="58" t="str">
        <f t="shared" si="9"/>
        <v>RY11</v>
      </c>
      <c r="M20" s="58" t="str">
        <f t="shared" si="9"/>
        <v>RY12</v>
      </c>
      <c r="N20" s="58" t="str">
        <f t="shared" si="9"/>
        <v>RY13</v>
      </c>
      <c r="O20" s="58" t="str">
        <f t="shared" si="9"/>
        <v>RY14</v>
      </c>
      <c r="P20" s="58" t="str">
        <f t="shared" si="9"/>
        <v>RY15</v>
      </c>
      <c r="Q20" s="58" t="str">
        <f t="shared" ref="Q20:Y20" si="10">"RY"&amp;RIGHT(Q18,2)</f>
        <v>RY16</v>
      </c>
      <c r="R20" s="58" t="str">
        <f t="shared" si="10"/>
        <v>RY17</v>
      </c>
      <c r="S20" s="58" t="str">
        <f t="shared" si="10"/>
        <v>RY18</v>
      </c>
      <c r="T20" s="58" t="str">
        <f t="shared" si="10"/>
        <v>RY19</v>
      </c>
      <c r="U20" s="58" t="str">
        <f t="shared" si="10"/>
        <v>RY20</v>
      </c>
      <c r="V20" s="58" t="str">
        <f t="shared" si="10"/>
        <v>RY21</v>
      </c>
      <c r="W20" s="58" t="str">
        <f t="shared" si="10"/>
        <v>RY22</v>
      </c>
      <c r="X20" s="58" t="str">
        <f t="shared" si="10"/>
        <v>RY23</v>
      </c>
      <c r="Y20" s="58" t="str">
        <f t="shared" si="10"/>
        <v>RY24</v>
      </c>
      <c r="AA20" s="58" t="str">
        <f>P20&amp;"-"&amp;T20</f>
        <v>RY15-RY19</v>
      </c>
      <c r="AB20" s="58" t="str">
        <f>U20&amp;"-"&amp;Y20</f>
        <v>RY20-RY24</v>
      </c>
    </row>
    <row r="21" spans="2:28" s="7" customFormat="1" x14ac:dyDescent="0.35">
      <c r="R21" s="23"/>
      <c r="S21" s="24"/>
      <c r="T21" s="24"/>
      <c r="U21" s="24"/>
    </row>
    <row r="22" spans="2:28" s="4" customFormat="1" ht="15" x14ac:dyDescent="0.35">
      <c r="B22" s="4" t="s">
        <v>45</v>
      </c>
    </row>
    <row r="23" spans="2:28" s="7" customFormat="1" x14ac:dyDescent="0.35">
      <c r="R23" s="23"/>
      <c r="S23" s="24"/>
      <c r="T23" s="24"/>
      <c r="U23" s="24"/>
    </row>
    <row r="24" spans="2:28" ht="12.3" x14ac:dyDescent="0.35">
      <c r="C24" s="8" t="s">
        <v>0</v>
      </c>
      <c r="E24" s="20" t="s">
        <v>1</v>
      </c>
    </row>
    <row r="25" spans="2:28" x14ac:dyDescent="0.35">
      <c r="E25" s="21"/>
    </row>
    <row r="26" spans="2:28" ht="12.3" x14ac:dyDescent="0.35">
      <c r="D26" s="17">
        <v>1</v>
      </c>
      <c r="E26" s="22" t="s">
        <v>2</v>
      </c>
    </row>
    <row r="27" spans="2:28" ht="12.3" x14ac:dyDescent="0.35">
      <c r="D27" s="17">
        <v>3</v>
      </c>
      <c r="E27" s="22" t="s">
        <v>3</v>
      </c>
    </row>
    <row r="28" spans="2:28" s="7" customFormat="1" ht="12.3" x14ac:dyDescent="0.35">
      <c r="D28" s="17">
        <v>4</v>
      </c>
      <c r="E28" s="22" t="s">
        <v>33</v>
      </c>
    </row>
    <row r="29" spans="2:28" ht="12.3" x14ac:dyDescent="0.35">
      <c r="D29" s="17">
        <v>12</v>
      </c>
      <c r="E29" s="22" t="s">
        <v>4</v>
      </c>
    </row>
    <row r="30" spans="2:28" s="7" customFormat="1" ht="12.3" x14ac:dyDescent="0.35">
      <c r="D30" s="17">
        <v>7</v>
      </c>
      <c r="E30" s="22" t="s">
        <v>13</v>
      </c>
    </row>
    <row r="31" spans="2:28" s="7" customFormat="1" ht="12.3" x14ac:dyDescent="0.35">
      <c r="D31" s="17">
        <v>365</v>
      </c>
      <c r="E31" s="22" t="s">
        <v>46</v>
      </c>
    </row>
    <row r="32" spans="2:28" s="7" customFormat="1" ht="12.3" x14ac:dyDescent="0.35">
      <c r="D32" s="17">
        <v>0.5</v>
      </c>
      <c r="E32" s="22" t="s">
        <v>8</v>
      </c>
    </row>
    <row r="33" spans="3:5" s="7" customFormat="1" ht="12.3" x14ac:dyDescent="0.35">
      <c r="D33" s="17">
        <v>1000000</v>
      </c>
      <c r="E33" s="22" t="s">
        <v>159</v>
      </c>
    </row>
    <row r="34" spans="3:5" ht="12.3" x14ac:dyDescent="0.35">
      <c r="D34" s="17" t="s">
        <v>6</v>
      </c>
      <c r="E34" s="22" t="s">
        <v>6</v>
      </c>
    </row>
    <row r="35" spans="3:5" s="7" customFormat="1" ht="12.3" x14ac:dyDescent="0.35">
      <c r="D35" s="17" t="s">
        <v>34</v>
      </c>
      <c r="E35" s="22" t="s">
        <v>35</v>
      </c>
    </row>
    <row r="36" spans="3:5" ht="12.3" x14ac:dyDescent="0.35">
      <c r="D36" s="17" t="s">
        <v>7</v>
      </c>
      <c r="E36" s="22" t="s">
        <v>7</v>
      </c>
    </row>
    <row r="37" spans="3:5" x14ac:dyDescent="0.35">
      <c r="E37" s="21"/>
    </row>
    <row r="38" spans="3:5" s="7" customFormat="1" ht="12.3" x14ac:dyDescent="0.35">
      <c r="C38" s="8" t="s">
        <v>0</v>
      </c>
      <c r="E38" s="20" t="s">
        <v>1</v>
      </c>
    </row>
    <row r="39" spans="3:5" s="7" customFormat="1" ht="12.3" x14ac:dyDescent="0.35">
      <c r="E39" s="22" t="s">
        <v>11</v>
      </c>
    </row>
    <row r="40" spans="3:5" s="7" customFormat="1" ht="12.3" x14ac:dyDescent="0.35">
      <c r="D40" s="17" t="s">
        <v>9</v>
      </c>
      <c r="E40" s="22" t="s">
        <v>9</v>
      </c>
    </row>
    <row r="41" spans="3:5" s="7" customFormat="1" ht="12.3" x14ac:dyDescent="0.35">
      <c r="D41" s="17" t="s">
        <v>10</v>
      </c>
      <c r="E41" s="22" t="s">
        <v>10</v>
      </c>
    </row>
    <row r="42" spans="3:5" s="7" customFormat="1" x14ac:dyDescent="0.35">
      <c r="E42" s="21"/>
    </row>
    <row r="43" spans="3:5" s="7" customFormat="1" ht="12.3" x14ac:dyDescent="0.35">
      <c r="C43" s="8" t="s">
        <v>72</v>
      </c>
      <c r="E43" s="20" t="s">
        <v>1</v>
      </c>
    </row>
    <row r="44" spans="3:5" s="7" customFormat="1" ht="12.3" x14ac:dyDescent="0.35">
      <c r="E44" s="22" t="s">
        <v>80</v>
      </c>
    </row>
    <row r="45" spans="3:5" s="7" customFormat="1" ht="12.3" x14ac:dyDescent="0.35">
      <c r="D45" s="17" t="s">
        <v>73</v>
      </c>
      <c r="E45" s="22" t="s">
        <v>73</v>
      </c>
    </row>
    <row r="46" spans="3:5" s="7" customFormat="1" ht="12.3" x14ac:dyDescent="0.35">
      <c r="D46" s="17" t="s">
        <v>74</v>
      </c>
      <c r="E46" s="22" t="s">
        <v>74</v>
      </c>
    </row>
    <row r="47" spans="3:5" s="7" customFormat="1" ht="12.3" x14ac:dyDescent="0.35">
      <c r="D47" s="17" t="s">
        <v>76</v>
      </c>
      <c r="E47" s="22" t="s">
        <v>78</v>
      </c>
    </row>
    <row r="48" spans="3:5" s="7" customFormat="1" ht="12.3" x14ac:dyDescent="0.35">
      <c r="D48" s="17" t="s">
        <v>77</v>
      </c>
      <c r="E48" s="22" t="s">
        <v>79</v>
      </c>
    </row>
    <row r="49" spans="3:6" s="7" customFormat="1" ht="12.3" x14ac:dyDescent="0.35">
      <c r="D49" s="17" t="s">
        <v>75</v>
      </c>
      <c r="E49" s="22" t="s">
        <v>75</v>
      </c>
    </row>
    <row r="50" spans="3:6" s="7" customFormat="1" ht="12.3" x14ac:dyDescent="0.35">
      <c r="D50" s="17" t="s">
        <v>115</v>
      </c>
      <c r="E50" s="22" t="s">
        <v>115</v>
      </c>
    </row>
    <row r="51" spans="3:6" s="7" customFormat="1" ht="12.3" x14ac:dyDescent="0.35">
      <c r="D51" s="17" t="s">
        <v>118</v>
      </c>
      <c r="E51" s="64" t="s">
        <v>119</v>
      </c>
    </row>
    <row r="52" spans="3:6" s="7" customFormat="1" ht="12.3" x14ac:dyDescent="0.35">
      <c r="D52" s="17" t="str">
        <f>NA</f>
        <v>N/A</v>
      </c>
      <c r="E52" s="22" t="s">
        <v>114</v>
      </c>
    </row>
    <row r="53" spans="3:6" s="7" customFormat="1" x14ac:dyDescent="0.35">
      <c r="E53" s="21"/>
    </row>
    <row r="54" spans="3:6" s="7" customFormat="1" ht="12.3" x14ac:dyDescent="0.35">
      <c r="C54" s="8" t="s">
        <v>66</v>
      </c>
      <c r="E54" s="20" t="s">
        <v>1</v>
      </c>
    </row>
    <row r="55" spans="3:6" s="7" customFormat="1" ht="12.3" x14ac:dyDescent="0.35">
      <c r="E55" s="22" t="s">
        <v>71</v>
      </c>
    </row>
    <row r="56" spans="3:6" s="7" customFormat="1" ht="12.3" x14ac:dyDescent="0.35">
      <c r="D56" s="17" t="s">
        <v>68</v>
      </c>
      <c r="E56" s="22" t="s">
        <v>70</v>
      </c>
    </row>
    <row r="57" spans="3:6" s="7" customFormat="1" ht="12.3" x14ac:dyDescent="0.35">
      <c r="D57" s="17" t="s">
        <v>148</v>
      </c>
      <c r="E57" s="22" t="s">
        <v>149</v>
      </c>
    </row>
    <row r="58" spans="3:6" s="7" customFormat="1" ht="12.3" x14ac:dyDescent="0.35">
      <c r="D58" s="17" t="str">
        <f>NA</f>
        <v>N/A</v>
      </c>
      <c r="E58" s="22" t="s">
        <v>114</v>
      </c>
    </row>
    <row r="59" spans="3:6" s="7" customFormat="1" ht="12.3" x14ac:dyDescent="0.35">
      <c r="D59" s="17" t="s">
        <v>69</v>
      </c>
      <c r="E59" s="22" t="s">
        <v>69</v>
      </c>
    </row>
    <row r="60" spans="3:6" s="7" customFormat="1" x14ac:dyDescent="0.35">
      <c r="E60" s="21"/>
    </row>
    <row r="61" spans="3:6" s="7" customFormat="1" ht="12.3" x14ac:dyDescent="0.35">
      <c r="C61" s="8" t="s">
        <v>67</v>
      </c>
      <c r="E61" s="20"/>
      <c r="F61" s="20" t="s">
        <v>1</v>
      </c>
    </row>
    <row r="62" spans="3:6" s="7" customFormat="1" ht="12.3" x14ac:dyDescent="0.35">
      <c r="D62" s="22" t="s">
        <v>84</v>
      </c>
      <c r="E62" s="22" t="s">
        <v>85</v>
      </c>
    </row>
    <row r="63" spans="3:6" s="7" customFormat="1" ht="12.3" x14ac:dyDescent="0.35">
      <c r="D63" s="17" t="s">
        <v>81</v>
      </c>
      <c r="E63" s="17">
        <v>0</v>
      </c>
      <c r="F63" s="22" t="s">
        <v>88</v>
      </c>
    </row>
    <row r="64" spans="3:6" s="7" customFormat="1" ht="12.3" x14ac:dyDescent="0.35">
      <c r="D64" s="17" t="s">
        <v>82</v>
      </c>
      <c r="E64" s="17">
        <v>0.5</v>
      </c>
      <c r="F64" s="22" t="s">
        <v>87</v>
      </c>
    </row>
    <row r="65" spans="3:6" s="7" customFormat="1" ht="12.3" x14ac:dyDescent="0.35">
      <c r="D65" s="17" t="s">
        <v>83</v>
      </c>
      <c r="E65" s="17">
        <v>1</v>
      </c>
      <c r="F65" s="22" t="s">
        <v>86</v>
      </c>
    </row>
    <row r="66" spans="3:6" s="7" customFormat="1" ht="12.3" x14ac:dyDescent="0.35">
      <c r="D66" s="17" t="str">
        <f>NA</f>
        <v>N/A</v>
      </c>
      <c r="E66" s="17" t="str">
        <f>NA</f>
        <v>N/A</v>
      </c>
      <c r="F66" s="22"/>
    </row>
    <row r="67" spans="3:6" s="7" customFormat="1" x14ac:dyDescent="0.35">
      <c r="E67" s="21"/>
    </row>
    <row r="68" spans="3:6" s="13" customFormat="1" ht="14.1" x14ac:dyDescent="0.35">
      <c r="C68" s="13" t="s">
        <v>47</v>
      </c>
    </row>
    <row r="70" spans="3:6" ht="12.3" x14ac:dyDescent="0.35">
      <c r="C70" s="8" t="s">
        <v>160</v>
      </c>
      <c r="D70" s="7"/>
      <c r="E70" s="20" t="s">
        <v>1</v>
      </c>
    </row>
    <row r="71" spans="3:6" ht="12.3" x14ac:dyDescent="0.35">
      <c r="C71" s="7"/>
      <c r="D71" s="7"/>
      <c r="E71" s="22" t="s">
        <v>161</v>
      </c>
    </row>
    <row r="72" spans="3:6" ht="12.3" x14ac:dyDescent="0.35">
      <c r="C72" s="7"/>
      <c r="D72" s="17" t="str">
        <f>LEFT(Input_Inflation!D29,9)</f>
        <v>Real 2009</v>
      </c>
      <c r="E72" s="7"/>
    </row>
    <row r="73" spans="3:6" s="7" customFormat="1" ht="12.3" x14ac:dyDescent="0.35">
      <c r="D73" s="17" t="str">
        <f>LEFT(Input_Inflation!D30,9)</f>
        <v>Real 2010</v>
      </c>
    </row>
    <row r="74" spans="3:6" s="7" customFormat="1" ht="12.3" x14ac:dyDescent="0.35">
      <c r="D74" s="17" t="str">
        <f>LEFT(Input_Inflation!D31,9)</f>
        <v>Real 2011</v>
      </c>
    </row>
    <row r="75" spans="3:6" s="7" customFormat="1" ht="12.3" x14ac:dyDescent="0.35">
      <c r="D75" s="17" t="str">
        <f>LEFT(Input_Inflation!D32,9)</f>
        <v>Real 2012</v>
      </c>
    </row>
    <row r="76" spans="3:6" s="7" customFormat="1" ht="12.3" x14ac:dyDescent="0.35">
      <c r="D76" s="17" t="str">
        <f>LEFT(Input_Inflation!D33,9)</f>
        <v>Real 2013</v>
      </c>
    </row>
    <row r="77" spans="3:6" s="7" customFormat="1" ht="12.3" x14ac:dyDescent="0.35">
      <c r="D77" s="17" t="str">
        <f>LEFT(Input_Inflation!D34,9)</f>
        <v>Real 2014</v>
      </c>
    </row>
    <row r="78" spans="3:6" ht="12.3" x14ac:dyDescent="0.35">
      <c r="C78" s="7"/>
      <c r="D78" s="17" t="str">
        <f>LEFT(Input_Inflation!D35,9)</f>
        <v>Real 2015</v>
      </c>
      <c r="E78" s="7"/>
    </row>
    <row r="79" spans="3:6" ht="12.3" x14ac:dyDescent="0.35">
      <c r="C79" s="7"/>
      <c r="D79" s="17" t="str">
        <f>LEFT(Input_Inflation!D36,9)</f>
        <v>Real 2016</v>
      </c>
      <c r="E79" s="7"/>
    </row>
    <row r="80" spans="3:6" s="7" customFormat="1" ht="12.3" x14ac:dyDescent="0.35">
      <c r="D80" s="17" t="str">
        <f>LEFT(Input_Inflation!D37,9)</f>
        <v>Real 2017</v>
      </c>
    </row>
    <row r="81" spans="3:5" s="7" customFormat="1" ht="12.3" x14ac:dyDescent="0.35">
      <c r="D81" s="17" t="str">
        <f>LEFT(Input_Inflation!D38,9)</f>
        <v>Real 2018</v>
      </c>
    </row>
    <row r="82" spans="3:5" s="7" customFormat="1" ht="12.3" x14ac:dyDescent="0.35">
      <c r="D82" s="17" t="str">
        <f>LEFT(Input_Inflation!D39,9)</f>
        <v>Real 2019</v>
      </c>
    </row>
    <row r="83" spans="3:5" s="7" customFormat="1" ht="12.3" x14ac:dyDescent="0.35">
      <c r="D83" s="17" t="str">
        <f>LEFT(Input_Inflation!D40,9)</f>
        <v>Real 2020</v>
      </c>
    </row>
    <row r="84" spans="3:5" s="7" customFormat="1" ht="12.3" x14ac:dyDescent="0.35">
      <c r="D84" s="17" t="str">
        <f>LEFT(Input_Inflation!D41,9)</f>
        <v>Real 2021</v>
      </c>
    </row>
    <row r="85" spans="3:5" s="7" customFormat="1" ht="12.3" x14ac:dyDescent="0.35">
      <c r="D85" s="17" t="str">
        <f>LEFT(Input_Inflation!D42,9)</f>
        <v>Real 2022</v>
      </c>
    </row>
    <row r="86" spans="3:5" s="7" customFormat="1" ht="12.3" x14ac:dyDescent="0.35">
      <c r="D86" s="17" t="str">
        <f>LEFT(Input_Inflation!D43,9)</f>
        <v>Real 2023</v>
      </c>
    </row>
    <row r="87" spans="3:5" ht="12.3" x14ac:dyDescent="0.35">
      <c r="D87" s="17" t="str">
        <f>LEFT(Input_Inflation!D44,9)</f>
        <v>Real 2024</v>
      </c>
    </row>
    <row r="89" spans="3:5" s="13" customFormat="1" ht="14.1" x14ac:dyDescent="0.35">
      <c r="C89" s="13" t="s">
        <v>117</v>
      </c>
    </row>
    <row r="91" spans="3:5" ht="12.3" x14ac:dyDescent="0.35">
      <c r="C91" s="8" t="s">
        <v>89</v>
      </c>
      <c r="D91" s="7"/>
      <c r="E91" s="20" t="s">
        <v>1</v>
      </c>
    </row>
    <row r="92" spans="3:5" ht="12.3" x14ac:dyDescent="0.35">
      <c r="C92" s="7"/>
      <c r="D92" s="22" t="s">
        <v>95</v>
      </c>
      <c r="E92" s="22" t="s">
        <v>96</v>
      </c>
    </row>
    <row r="93" spans="3:5" s="7" customFormat="1" ht="12.3" x14ac:dyDescent="0.35">
      <c r="D93" s="17" t="s">
        <v>90</v>
      </c>
      <c r="E93" s="17" t="s">
        <v>97</v>
      </c>
    </row>
    <row r="94" spans="3:5" s="7" customFormat="1" ht="12.3" x14ac:dyDescent="0.35">
      <c r="D94" s="17" t="s">
        <v>91</v>
      </c>
      <c r="E94" s="17" t="s">
        <v>98</v>
      </c>
    </row>
    <row r="95" spans="3:5" s="7" customFormat="1" ht="12.3" x14ac:dyDescent="0.35">
      <c r="D95" s="17" t="s">
        <v>92</v>
      </c>
      <c r="E95" s="17" t="s">
        <v>99</v>
      </c>
    </row>
    <row r="96" spans="3:5" s="7" customFormat="1" ht="12.3" x14ac:dyDescent="0.35">
      <c r="D96" s="17" t="s">
        <v>93</v>
      </c>
      <c r="E96" s="17" t="s">
        <v>100</v>
      </c>
    </row>
    <row r="97" spans="3:5" s="7" customFormat="1" ht="12.3" x14ac:dyDescent="0.35">
      <c r="D97" s="17" t="s">
        <v>94</v>
      </c>
      <c r="E97" s="17" t="s">
        <v>102</v>
      </c>
    </row>
    <row r="98" spans="3:5" s="7" customFormat="1" x14ac:dyDescent="0.35"/>
    <row r="99" spans="3:5" s="7" customFormat="1" ht="12.3" x14ac:dyDescent="0.35">
      <c r="C99" s="8" t="s">
        <v>106</v>
      </c>
      <c r="E99" s="20" t="s">
        <v>1</v>
      </c>
    </row>
    <row r="100" spans="3:5" s="7" customFormat="1" ht="12.3" x14ac:dyDescent="0.35">
      <c r="E100" s="22" t="s">
        <v>110</v>
      </c>
    </row>
    <row r="101" spans="3:5" s="7" customFormat="1" ht="12.3" x14ac:dyDescent="0.35">
      <c r="D101" s="17" t="s">
        <v>107</v>
      </c>
    </row>
    <row r="102" spans="3:5" s="7" customFormat="1" ht="12.3" x14ac:dyDescent="0.35">
      <c r="D102" s="17" t="s">
        <v>108</v>
      </c>
    </row>
    <row r="103" spans="3:5" s="7" customFormat="1" ht="12.3" x14ac:dyDescent="0.35">
      <c r="D103" s="17" t="s">
        <v>109</v>
      </c>
    </row>
    <row r="104" spans="3:5" s="7" customFormat="1" ht="12.3" x14ac:dyDescent="0.35">
      <c r="D104" s="17" t="s">
        <v>101</v>
      </c>
    </row>
    <row r="105" spans="3:5" s="7" customFormat="1" x14ac:dyDescent="0.35"/>
    <row r="106" spans="3:5" s="7" customFormat="1" ht="12.3" x14ac:dyDescent="0.35">
      <c r="C106" s="8" t="s">
        <v>135</v>
      </c>
      <c r="E106" s="20" t="s">
        <v>1</v>
      </c>
    </row>
    <row r="107" spans="3:5" s="7" customFormat="1" ht="12.3" x14ac:dyDescent="0.35">
      <c r="E107" s="22" t="s">
        <v>138</v>
      </c>
    </row>
    <row r="108" spans="3:5" s="7" customFormat="1" ht="12.3" x14ac:dyDescent="0.35">
      <c r="D108" s="17" t="s">
        <v>137</v>
      </c>
    </row>
    <row r="109" spans="3:5" s="7" customFormat="1" ht="12.3" x14ac:dyDescent="0.35">
      <c r="D109" s="17" t="s">
        <v>136</v>
      </c>
    </row>
    <row r="110" spans="3:5" s="7" customFormat="1" ht="12.3" x14ac:dyDescent="0.35">
      <c r="D110" s="17" t="s">
        <v>139</v>
      </c>
    </row>
    <row r="111" spans="3:5" s="7" customFormat="1" ht="12.3" x14ac:dyDescent="0.35">
      <c r="D111" s="17" t="s">
        <v>140</v>
      </c>
    </row>
    <row r="112" spans="3:5" s="7" customFormat="1" x14ac:dyDescent="0.35"/>
    <row r="113" spans="2:5" s="7" customFormat="1" ht="12.3" x14ac:dyDescent="0.35">
      <c r="C113" s="8" t="s">
        <v>143</v>
      </c>
      <c r="E113" s="20" t="s">
        <v>1</v>
      </c>
    </row>
    <row r="114" spans="2:5" s="7" customFormat="1" ht="12.3" x14ac:dyDescent="0.35">
      <c r="E114" s="22" t="s">
        <v>144</v>
      </c>
    </row>
    <row r="115" spans="2:5" s="7" customFormat="1" ht="12.3" x14ac:dyDescent="0.35">
      <c r="D115" s="17" t="s">
        <v>145</v>
      </c>
    </row>
    <row r="116" spans="2:5" s="7" customFormat="1" ht="12.3" x14ac:dyDescent="0.35">
      <c r="D116" s="17" t="s">
        <v>146</v>
      </c>
    </row>
    <row r="117" spans="2:5" s="7" customFormat="1" ht="12.3" x14ac:dyDescent="0.35">
      <c r="D117" s="17" t="s">
        <v>147</v>
      </c>
    </row>
    <row r="118" spans="2:5" s="7" customFormat="1" ht="12.3" x14ac:dyDescent="0.35">
      <c r="D118" s="17" t="s">
        <v>106</v>
      </c>
    </row>
    <row r="119" spans="2:5" s="7" customFormat="1" ht="12.3" x14ac:dyDescent="0.35">
      <c r="D119" s="17" t="s">
        <v>137</v>
      </c>
    </row>
    <row r="120" spans="2:5" s="7" customFormat="1" ht="12.3" x14ac:dyDescent="0.35">
      <c r="D120" s="17" t="s">
        <v>136</v>
      </c>
    </row>
    <row r="121" spans="2:5" s="7" customFormat="1" ht="12.3" x14ac:dyDescent="0.35">
      <c r="D121" s="17" t="s">
        <v>102</v>
      </c>
    </row>
    <row r="122" spans="2:5" s="7" customFormat="1" ht="12.3" x14ac:dyDescent="0.35">
      <c r="D122" s="17" t="s">
        <v>103</v>
      </c>
    </row>
    <row r="123" spans="2:5" s="7" customFormat="1" ht="12.3" x14ac:dyDescent="0.35">
      <c r="D123" s="17" t="s">
        <v>104</v>
      </c>
    </row>
    <row r="124" spans="2:5" s="7" customFormat="1" ht="12.3" x14ac:dyDescent="0.35">
      <c r="D124" s="17" t="s">
        <v>105</v>
      </c>
    </row>
    <row r="125" spans="2:5" s="7" customFormat="1" ht="12.3" x14ac:dyDescent="0.35">
      <c r="D125" s="75"/>
    </row>
    <row r="126" spans="2:5" s="4" customFormat="1" ht="15" x14ac:dyDescent="0.35">
      <c r="B126" s="4" t="s">
        <v>32</v>
      </c>
    </row>
  </sheetData>
  <conditionalFormatting sqref="B2">
    <cfRule type="cellIs" dxfId="6" priority="1" operator="notEqual">
      <formula>"No Errors Found"</formula>
    </cfRule>
  </conditionalFormatting>
  <hyperlinks>
    <hyperlink ref="B3:E3" location="TOC!A1" display="TOC!A1" xr:uid="{00000000-0004-0000-2B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
  <dimension ref="A1:I57"/>
  <sheetViews>
    <sheetView showGridLines="0" zoomScaleNormal="100" workbookViewId="0">
      <pane xSplit="1" ySplit="4" topLeftCell="B5" activePane="bottomRight" state="frozen"/>
      <selection pane="topRight" activeCell="B1" sqref="B1"/>
      <selection pane="bottomLeft" activeCell="A4" sqref="A4"/>
      <selection pane="bottomRight" activeCell="B5" sqref="B5"/>
    </sheetView>
  </sheetViews>
  <sheetFormatPr defaultRowHeight="10.199999999999999" x14ac:dyDescent="0.35"/>
  <cols>
    <col min="1" max="3" width="2.796875" customWidth="1"/>
    <col min="4" max="4" width="65" customWidth="1"/>
    <col min="5" max="7" width="3.796875" customWidth="1"/>
  </cols>
  <sheetData>
    <row r="1" spans="1:9" ht="18.899999999999999" x14ac:dyDescent="0.35">
      <c r="A1" s="7"/>
      <c r="B1" s="5" t="s">
        <v>15</v>
      </c>
      <c r="C1" s="7"/>
      <c r="D1" s="7"/>
      <c r="E1" s="7"/>
      <c r="F1" s="7"/>
      <c r="G1" s="7"/>
      <c r="H1" s="7"/>
      <c r="I1" s="7"/>
    </row>
    <row r="2" spans="1:9" s="9" customFormat="1" x14ac:dyDescent="0.35">
      <c r="A2" s="7"/>
      <c r="B2" s="18" t="str">
        <f>Title_Msg</f>
        <v>No Errors Found</v>
      </c>
      <c r="C2" s="7"/>
      <c r="D2" s="7"/>
      <c r="E2" s="7"/>
      <c r="F2" s="7"/>
      <c r="G2" s="7"/>
      <c r="H2" s="7"/>
      <c r="I2" s="7"/>
    </row>
    <row r="3" spans="1:9" s="7" customFormat="1" x14ac:dyDescent="0.35">
      <c r="B3" s="55" t="str">
        <f>TOC!B1</f>
        <v>Table of Contents</v>
      </c>
      <c r="C3" s="49"/>
      <c r="D3" s="49"/>
      <c r="E3" s="49"/>
    </row>
    <row r="4" spans="1:9" s="7" customFormat="1" ht="12.3" x14ac:dyDescent="0.35">
      <c r="B4" s="46" t="str">
        <f>Model_Name</f>
        <v>Power and Water Corporation (PWC) - Regulatory Proposal Tables and Charts</v>
      </c>
    </row>
    <row r="5" spans="1:9" s="9" customFormat="1" x14ac:dyDescent="0.35">
      <c r="A5" s="7"/>
      <c r="B5" s="18"/>
      <c r="C5" s="7"/>
      <c r="D5" s="7"/>
      <c r="E5" s="7"/>
      <c r="F5" s="7"/>
      <c r="G5" s="7"/>
      <c r="H5" s="7"/>
      <c r="I5" s="7"/>
    </row>
    <row r="6" spans="1:9" s="25" customFormat="1" ht="15" x14ac:dyDescent="0.35">
      <c r="B6" s="4" t="s">
        <v>17</v>
      </c>
    </row>
    <row r="7" spans="1:9" s="9" customFormat="1" ht="4.3499999999999996" customHeight="1" x14ac:dyDescent="0.35">
      <c r="A7" s="7"/>
      <c r="B7" s="26"/>
      <c r="C7" s="7"/>
      <c r="D7" s="7"/>
      <c r="E7" s="7"/>
      <c r="F7" s="7"/>
      <c r="G7" s="7"/>
      <c r="H7" s="7"/>
      <c r="I7" s="7"/>
    </row>
    <row r="8" spans="1:9" s="9" customFormat="1" ht="12.3" x14ac:dyDescent="0.35">
      <c r="A8" s="7"/>
      <c r="D8" s="11" t="s">
        <v>16</v>
      </c>
      <c r="E8" s="7"/>
      <c r="F8" s="7"/>
      <c r="G8" s="7"/>
      <c r="H8" s="12" t="str">
        <f>IF(H55=0,"No Errors Found","Errors Found")</f>
        <v>No Errors Found</v>
      </c>
      <c r="I8" s="7"/>
    </row>
    <row r="9" spans="1:9" s="9" customFormat="1" ht="12.3" x14ac:dyDescent="0.35">
      <c r="A9" s="7"/>
      <c r="D9" s="11" t="s">
        <v>18</v>
      </c>
      <c r="E9" s="7"/>
      <c r="F9" s="7"/>
      <c r="G9" s="7"/>
      <c r="H9" s="11"/>
      <c r="I9" s="7"/>
    </row>
    <row r="10" spans="1:9" s="9" customFormat="1" ht="12.3" x14ac:dyDescent="0.35">
      <c r="A10" s="7"/>
      <c r="D10" s="11" t="s">
        <v>19</v>
      </c>
      <c r="E10" s="7"/>
      <c r="F10" s="7"/>
      <c r="G10" s="7"/>
      <c r="H10" s="29" t="str">
        <f>H8&amp;IF(H9="","",", " &amp;H9)</f>
        <v>No Errors Found</v>
      </c>
      <c r="I10" s="7"/>
    </row>
    <row r="11" spans="1:9" s="9" customFormat="1" ht="4.3499999999999996" customHeight="1" x14ac:dyDescent="0.35">
      <c r="A11" s="7"/>
      <c r="B11" s="26"/>
      <c r="C11" s="7"/>
      <c r="D11" s="7"/>
      <c r="E11" s="7"/>
      <c r="F11" s="7"/>
      <c r="G11" s="7"/>
      <c r="H11" s="7"/>
      <c r="I11" s="7"/>
    </row>
    <row r="12" spans="1:9" s="25" customFormat="1" ht="15" x14ac:dyDescent="0.35">
      <c r="B12" s="4" t="s">
        <v>31</v>
      </c>
    </row>
    <row r="13" spans="1:9" s="9" customFormat="1" ht="4.3499999999999996" customHeight="1" x14ac:dyDescent="0.35">
      <c r="A13" s="7"/>
      <c r="B13" s="26"/>
      <c r="C13" s="7"/>
      <c r="D13" s="7"/>
      <c r="E13" s="7"/>
      <c r="F13" s="7"/>
      <c r="G13" s="7"/>
      <c r="H13" s="7"/>
      <c r="I13" s="7"/>
    </row>
    <row r="14" spans="1:9" s="13" customFormat="1" ht="14.1" x14ac:dyDescent="0.35">
      <c r="C14" s="13" t="s">
        <v>12</v>
      </c>
    </row>
    <row r="15" spans="1:9" s="9" customFormat="1" ht="4.3499999999999996" customHeight="1" x14ac:dyDescent="0.35">
      <c r="A15" s="7"/>
      <c r="B15" s="26"/>
      <c r="C15" s="7"/>
      <c r="D15" s="7"/>
      <c r="E15" s="7"/>
      <c r="F15" s="7"/>
      <c r="G15" s="7"/>
      <c r="H15" s="7"/>
      <c r="I15" s="7"/>
    </row>
    <row r="16" spans="1:9" s="9" customFormat="1" ht="12.3" x14ac:dyDescent="0.35">
      <c r="C16" s="14" t="s">
        <v>152</v>
      </c>
    </row>
    <row r="17" spans="1:9" s="9" customFormat="1" ht="4.3499999999999996" customHeight="1" x14ac:dyDescent="0.35">
      <c r="A17" s="7"/>
      <c r="B17" s="26"/>
      <c r="C17" s="7"/>
      <c r="D17" s="7"/>
      <c r="E17" s="7"/>
      <c r="F17" s="7"/>
      <c r="G17" s="7"/>
      <c r="H17" s="7"/>
      <c r="I17" s="7"/>
    </row>
    <row r="18" spans="1:9" ht="12.3" x14ac:dyDescent="0.35">
      <c r="A18" s="7"/>
      <c r="D18" s="11" t="str">
        <f>Input_Inflation!B1</f>
        <v>CPI Assumptions and Associated Indexes</v>
      </c>
      <c r="E18" s="7"/>
      <c r="F18" s="7"/>
      <c r="G18" s="7"/>
      <c r="H18" s="70">
        <f>Input_Inflation!A1</f>
        <v>0</v>
      </c>
      <c r="I18" s="7"/>
    </row>
    <row r="19" spans="1:9" s="9" customFormat="1" ht="12.3" x14ac:dyDescent="0.35">
      <c r="A19" s="7"/>
      <c r="D19" s="16" t="str">
        <f>'0'!$B$1</f>
        <v>0. Overview</v>
      </c>
      <c r="E19" s="6"/>
      <c r="F19" s="6"/>
      <c r="G19" s="6"/>
      <c r="H19" s="70">
        <f>'0'!$A$1</f>
        <v>0</v>
      </c>
      <c r="I19" s="7"/>
    </row>
    <row r="20" spans="1:9" s="9" customFormat="1" ht="12.3" x14ac:dyDescent="0.35">
      <c r="A20" s="7"/>
      <c r="D20" s="16" t="str">
        <f>'1'!$B$1</f>
        <v xml:space="preserve">1. About this regulatory proposal </v>
      </c>
      <c r="E20" s="6"/>
      <c r="F20" s="6"/>
      <c r="G20" s="6"/>
      <c r="H20" s="70">
        <f>'1'!$A$1</f>
        <v>0</v>
      </c>
      <c r="I20" s="7"/>
    </row>
    <row r="21" spans="1:9" s="9" customFormat="1" ht="12.3" x14ac:dyDescent="0.35">
      <c r="A21" s="7"/>
      <c r="D21" s="16" t="str">
        <f>'2'!$B$1</f>
        <v xml:space="preserve">2. Next steps and stakeholders’ feedback </v>
      </c>
      <c r="E21" s="6"/>
      <c r="F21" s="6"/>
      <c r="G21" s="6"/>
      <c r="H21" s="70">
        <f>'2'!$A$1</f>
        <v>0</v>
      </c>
      <c r="I21" s="7"/>
    </row>
    <row r="22" spans="1:9" s="9" customFormat="1" ht="12.3" x14ac:dyDescent="0.35">
      <c r="A22" s="7"/>
      <c r="D22" s="16" t="str">
        <f>'3'!$B$1</f>
        <v>3. About PWC</v>
      </c>
      <c r="E22" s="6"/>
      <c r="F22" s="6"/>
      <c r="G22" s="6"/>
      <c r="H22" s="70">
        <f>'3'!$A$1</f>
        <v>0</v>
      </c>
      <c r="I22" s="7"/>
    </row>
    <row r="23" spans="1:9" s="9" customFormat="1" ht="12.3" x14ac:dyDescent="0.35">
      <c r="A23" s="7"/>
      <c r="D23" s="16" t="str">
        <f>'4'!$B$1</f>
        <v>4. Regulatory base line</v>
      </c>
      <c r="E23" s="6"/>
      <c r="F23" s="6"/>
      <c r="G23" s="6"/>
      <c r="H23" s="70">
        <f>'4'!$A$1</f>
        <v>0</v>
      </c>
      <c r="I23" s="7"/>
    </row>
    <row r="24" spans="1:9" s="9" customFormat="1" ht="12.3" x14ac:dyDescent="0.35">
      <c r="A24" s="7"/>
      <c r="D24" s="16" t="str">
        <f>'5'!$B$1</f>
        <v>5. What PWC has delivered</v>
      </c>
      <c r="E24" s="6"/>
      <c r="F24" s="6"/>
      <c r="G24" s="6"/>
      <c r="H24" s="70">
        <f>'5'!$A$1</f>
        <v>0</v>
      </c>
      <c r="I24" s="7"/>
    </row>
    <row r="25" spans="1:9" s="9" customFormat="1" ht="12.3" x14ac:dyDescent="0.35">
      <c r="A25" s="7"/>
      <c r="D25" s="16" t="str">
        <f>'6'!$B$1</f>
        <v>6. What stakeholders are saying</v>
      </c>
      <c r="E25" s="6"/>
      <c r="F25" s="6"/>
      <c r="G25" s="6"/>
      <c r="H25" s="70">
        <f>'6'!$A$1</f>
        <v>0</v>
      </c>
      <c r="I25" s="7"/>
    </row>
    <row r="26" spans="1:9" s="9" customFormat="1" ht="12.3" x14ac:dyDescent="0.35">
      <c r="A26" s="7"/>
      <c r="D26" s="16" t="str">
        <f>'7'!$B$1</f>
        <v>7. What PWC will deliver</v>
      </c>
      <c r="E26" s="6"/>
      <c r="F26" s="6"/>
      <c r="G26" s="6"/>
      <c r="H26" s="70">
        <f>'7'!$A$1</f>
        <v>0</v>
      </c>
      <c r="I26" s="7"/>
    </row>
    <row r="27" spans="1:9" s="9" customFormat="1" ht="12.3" x14ac:dyDescent="0.35">
      <c r="A27" s="7"/>
      <c r="D27" s="16" t="str">
        <f>'8'!$B$1</f>
        <v>8. Response to F&amp;A paper</v>
      </c>
      <c r="E27" s="6"/>
      <c r="F27" s="6"/>
      <c r="G27" s="6"/>
      <c r="H27" s="70">
        <f>'8'!$A$1</f>
        <v>0</v>
      </c>
      <c r="I27" s="7"/>
    </row>
    <row r="28" spans="1:9" s="9" customFormat="1" ht="12.3" x14ac:dyDescent="0.35">
      <c r="A28" s="7"/>
      <c r="D28" s="16" t="str">
        <f>'9'!$B$1</f>
        <v>9. Demand forecasts</v>
      </c>
      <c r="E28" s="6"/>
      <c r="F28" s="6"/>
      <c r="G28" s="6"/>
      <c r="H28" s="70">
        <f>'9'!$A$1</f>
        <v>0</v>
      </c>
      <c r="I28" s="7"/>
    </row>
    <row r="29" spans="1:9" s="9" customFormat="1" ht="12.3" x14ac:dyDescent="0.35">
      <c r="A29" s="7"/>
      <c r="D29" s="16" t="str">
        <f>'10'!$B$1</f>
        <v>10. Capex forecasts</v>
      </c>
      <c r="E29" s="6"/>
      <c r="F29" s="6"/>
      <c r="G29" s="6"/>
      <c r="H29" s="70">
        <f>'10'!$A$1</f>
        <v>0</v>
      </c>
      <c r="I29" s="7"/>
    </row>
    <row r="30" spans="1:9" s="9" customFormat="1" ht="12.3" x14ac:dyDescent="0.35">
      <c r="A30" s="7"/>
      <c r="D30" s="16" t="str">
        <f>'11'!$B$1</f>
        <v>11. Opex forecasts</v>
      </c>
      <c r="E30" s="6"/>
      <c r="F30" s="6"/>
      <c r="G30" s="6"/>
      <c r="H30" s="70">
        <f>'11'!$A$1</f>
        <v>0</v>
      </c>
      <c r="I30" s="7"/>
    </row>
    <row r="31" spans="1:9" s="9" customFormat="1" ht="12.3" x14ac:dyDescent="0.35">
      <c r="A31" s="7"/>
      <c r="D31" s="16" t="str">
        <f>'12'!$B$1</f>
        <v xml:space="preserve">12. Regulatory Asset Base and Depreciation </v>
      </c>
      <c r="E31" s="6"/>
      <c r="F31" s="6"/>
      <c r="G31" s="6"/>
      <c r="H31" s="70">
        <f>'12'!$A$1</f>
        <v>0</v>
      </c>
      <c r="I31" s="7"/>
    </row>
    <row r="32" spans="1:9" s="9" customFormat="1" ht="12.3" x14ac:dyDescent="0.35">
      <c r="A32" s="7"/>
      <c r="D32" s="16" t="str">
        <f>'13'!$B$1</f>
        <v xml:space="preserve">13. Rate of return, inflation and debt and equity raising costs </v>
      </c>
      <c r="E32" s="6"/>
      <c r="F32" s="6"/>
      <c r="G32" s="6"/>
      <c r="H32" s="70">
        <f>'13'!$A$1</f>
        <v>0</v>
      </c>
      <c r="I32" s="7"/>
    </row>
    <row r="33" spans="1:9" s="9" customFormat="1" ht="12.3" x14ac:dyDescent="0.35">
      <c r="A33" s="7"/>
      <c r="D33" s="16" t="str">
        <f>'14'!$B$1</f>
        <v xml:space="preserve">14. Estimated cost of corporate income tax </v>
      </c>
      <c r="E33" s="6"/>
      <c r="F33" s="6"/>
      <c r="G33" s="6"/>
      <c r="H33" s="70">
        <f>'14'!$A$1</f>
        <v>0</v>
      </c>
      <c r="I33" s="7"/>
    </row>
    <row r="34" spans="1:9" s="9" customFormat="1" ht="12.3" x14ac:dyDescent="0.35">
      <c r="A34" s="7"/>
      <c r="D34" s="16" t="str">
        <f>'15'!$B$1</f>
        <v xml:space="preserve">15. Incentive schemes </v>
      </c>
      <c r="E34" s="6"/>
      <c r="F34" s="6"/>
      <c r="G34" s="6"/>
      <c r="H34" s="70">
        <f>'15'!$A$1</f>
        <v>0</v>
      </c>
      <c r="I34" s="7"/>
    </row>
    <row r="35" spans="1:9" s="9" customFormat="1" ht="12.3" x14ac:dyDescent="0.35">
      <c r="A35" s="7"/>
      <c r="D35" s="16" t="str">
        <f>'16'!$B$1</f>
        <v xml:space="preserve">16. Pass through events </v>
      </c>
      <c r="E35" s="6"/>
      <c r="F35" s="6"/>
      <c r="G35" s="6"/>
      <c r="H35" s="70">
        <f>'16'!$A$1</f>
        <v>0</v>
      </c>
      <c r="I35" s="7"/>
    </row>
    <row r="36" spans="1:9" s="9" customFormat="1" ht="12.3" x14ac:dyDescent="0.35">
      <c r="A36" s="7"/>
      <c r="D36" s="16" t="str">
        <f>'17'!$B$1</f>
        <v xml:space="preserve">17. Annual revenue requirements, X-factors </v>
      </c>
      <c r="E36" s="6"/>
      <c r="F36" s="6"/>
      <c r="G36" s="6"/>
      <c r="H36" s="70">
        <f>'17'!$A$1</f>
        <v>0</v>
      </c>
      <c r="I36" s="7"/>
    </row>
    <row r="37" spans="1:9" s="9" customFormat="1" ht="12.3" x14ac:dyDescent="0.35">
      <c r="A37" s="7"/>
      <c r="D37" s="16" t="str">
        <f>'18'!$B$1</f>
        <v>18. Metering services</v>
      </c>
      <c r="E37" s="6"/>
      <c r="F37" s="6"/>
      <c r="G37" s="6"/>
      <c r="H37" s="70">
        <f>'18'!$A$1</f>
        <v>0</v>
      </c>
      <c r="I37" s="7"/>
    </row>
    <row r="38" spans="1:9" s="9" customFormat="1" ht="12.3" x14ac:dyDescent="0.35">
      <c r="A38" s="7"/>
      <c r="D38" s="16" t="str">
        <f>'19'!$B$1</f>
        <v>19. Fee-based and Quoted ACS</v>
      </c>
      <c r="E38" s="6"/>
      <c r="F38" s="6"/>
      <c r="G38" s="6"/>
      <c r="H38" s="70">
        <f>'19'!$A$1</f>
        <v>0</v>
      </c>
      <c r="I38" s="7"/>
    </row>
    <row r="39" spans="1:9" s="9" customFormat="1" ht="12.3" x14ac:dyDescent="0.35">
      <c r="A39" s="7"/>
      <c r="D39" s="16" t="str">
        <f>'20'!$B$1</f>
        <v>20. Public lighting</v>
      </c>
      <c r="E39" s="6"/>
      <c r="F39" s="6"/>
      <c r="G39" s="6"/>
      <c r="H39" s="70">
        <f>'20'!$A$1</f>
        <v>0</v>
      </c>
      <c r="I39" s="7"/>
    </row>
    <row r="40" spans="1:9" s="9" customFormat="1" ht="12.3" x14ac:dyDescent="0.35">
      <c r="A40" s="7"/>
      <c r="D40" s="16" t="str">
        <f>'21'!$B$1</f>
        <v xml:space="preserve">21. Indicative prices and bill impacts </v>
      </c>
      <c r="E40" s="6"/>
      <c r="F40" s="6"/>
      <c r="G40" s="6"/>
      <c r="H40" s="70">
        <f>'21'!$A$1</f>
        <v>0</v>
      </c>
      <c r="I40" s="7"/>
    </row>
    <row r="41" spans="1:9" s="9" customFormat="1" ht="12.3" x14ac:dyDescent="0.35">
      <c r="A41" s="7"/>
      <c r="D41" s="16" t="str">
        <f>'22'!$B$1</f>
        <v xml:space="preserve">22. Negotiating Framework </v>
      </c>
      <c r="E41" s="6"/>
      <c r="F41" s="6"/>
      <c r="G41" s="6"/>
      <c r="H41" s="70">
        <f>'22'!$A$1</f>
        <v>0</v>
      </c>
      <c r="I41" s="7"/>
    </row>
    <row r="42" spans="1:9" s="9" customFormat="1" ht="12.3" x14ac:dyDescent="0.35">
      <c r="A42" s="7"/>
      <c r="D42" s="16" t="str">
        <f>'23'!$B$1</f>
        <v xml:space="preserve">23. Confidentiality </v>
      </c>
      <c r="E42" s="6"/>
      <c r="F42" s="6"/>
      <c r="G42" s="6"/>
      <c r="H42" s="70">
        <f>'23'!$A$1</f>
        <v>0</v>
      </c>
      <c r="I42" s="7"/>
    </row>
    <row r="43" spans="1:9" s="9" customFormat="1" ht="12.3" x14ac:dyDescent="0.35">
      <c r="A43" s="7"/>
      <c r="D43" s="16" t="str">
        <f>'24'!$B$1</f>
        <v xml:space="preserve">24. Certifications </v>
      </c>
      <c r="E43" s="6"/>
      <c r="F43" s="6"/>
      <c r="G43" s="6"/>
      <c r="H43" s="70">
        <f>'24'!$A$1</f>
        <v>0</v>
      </c>
      <c r="I43" s="7"/>
    </row>
    <row r="44" spans="1:9" s="9" customFormat="1" ht="12.3" x14ac:dyDescent="0.35">
      <c r="A44" s="7"/>
      <c r="D44" s="16" t="str">
        <f>'25'!$B$1</f>
        <v>25. Abbreviations</v>
      </c>
      <c r="E44" s="6"/>
      <c r="F44" s="6"/>
      <c r="G44" s="6"/>
      <c r="H44" s="70">
        <f>'25'!$A$1</f>
        <v>0</v>
      </c>
      <c r="I44" s="7"/>
    </row>
    <row r="45" spans="1:9" s="9" customFormat="1" ht="12.3" x14ac:dyDescent="0.35">
      <c r="A45" s="7"/>
      <c r="D45" s="16" t="str">
        <f>ROD_A!B1</f>
        <v>Return on Debt Transition Attachment</v>
      </c>
      <c r="E45" s="6"/>
      <c r="F45" s="6"/>
      <c r="G45" s="6"/>
      <c r="H45" s="70">
        <f>ROD_A!A1</f>
        <v>0</v>
      </c>
      <c r="I45" s="7"/>
    </row>
    <row r="46" spans="1:9" s="9" customFormat="1" ht="12.3" x14ac:dyDescent="0.35">
      <c r="A46" s="7"/>
      <c r="D46" s="16" t="str">
        <f>RAB_A!B1</f>
        <v>Establishing the Opening RAB Attachment</v>
      </c>
      <c r="E46" s="6"/>
      <c r="F46" s="6"/>
      <c r="G46" s="6"/>
      <c r="H46" s="70">
        <f>RAB_A!A1</f>
        <v>0</v>
      </c>
      <c r="I46" s="7"/>
    </row>
    <row r="47" spans="1:9" s="9" customFormat="1" ht="12.3" x14ac:dyDescent="0.35">
      <c r="A47" s="7"/>
      <c r="D47" s="16" t="str">
        <f>TAB_A!B1</f>
        <v>Establishing the Opening TAB Attachment</v>
      </c>
      <c r="E47" s="6"/>
      <c r="F47" s="6"/>
      <c r="G47" s="6"/>
      <c r="H47" s="70">
        <f>TAB_A!A1</f>
        <v>0</v>
      </c>
      <c r="I47" s="7"/>
    </row>
    <row r="48" spans="1:9" s="9" customFormat="1" ht="12.3" x14ac:dyDescent="0.35">
      <c r="A48" s="7"/>
      <c r="D48" s="16" t="str">
        <f>CUSTOMER_O!B1</f>
        <v>Customer Overview</v>
      </c>
      <c r="E48" s="6"/>
      <c r="F48" s="6"/>
      <c r="G48" s="6"/>
      <c r="H48" s="70">
        <f>CUSTOMER_O!A1</f>
        <v>0</v>
      </c>
      <c r="I48" s="7"/>
    </row>
    <row r="49" spans="1:9" s="9" customFormat="1" ht="12.3" x14ac:dyDescent="0.35">
      <c r="A49" s="7"/>
      <c r="D49" s="16" t="str">
        <f>CAPEX_O!$B$1</f>
        <v>Capex overview</v>
      </c>
      <c r="E49" s="6"/>
      <c r="F49" s="6"/>
      <c r="G49" s="6"/>
      <c r="H49" s="70">
        <f>CAPEX_O!$A$1</f>
        <v>0</v>
      </c>
      <c r="I49" s="7"/>
    </row>
    <row r="50" spans="1:9" s="9" customFormat="1" ht="12.3" x14ac:dyDescent="0.35">
      <c r="A50" s="7"/>
      <c r="D50" s="16" t="str">
        <f>CONNECT_O!$B$1</f>
        <v>Connection justification document</v>
      </c>
      <c r="E50" s="6"/>
      <c r="F50" s="6"/>
      <c r="G50" s="6"/>
      <c r="H50" s="70">
        <f>CONNECT_O!$A$1</f>
        <v>0</v>
      </c>
      <c r="I50" s="7"/>
    </row>
    <row r="51" spans="1:9" s="9" customFormat="1" ht="12.3" x14ac:dyDescent="0.35">
      <c r="A51" s="7"/>
      <c r="D51" s="16" t="str">
        <f>ACS_O!$B$1</f>
        <v>Alternative Control Services Metering Overview</v>
      </c>
      <c r="E51" s="6"/>
      <c r="F51" s="6"/>
      <c r="G51" s="6"/>
      <c r="H51" s="70">
        <f>ACS_O!$A$1</f>
        <v>0</v>
      </c>
      <c r="I51" s="7"/>
    </row>
    <row r="52" spans="1:9" s="9" customFormat="1" ht="12.3" x14ac:dyDescent="0.35">
      <c r="A52" s="7"/>
      <c r="D52" s="16" t="str">
        <f>TSS!$B$1</f>
        <v>Tariff Structure Statement</v>
      </c>
      <c r="E52" s="6"/>
      <c r="F52" s="6"/>
      <c r="G52" s="6"/>
      <c r="H52" s="70">
        <f>TSS!$A$1</f>
        <v>0</v>
      </c>
      <c r="I52" s="7"/>
    </row>
    <row r="53" spans="1:9" s="9" customFormat="1" ht="12.3" x14ac:dyDescent="0.35">
      <c r="A53" s="7"/>
      <c r="D53" s="16" t="str">
        <f>TSS_O!$B$1</f>
        <v>Tariff Structure Statement Overview</v>
      </c>
      <c r="E53" s="6"/>
      <c r="F53" s="6"/>
      <c r="G53" s="6"/>
      <c r="H53" s="70">
        <f>TSS_O!$A$1</f>
        <v>0</v>
      </c>
      <c r="I53" s="7"/>
    </row>
    <row r="54" spans="1:9" s="9" customFormat="1" ht="4.3499999999999996" customHeight="1" x14ac:dyDescent="0.35">
      <c r="A54" s="7"/>
      <c r="B54" s="26"/>
      <c r="C54" s="7"/>
      <c r="D54" s="7"/>
      <c r="E54" s="7"/>
      <c r="F54" s="7"/>
      <c r="G54" s="7"/>
      <c r="H54" s="7"/>
      <c r="I54" s="7"/>
    </row>
    <row r="55" spans="1:9" ht="12.3" x14ac:dyDescent="0.35">
      <c r="C55" s="14" t="s">
        <v>48</v>
      </c>
      <c r="H55" s="28">
        <f>IF(SUM(H18:H53)=0,0,1)</f>
        <v>0</v>
      </c>
    </row>
    <row r="56" spans="1:9" s="9" customFormat="1" ht="4.3499999999999996" customHeight="1" x14ac:dyDescent="0.35">
      <c r="A56" s="7"/>
      <c r="B56" s="26"/>
      <c r="C56" s="7"/>
      <c r="D56" s="7"/>
      <c r="E56" s="7"/>
      <c r="F56" s="7"/>
      <c r="G56" s="7"/>
      <c r="H56" s="7"/>
      <c r="I56" s="7"/>
    </row>
    <row r="57" spans="1:9" s="13" customFormat="1" ht="14.1" x14ac:dyDescent="0.35">
      <c r="C57" s="13" t="s">
        <v>32</v>
      </c>
    </row>
  </sheetData>
  <conditionalFormatting sqref="B7 B2 B5">
    <cfRule type="cellIs" dxfId="5" priority="21" operator="notEqual">
      <formula>"No Errors Found"</formula>
    </cfRule>
  </conditionalFormatting>
  <conditionalFormatting sqref="B11">
    <cfRule type="cellIs" dxfId="4" priority="18" operator="notEqual">
      <formula>"No Errors Found"</formula>
    </cfRule>
  </conditionalFormatting>
  <conditionalFormatting sqref="B13">
    <cfRule type="cellIs" dxfId="3" priority="17" operator="notEqual">
      <formula>"No Errors Found"</formula>
    </cfRule>
  </conditionalFormatting>
  <conditionalFormatting sqref="B15 B17">
    <cfRule type="cellIs" dxfId="2" priority="16" operator="notEqual">
      <formula>"No Errors Found"</formula>
    </cfRule>
  </conditionalFormatting>
  <conditionalFormatting sqref="B54">
    <cfRule type="cellIs" dxfId="1" priority="15" operator="notEqual">
      <formula>"No Errors Found"</formula>
    </cfRule>
  </conditionalFormatting>
  <conditionalFormatting sqref="B56">
    <cfRule type="cellIs" dxfId="0" priority="14" operator="notEqual">
      <formula>"No Errors Found"</formula>
    </cfRule>
  </conditionalFormatting>
  <hyperlinks>
    <hyperlink ref="B3:E3" location="TOC!A1" display="TOC!A1" xr:uid="{00000000-0004-0000-2C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A75"/>
  <sheetViews>
    <sheetView showGridLines="0" zoomScaleNormal="10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0.199999999999999" x14ac:dyDescent="0.35"/>
  <cols>
    <col min="1" max="3" width="2.796875" style="95" customWidth="1"/>
    <col min="4" max="4" width="42.33203125" style="95" customWidth="1"/>
    <col min="5" max="14" width="10.6640625" style="95" customWidth="1"/>
    <col min="15" max="15" width="18" style="95" customWidth="1"/>
    <col min="16" max="19" width="10.6640625" style="95" customWidth="1"/>
    <col min="20" max="16384" width="9.1328125" style="95"/>
  </cols>
  <sheetData>
    <row r="1" spans="2:25" ht="18.899999999999999" x14ac:dyDescent="0.35">
      <c r="B1" s="94" t="s">
        <v>380</v>
      </c>
    </row>
    <row r="2" spans="2:25" x14ac:dyDescent="0.35">
      <c r="B2" s="96" t="str">
        <f>Title_Msg</f>
        <v>No Errors Found</v>
      </c>
    </row>
    <row r="3" spans="2:25" ht="12.3" x14ac:dyDescent="0.35">
      <c r="B3" s="97" t="s">
        <v>51</v>
      </c>
      <c r="C3" s="97"/>
      <c r="D3" s="97"/>
      <c r="E3" s="98"/>
    </row>
    <row r="4" spans="2:25" ht="12.3" x14ac:dyDescent="0.35">
      <c r="B4" s="99" t="str">
        <f>Model_Name</f>
        <v>Power and Water Corporation (PWC) - Regulatory Proposal Tables and Charts</v>
      </c>
    </row>
    <row r="6" spans="2:25" s="139" customFormat="1" ht="12.9" x14ac:dyDescent="0.35">
      <c r="B6" s="139" t="s">
        <v>221</v>
      </c>
    </row>
    <row r="7" spans="2:25" s="100" customFormat="1" ht="4.5" customHeight="1" x14ac:dyDescent="0.35"/>
    <row r="8" spans="2:25" s="162" customFormat="1" ht="14.4" x14ac:dyDescent="0.35">
      <c r="C8" s="162" t="str">
        <f>P25&amp;" - "&amp;P26&amp;" - "&amp;P29</f>
        <v>Revenue Summary - Nominal - SCS</v>
      </c>
      <c r="M8" s="175"/>
    </row>
    <row r="9" spans="2:25" s="137" customFormat="1" ht="12.9" x14ac:dyDescent="0.5">
      <c r="C9" s="527"/>
      <c r="D9" s="527"/>
      <c r="E9" s="527"/>
      <c r="F9" s="527"/>
      <c r="G9" s="527"/>
      <c r="H9" s="527"/>
      <c r="I9" s="527"/>
      <c r="J9" s="527"/>
      <c r="K9" s="527"/>
      <c r="L9" s="527"/>
      <c r="M9" s="527"/>
      <c r="N9" s="527"/>
    </row>
    <row r="10" spans="2:25" s="137" customFormat="1" ht="12.9" x14ac:dyDescent="0.5">
      <c r="C10" s="527"/>
      <c r="D10" s="527"/>
      <c r="E10" s="527"/>
      <c r="F10" s="527"/>
      <c r="G10" s="527"/>
      <c r="H10" s="527"/>
      <c r="I10" s="527"/>
      <c r="J10" s="527"/>
      <c r="K10" s="527"/>
      <c r="L10" s="527"/>
      <c r="M10" s="527"/>
      <c r="N10" s="527"/>
      <c r="O10" s="316"/>
      <c r="P10" s="676" t="s">
        <v>929</v>
      </c>
      <c r="Q10" s="676"/>
      <c r="R10" s="676"/>
      <c r="S10" s="676"/>
      <c r="T10" s="676"/>
      <c r="U10" s="676" t="s">
        <v>930</v>
      </c>
      <c r="V10" s="676"/>
      <c r="W10" s="676"/>
      <c r="X10" s="676"/>
      <c r="Y10" s="676"/>
    </row>
    <row r="11" spans="2:25" s="137" customFormat="1" ht="12.9" x14ac:dyDescent="0.5">
      <c r="C11" s="527"/>
      <c r="D11" s="527"/>
      <c r="E11" s="527"/>
      <c r="F11" s="527"/>
      <c r="G11" s="527"/>
      <c r="H11" s="527"/>
      <c r="I11" s="527"/>
      <c r="J11" s="527"/>
      <c r="K11" s="527"/>
      <c r="L11" s="527"/>
      <c r="M11" s="527"/>
      <c r="N11" s="527"/>
      <c r="O11" s="101" t="s">
        <v>178</v>
      </c>
      <c r="P11" s="359" t="str">
        <f>Lookup!P$20</f>
        <v>RY15</v>
      </c>
      <c r="Q11" s="359" t="str">
        <f>Lookup!Q$20</f>
        <v>RY16</v>
      </c>
      <c r="R11" s="359" t="str">
        <f>Lookup!R$20</f>
        <v>RY17</v>
      </c>
      <c r="S11" s="359" t="str">
        <f>Lookup!S$20</f>
        <v>RY18</v>
      </c>
      <c r="T11" s="360" t="str">
        <f>Lookup!T$20</f>
        <v>RY19</v>
      </c>
      <c r="U11" s="359" t="str">
        <f>Lookup!U$20</f>
        <v>RY20</v>
      </c>
      <c r="V11" s="359" t="str">
        <f>Lookup!V$20</f>
        <v>RY21</v>
      </c>
      <c r="W11" s="359" t="str">
        <f>Lookup!W$20</f>
        <v>RY22</v>
      </c>
      <c r="X11" s="359" t="str">
        <f>Lookup!X$20</f>
        <v>RY23</v>
      </c>
      <c r="Y11" s="359" t="str">
        <f>Lookup!Y$20</f>
        <v>RY24</v>
      </c>
    </row>
    <row r="12" spans="2:25" s="137" customFormat="1" ht="12.9" x14ac:dyDescent="0.5">
      <c r="C12" s="527"/>
      <c r="D12" s="527"/>
      <c r="E12" s="527"/>
      <c r="F12" s="527"/>
      <c r="G12" s="527"/>
      <c r="H12" s="527"/>
      <c r="I12" s="527"/>
      <c r="J12" s="527"/>
      <c r="K12" s="527"/>
      <c r="L12" s="527"/>
      <c r="M12" s="527"/>
      <c r="N12" s="527"/>
      <c r="O12" s="322"/>
      <c r="P12" s="361"/>
      <c r="Q12" s="361"/>
      <c r="R12" s="361"/>
      <c r="S12" s="361"/>
      <c r="T12" s="362"/>
      <c r="U12" s="361"/>
      <c r="V12" s="361"/>
      <c r="W12" s="361"/>
      <c r="X12" s="361"/>
      <c r="Y12" s="361"/>
    </row>
    <row r="13" spans="2:25" s="137" customFormat="1" ht="12.9" x14ac:dyDescent="0.5">
      <c r="C13" s="527"/>
      <c r="D13" s="527"/>
      <c r="E13" s="527"/>
      <c r="F13" s="527"/>
      <c r="G13" s="527"/>
      <c r="H13" s="527"/>
      <c r="I13" s="527"/>
      <c r="J13" s="527"/>
      <c r="K13" s="527"/>
      <c r="L13" s="527"/>
      <c r="M13" s="527"/>
      <c r="N13" s="527"/>
      <c r="O13" s="102" t="s">
        <v>919</v>
      </c>
      <c r="P13" s="363">
        <f t="shared" ref="P13:T16" si="0">J$70*(J55/J$60)</f>
        <v>28.490464006480725</v>
      </c>
      <c r="Q13" s="363">
        <f t="shared" si="0"/>
        <v>34.143121076443251</v>
      </c>
      <c r="R13" s="363">
        <f t="shared" si="0"/>
        <v>31.90165004523816</v>
      </c>
      <c r="S13" s="363">
        <f t="shared" si="0"/>
        <v>34.505409841174924</v>
      </c>
      <c r="T13" s="364">
        <f t="shared" si="0"/>
        <v>37.850963199394336</v>
      </c>
      <c r="U13" s="363">
        <f t="shared" ref="U13:Y16" si="1">O$70*(O39/O$44)</f>
        <v>24.608747246603439</v>
      </c>
      <c r="V13" s="363">
        <f t="shared" si="1"/>
        <v>29.033720024002978</v>
      </c>
      <c r="W13" s="363">
        <f t="shared" si="1"/>
        <v>31.561292751106805</v>
      </c>
      <c r="X13" s="363">
        <f t="shared" si="1"/>
        <v>35.807226085283396</v>
      </c>
      <c r="Y13" s="363">
        <f t="shared" si="1"/>
        <v>40.140571274283083</v>
      </c>
    </row>
    <row r="14" spans="2:25" s="137" customFormat="1" ht="12.9" x14ac:dyDescent="0.5">
      <c r="C14" s="527"/>
      <c r="D14" s="527"/>
      <c r="E14" s="527"/>
      <c r="F14" s="527"/>
      <c r="G14" s="527"/>
      <c r="H14" s="527"/>
      <c r="I14" s="527"/>
      <c r="J14" s="527"/>
      <c r="K14" s="527"/>
      <c r="L14" s="527"/>
      <c r="M14" s="527"/>
      <c r="N14" s="527"/>
      <c r="O14" s="102" t="s">
        <v>914</v>
      </c>
      <c r="P14" s="363">
        <f t="shared" si="0"/>
        <v>103.2108422725609</v>
      </c>
      <c r="Q14" s="363">
        <f t="shared" si="0"/>
        <v>108.43259131820697</v>
      </c>
      <c r="R14" s="363">
        <f t="shared" si="0"/>
        <v>114.762519910039</v>
      </c>
      <c r="S14" s="363">
        <f t="shared" si="0"/>
        <v>109.41155678634661</v>
      </c>
      <c r="T14" s="364">
        <f t="shared" si="0"/>
        <v>103.71100069523501</v>
      </c>
      <c r="U14" s="363">
        <f t="shared" si="1"/>
        <v>67.647425813700139</v>
      </c>
      <c r="V14" s="363">
        <f t="shared" si="1"/>
        <v>69.296915708330516</v>
      </c>
      <c r="W14" s="363">
        <f t="shared" si="1"/>
        <v>73.183662994157686</v>
      </c>
      <c r="X14" s="363">
        <f t="shared" si="1"/>
        <v>75.707196212936566</v>
      </c>
      <c r="Y14" s="363">
        <f t="shared" si="1"/>
        <v>79.275153273135629</v>
      </c>
    </row>
    <row r="15" spans="2:25" s="137" customFormat="1" ht="12.9" x14ac:dyDescent="0.5">
      <c r="C15" s="527"/>
      <c r="D15" s="527"/>
      <c r="E15" s="527"/>
      <c r="F15" s="527"/>
      <c r="G15" s="527"/>
      <c r="H15" s="527"/>
      <c r="I15" s="527"/>
      <c r="J15" s="527"/>
      <c r="K15" s="527"/>
      <c r="L15" s="527"/>
      <c r="M15" s="527"/>
      <c r="N15" s="527"/>
      <c r="O15" s="102" t="s">
        <v>913</v>
      </c>
      <c r="P15" s="363">
        <f t="shared" si="0"/>
        <v>7.3685716277492181</v>
      </c>
      <c r="Q15" s="363">
        <f t="shared" si="0"/>
        <v>8.685697290987056</v>
      </c>
      <c r="R15" s="363">
        <f t="shared" si="0"/>
        <v>10.053368420189708</v>
      </c>
      <c r="S15" s="363">
        <f t="shared" si="0"/>
        <v>10.958521346319987</v>
      </c>
      <c r="T15" s="364">
        <f t="shared" si="0"/>
        <v>11.979803846394363</v>
      </c>
      <c r="U15" s="363">
        <f t="shared" si="1"/>
        <v>6.8176419702615176E-2</v>
      </c>
      <c r="V15" s="363">
        <f t="shared" si="1"/>
        <v>7.4864690253208147E-2</v>
      </c>
      <c r="W15" s="363">
        <f t="shared" si="1"/>
        <v>8.0298936060156631E-2</v>
      </c>
      <c r="X15" s="363">
        <f t="shared" si="1"/>
        <v>8.7170176293116255E-2</v>
      </c>
      <c r="Y15" s="363">
        <f t="shared" si="1"/>
        <v>9.3654690522419634E-2</v>
      </c>
    </row>
    <row r="16" spans="2:25" s="137" customFormat="1" ht="12.9" x14ac:dyDescent="0.5">
      <c r="C16" s="527"/>
      <c r="D16" s="527"/>
      <c r="E16" s="527"/>
      <c r="F16" s="527"/>
      <c r="G16" s="527"/>
      <c r="H16" s="527"/>
      <c r="I16" s="527"/>
      <c r="J16" s="527"/>
      <c r="K16" s="527"/>
      <c r="L16" s="527"/>
      <c r="M16" s="527"/>
      <c r="N16" s="527"/>
      <c r="O16" s="102" t="s">
        <v>912</v>
      </c>
      <c r="P16" s="363">
        <f t="shared" si="0"/>
        <v>0</v>
      </c>
      <c r="Q16" s="363">
        <f t="shared" si="0"/>
        <v>0</v>
      </c>
      <c r="R16" s="363">
        <f t="shared" si="0"/>
        <v>0</v>
      </c>
      <c r="S16" s="363">
        <f t="shared" si="0"/>
        <v>0</v>
      </c>
      <c r="T16" s="364">
        <f t="shared" si="0"/>
        <v>0</v>
      </c>
      <c r="U16" s="363">
        <f t="shared" si="1"/>
        <v>8.2051513294607066</v>
      </c>
      <c r="V16" s="363">
        <f t="shared" si="1"/>
        <v>7.7985115617649585</v>
      </c>
      <c r="W16" s="363">
        <f t="shared" si="1"/>
        <v>7.377842954263123</v>
      </c>
      <c r="X16" s="363">
        <f t="shared" si="1"/>
        <v>6.8581163200322157</v>
      </c>
      <c r="Y16" s="363">
        <f t="shared" si="1"/>
        <v>7.1855425294599264</v>
      </c>
    </row>
    <row r="17" spans="3:25" s="137" customFormat="1" ht="12.9" x14ac:dyDescent="0.5">
      <c r="C17" s="527"/>
      <c r="D17" s="527"/>
      <c r="E17" s="527"/>
      <c r="F17" s="527"/>
      <c r="G17" s="527"/>
      <c r="H17" s="527"/>
      <c r="I17" s="527"/>
      <c r="J17" s="527"/>
      <c r="K17" s="527"/>
      <c r="L17" s="527"/>
      <c r="M17" s="527"/>
      <c r="N17" s="527"/>
      <c r="O17" s="102" t="s">
        <v>918</v>
      </c>
      <c r="P17" s="363">
        <f>J$70*(J54/J$60)</f>
        <v>40.126182048622823</v>
      </c>
      <c r="Q17" s="363">
        <f>K$70*(K54/K$60)</f>
        <v>45.599081075941257</v>
      </c>
      <c r="R17" s="363">
        <f>L$70*(L54/L$60)</f>
        <v>49.475517671645832</v>
      </c>
      <c r="S17" s="363">
        <f>M$70*(M54/M$60)</f>
        <v>50.184331037236213</v>
      </c>
      <c r="T17" s="364">
        <f>N$70*(N54/N$60)</f>
        <v>51.436027342449563</v>
      </c>
      <c r="U17" s="363">
        <f>O$70*(O38/O$44)</f>
        <v>64.469113068697538</v>
      </c>
      <c r="V17" s="363">
        <f>P$70*(P38/P$44)</f>
        <v>68.501151446101417</v>
      </c>
      <c r="W17" s="363">
        <f>Q$70*(Q38/Q$44)</f>
        <v>72.779632896917192</v>
      </c>
      <c r="X17" s="363">
        <f>R$70*(R38/R$44)</f>
        <v>77.405198248589372</v>
      </c>
      <c r="Y17" s="363">
        <f>S$70*(S38/S$44)</f>
        <v>80.692339197884934</v>
      </c>
    </row>
    <row r="18" spans="3:25" s="137" customFormat="1" ht="12.9" x14ac:dyDescent="0.5">
      <c r="C18" s="527"/>
      <c r="D18" s="527"/>
      <c r="E18" s="527"/>
      <c r="F18" s="527"/>
      <c r="G18" s="527"/>
      <c r="H18" s="527"/>
      <c r="I18" s="527"/>
      <c r="J18" s="527"/>
      <c r="K18" s="527"/>
      <c r="L18" s="527"/>
      <c r="M18" s="527"/>
      <c r="N18" s="527"/>
      <c r="O18" s="102"/>
      <c r="P18" s="365"/>
      <c r="Q18" s="365"/>
      <c r="R18" s="365"/>
      <c r="S18" s="365"/>
      <c r="T18" s="366"/>
      <c r="U18" s="365"/>
      <c r="V18" s="365"/>
      <c r="W18" s="365"/>
      <c r="X18" s="365"/>
      <c r="Y18" s="365"/>
    </row>
    <row r="19" spans="3:25" s="137" customFormat="1" ht="12.9" x14ac:dyDescent="0.5">
      <c r="C19" s="527"/>
      <c r="D19" s="527"/>
      <c r="E19" s="527"/>
      <c r="F19" s="527"/>
      <c r="G19" s="527"/>
      <c r="H19" s="527"/>
      <c r="I19" s="527"/>
      <c r="J19" s="527"/>
      <c r="K19" s="527"/>
      <c r="L19" s="527"/>
      <c r="M19" s="527"/>
      <c r="N19" s="527"/>
      <c r="O19" s="102" t="s">
        <v>112</v>
      </c>
      <c r="P19" s="367">
        <f t="shared" ref="P19:Y19" si="2">SUM(P13:P17)</f>
        <v>179.19605995541366</v>
      </c>
      <c r="Q19" s="367">
        <f t="shared" si="2"/>
        <v>196.86049076157855</v>
      </c>
      <c r="R19" s="367">
        <f t="shared" si="2"/>
        <v>206.19305604711272</v>
      </c>
      <c r="S19" s="367">
        <f t="shared" si="2"/>
        <v>205.05981901107774</v>
      </c>
      <c r="T19" s="368">
        <f t="shared" si="2"/>
        <v>204.97779508347327</v>
      </c>
      <c r="U19" s="367">
        <f t="shared" si="2"/>
        <v>164.99861387816443</v>
      </c>
      <c r="V19" s="367">
        <f t="shared" si="2"/>
        <v>174.70516343045307</v>
      </c>
      <c r="W19" s="367">
        <f t="shared" si="2"/>
        <v>184.98273053250495</v>
      </c>
      <c r="X19" s="367">
        <f t="shared" si="2"/>
        <v>195.86490704313465</v>
      </c>
      <c r="Y19" s="367">
        <f t="shared" si="2"/>
        <v>207.38726096528598</v>
      </c>
    </row>
    <row r="20" spans="3:25" s="137" customFormat="1" ht="12.9" x14ac:dyDescent="0.5">
      <c r="C20" s="527"/>
      <c r="D20" s="527"/>
      <c r="E20" s="527"/>
      <c r="F20" s="527"/>
      <c r="G20" s="527"/>
      <c r="H20" s="527"/>
      <c r="I20" s="527"/>
      <c r="J20" s="527"/>
      <c r="K20" s="527"/>
      <c r="L20" s="527"/>
      <c r="M20" s="527"/>
      <c r="N20" s="527"/>
      <c r="U20" s="612"/>
    </row>
    <row r="21" spans="3:25" s="137" customFormat="1" ht="12.9" x14ac:dyDescent="0.5">
      <c r="C21" s="527"/>
      <c r="D21" s="527"/>
      <c r="E21" s="527"/>
      <c r="F21" s="527"/>
      <c r="G21" s="527"/>
      <c r="H21" s="527"/>
      <c r="I21" s="527"/>
      <c r="J21" s="527"/>
      <c r="K21" s="527"/>
      <c r="L21" s="527"/>
      <c r="M21" s="527"/>
      <c r="N21" s="527"/>
    </row>
    <row r="22" spans="3:25" s="137" customFormat="1" ht="12.9" x14ac:dyDescent="0.5">
      <c r="C22" s="527"/>
      <c r="D22" s="527"/>
      <c r="E22" s="527"/>
      <c r="F22" s="527"/>
      <c r="G22" s="527"/>
      <c r="H22" s="527"/>
      <c r="I22" s="527"/>
      <c r="J22" s="527"/>
      <c r="K22" s="527"/>
      <c r="L22" s="527"/>
      <c r="M22" s="527"/>
      <c r="N22" s="527"/>
    </row>
    <row r="23" spans="3:25" s="137" customFormat="1" ht="12.9" x14ac:dyDescent="0.5">
      <c r="C23" s="527"/>
      <c r="D23" s="527"/>
      <c r="E23" s="527"/>
      <c r="F23" s="527"/>
      <c r="G23" s="527"/>
      <c r="H23" s="527"/>
      <c r="I23" s="527"/>
      <c r="J23" s="527"/>
      <c r="K23" s="527"/>
      <c r="L23" s="527"/>
      <c r="M23" s="527"/>
      <c r="N23" s="527"/>
    </row>
    <row r="24" spans="3:25" s="137" customFormat="1" ht="12.9" x14ac:dyDescent="0.5">
      <c r="C24" s="527"/>
      <c r="D24" s="527"/>
      <c r="E24" s="527"/>
      <c r="F24" s="527"/>
      <c r="G24" s="527"/>
      <c r="H24" s="527"/>
      <c r="I24" s="527"/>
      <c r="J24" s="527"/>
      <c r="K24" s="527"/>
      <c r="L24" s="527"/>
      <c r="M24" s="527"/>
      <c r="N24" s="527"/>
    </row>
    <row r="25" spans="3:25" s="137" customFormat="1" ht="12.9" x14ac:dyDescent="0.5">
      <c r="C25" s="527"/>
      <c r="D25" s="527"/>
      <c r="E25" s="527"/>
      <c r="F25" s="527"/>
      <c r="G25" s="527"/>
      <c r="H25" s="527"/>
      <c r="I25" s="527"/>
      <c r="J25" s="527"/>
      <c r="K25" s="527"/>
      <c r="L25" s="527"/>
      <c r="M25" s="527"/>
      <c r="N25" s="527"/>
      <c r="O25" s="102" t="s">
        <v>184</v>
      </c>
      <c r="P25" s="102" t="str">
        <f>B6</f>
        <v>Revenue Summary</v>
      </c>
    </row>
    <row r="26" spans="3:25" s="137" customFormat="1" ht="12.9" x14ac:dyDescent="0.5">
      <c r="C26" s="527"/>
      <c r="D26" s="527"/>
      <c r="E26" s="527"/>
      <c r="F26" s="527"/>
      <c r="G26" s="527"/>
      <c r="H26" s="527"/>
      <c r="I26" s="527"/>
      <c r="J26" s="527"/>
      <c r="K26" s="527"/>
      <c r="L26" s="527"/>
      <c r="M26" s="527"/>
      <c r="N26" s="527"/>
      <c r="O26" s="102" t="s">
        <v>162</v>
      </c>
      <c r="P26" s="102" t="str">
        <f>Nominal</f>
        <v>Nominal</v>
      </c>
    </row>
    <row r="27" spans="3:25" s="137" customFormat="1" ht="12.9" x14ac:dyDescent="0.5">
      <c r="C27" s="527"/>
      <c r="D27" s="527"/>
      <c r="E27" s="527"/>
      <c r="F27" s="527"/>
      <c r="G27" s="527"/>
      <c r="H27" s="527"/>
      <c r="I27" s="527"/>
      <c r="J27" s="527"/>
      <c r="K27" s="527"/>
      <c r="L27" s="527"/>
      <c r="M27" s="527"/>
      <c r="N27" s="527"/>
      <c r="O27" s="102" t="s">
        <v>185</v>
      </c>
      <c r="P27" s="102" t="str">
        <f>Millions</f>
        <v>$Millions</v>
      </c>
    </row>
    <row r="28" spans="3:25" s="137" customFormat="1" ht="12.9" x14ac:dyDescent="0.5">
      <c r="C28" s="527"/>
      <c r="D28" s="527"/>
      <c r="E28" s="527"/>
      <c r="F28" s="527"/>
      <c r="G28" s="527"/>
      <c r="H28" s="527"/>
      <c r="I28" s="527"/>
      <c r="J28" s="527"/>
      <c r="K28" s="527"/>
      <c r="L28" s="527"/>
      <c r="M28" s="527"/>
      <c r="N28" s="527"/>
      <c r="O28" s="102" t="s">
        <v>186</v>
      </c>
      <c r="P28" s="102" t="str">
        <f>P25&amp;" ("&amp;P26&amp;", "&amp;P27&amp;", "&amp;P29&amp;")"</f>
        <v>Revenue Summary (Nominal, $Millions, SCS)</v>
      </c>
    </row>
    <row r="29" spans="3:25" s="137" customFormat="1" ht="12.9" x14ac:dyDescent="0.5">
      <c r="C29" s="527"/>
      <c r="D29" s="527"/>
      <c r="E29" s="527"/>
      <c r="F29" s="527"/>
      <c r="G29" s="527"/>
      <c r="H29" s="527"/>
      <c r="I29" s="527"/>
      <c r="J29" s="527"/>
      <c r="K29" s="527"/>
      <c r="L29" s="527"/>
      <c r="M29" s="527"/>
      <c r="N29" s="527"/>
      <c r="O29" s="102" t="s">
        <v>1357</v>
      </c>
      <c r="P29" s="102" t="s">
        <v>97</v>
      </c>
    </row>
    <row r="30" spans="3:25" s="137" customFormat="1" ht="12.9" x14ac:dyDescent="0.5">
      <c r="C30" s="527"/>
      <c r="D30" s="527"/>
      <c r="E30" s="527"/>
      <c r="F30" s="527"/>
      <c r="G30" s="527"/>
      <c r="H30" s="527"/>
      <c r="I30" s="527"/>
      <c r="J30" s="527"/>
      <c r="K30" s="527"/>
      <c r="L30" s="527"/>
      <c r="M30" s="527"/>
      <c r="N30" s="527"/>
    </row>
    <row r="31" spans="3:25" s="137" customFormat="1" ht="12.9" x14ac:dyDescent="0.5">
      <c r="C31" s="527"/>
      <c r="D31" s="528" t="s">
        <v>924</v>
      </c>
      <c r="E31" s="527"/>
      <c r="F31" s="527"/>
      <c r="G31" s="527"/>
      <c r="H31" s="527"/>
      <c r="I31" s="527"/>
      <c r="J31" s="527"/>
      <c r="K31" s="527"/>
      <c r="L31" s="527"/>
      <c r="M31" s="527"/>
      <c r="N31" s="527"/>
    </row>
    <row r="32" spans="3:25" s="137" customFormat="1" ht="12.9" x14ac:dyDescent="0.5"/>
    <row r="33" spans="3:26" s="137" customFormat="1" ht="15.6" x14ac:dyDescent="0.6">
      <c r="D33" s="353" t="s">
        <v>926</v>
      </c>
    </row>
    <row r="34" spans="3:26" s="337" customFormat="1" ht="14.4" x14ac:dyDescent="0.55000000000000004">
      <c r="D34" s="339"/>
      <c r="E34" s="340"/>
      <c r="F34" s="340"/>
      <c r="G34" s="340"/>
      <c r="H34" s="340"/>
      <c r="I34" s="340"/>
      <c r="J34" s="341"/>
      <c r="K34" s="341"/>
      <c r="L34" s="341"/>
      <c r="M34" s="341"/>
      <c r="N34" s="341"/>
      <c r="O34" s="341"/>
      <c r="P34" s="341"/>
      <c r="Q34" s="341"/>
      <c r="R34" s="341"/>
      <c r="S34" s="341"/>
      <c r="Z34" s="338"/>
    </row>
    <row r="35" spans="3:26" s="316" customFormat="1" ht="12.3" x14ac:dyDescent="0.35">
      <c r="J35" s="677" t="s">
        <v>927</v>
      </c>
      <c r="K35" s="677"/>
      <c r="L35" s="677"/>
      <c r="M35" s="677"/>
      <c r="N35" s="677"/>
      <c r="O35" s="677" t="s">
        <v>928</v>
      </c>
      <c r="P35" s="677"/>
      <c r="Q35" s="677"/>
      <c r="R35" s="677"/>
      <c r="S35" s="677"/>
      <c r="T35" s="317"/>
      <c r="U35" s="317"/>
      <c r="V35" s="317"/>
      <c r="W35" s="317"/>
      <c r="X35" s="317"/>
    </row>
    <row r="36" spans="3:26" s="322" customFormat="1" ht="12.3" x14ac:dyDescent="0.35">
      <c r="D36" s="320" t="str">
        <f>O$11</f>
        <v>Period</v>
      </c>
      <c r="E36" s="329" t="s">
        <v>64</v>
      </c>
      <c r="F36" s="329" t="s">
        <v>65</v>
      </c>
      <c r="G36" s="329" t="s">
        <v>66</v>
      </c>
      <c r="H36" s="329" t="s">
        <v>67</v>
      </c>
      <c r="J36" s="321" t="str">
        <f t="shared" ref="J36:S36" si="3">P$11</f>
        <v>RY15</v>
      </c>
      <c r="K36" s="321" t="str">
        <f t="shared" si="3"/>
        <v>RY16</v>
      </c>
      <c r="L36" s="321" t="str">
        <f t="shared" si="3"/>
        <v>RY17</v>
      </c>
      <c r="M36" s="321" t="str">
        <f t="shared" si="3"/>
        <v>RY18</v>
      </c>
      <c r="N36" s="346" t="str">
        <f t="shared" si="3"/>
        <v>RY19</v>
      </c>
      <c r="O36" s="321" t="str">
        <f t="shared" si="3"/>
        <v>RY20</v>
      </c>
      <c r="P36" s="321" t="str">
        <f t="shared" si="3"/>
        <v>RY21</v>
      </c>
      <c r="Q36" s="321" t="str">
        <f t="shared" si="3"/>
        <v>RY22</v>
      </c>
      <c r="R36" s="321" t="str">
        <f t="shared" si="3"/>
        <v>RY23</v>
      </c>
      <c r="S36" s="321" t="str">
        <f t="shared" si="3"/>
        <v>RY24</v>
      </c>
    </row>
    <row r="37" spans="3:26" s="322" customFormat="1" ht="12.3" x14ac:dyDescent="0.35">
      <c r="J37" s="335"/>
      <c r="K37" s="335"/>
      <c r="L37" s="335"/>
      <c r="M37" s="335"/>
      <c r="N37" s="351"/>
    </row>
    <row r="38" spans="3:26" s="322" customFormat="1" ht="12.3" x14ac:dyDescent="0.35">
      <c r="D38" s="336" t="s">
        <v>916</v>
      </c>
      <c r="E38" s="323" t="s">
        <v>1358</v>
      </c>
      <c r="F38" s="323" t="str">
        <f>Millions</f>
        <v>$Millions</v>
      </c>
      <c r="G38" s="323" t="str">
        <f>Nominal</f>
        <v>Nominal</v>
      </c>
      <c r="H38" s="323" t="str">
        <f>NA</f>
        <v>N/A</v>
      </c>
      <c r="J38" s="343">
        <v>73.010027417266571</v>
      </c>
      <c r="K38" s="343">
        <v>75.366008171308607</v>
      </c>
      <c r="L38" s="343">
        <v>75.589667914112056</v>
      </c>
      <c r="M38" s="343">
        <v>75.088779752711957</v>
      </c>
      <c r="N38" s="354">
        <v>75.548863556882665</v>
      </c>
      <c r="O38" s="350">
        <f>'[2]Revenue summary'!G7</f>
        <v>64.469104013924394</v>
      </c>
      <c r="P38" s="333">
        <f>'[2]Revenue summary'!H7</f>
        <v>69.428642857447613</v>
      </c>
      <c r="Q38" s="333">
        <f>'[2]Revenue summary'!I7</f>
        <v>72.616076482575622</v>
      </c>
      <c r="R38" s="333">
        <f>'[2]Revenue summary'!J7</f>
        <v>77.399981559803237</v>
      </c>
      <c r="S38" s="333">
        <f>'[2]Revenue summary'!K7</f>
        <v>79.765849946684853</v>
      </c>
    </row>
    <row r="39" spans="3:26" s="322" customFormat="1" ht="12.3" x14ac:dyDescent="0.35">
      <c r="D39" s="336" t="s">
        <v>915</v>
      </c>
      <c r="E39" s="323" t="s">
        <v>1358</v>
      </c>
      <c r="F39" s="323" t="str">
        <f>Millions</f>
        <v>$Millions</v>
      </c>
      <c r="G39" s="323" t="str">
        <f>Nominal</f>
        <v>Nominal</v>
      </c>
      <c r="H39" s="323" t="str">
        <f>NA</f>
        <v>N/A</v>
      </c>
      <c r="J39" s="343">
        <v>27.777278376290901</v>
      </c>
      <c r="K39" s="343">
        <v>30.203148545672047</v>
      </c>
      <c r="L39" s="343">
        <v>26.067978001649326</v>
      </c>
      <c r="M39" s="343">
        <v>27.599127213924589</v>
      </c>
      <c r="N39" s="354">
        <v>29.700336948243987</v>
      </c>
      <c r="O39" s="350">
        <f>'[2]Revenue summary'!G8</f>
        <v>24.608743790271976</v>
      </c>
      <c r="P39" s="333">
        <f>'[2]Revenue summary'!H8</f>
        <v>29.426830583361696</v>
      </c>
      <c r="Q39" s="333">
        <f>'[2]Revenue summary'!I8</f>
        <v>31.490365602000853</v>
      </c>
      <c r="R39" s="333">
        <f>'[2]Revenue summary'!J8</f>
        <v>35.804812873263941</v>
      </c>
      <c r="S39" s="333">
        <f>'[2]Revenue summary'!K8</f>
        <v>39.679687277210554</v>
      </c>
    </row>
    <row r="40" spans="3:26" s="322" customFormat="1" ht="12.3" x14ac:dyDescent="0.35">
      <c r="D40" s="336" t="s">
        <v>914</v>
      </c>
      <c r="E40" s="323" t="s">
        <v>1358</v>
      </c>
      <c r="F40" s="323" t="str">
        <f>Millions</f>
        <v>$Millions</v>
      </c>
      <c r="G40" s="323" t="str">
        <f>Nominal</f>
        <v>Nominal</v>
      </c>
      <c r="H40" s="323" t="str">
        <f>NA</f>
        <v>N/A</v>
      </c>
      <c r="J40" s="343">
        <v>100.62722378281518</v>
      </c>
      <c r="K40" s="343">
        <v>95.919926460253095</v>
      </c>
      <c r="L40" s="343">
        <v>93.776555137005772</v>
      </c>
      <c r="M40" s="343">
        <v>87.5127549076836</v>
      </c>
      <c r="N40" s="354">
        <v>81.378422252074543</v>
      </c>
      <c r="O40" s="350">
        <f>'[2]Revenue summary'!G9</f>
        <v>67.647416312528719</v>
      </c>
      <c r="P40" s="333">
        <f>'[2]Revenue summary'!H9</f>
        <v>70.235181603069961</v>
      </c>
      <c r="Q40" s="333">
        <f>'[2]Revenue summary'!I9</f>
        <v>73.019198609943757</v>
      </c>
      <c r="R40" s="333">
        <f>'[2]Revenue summary'!J9</f>
        <v>75.702093960239722</v>
      </c>
      <c r="S40" s="333">
        <f>'[2]Revenue summary'!K9</f>
        <v>78.364935796174407</v>
      </c>
    </row>
    <row r="41" spans="3:26" s="322" customFormat="1" ht="12.3" x14ac:dyDescent="0.35">
      <c r="D41" s="336" t="s">
        <v>913</v>
      </c>
      <c r="E41" s="323" t="s">
        <v>1358</v>
      </c>
      <c r="F41" s="323" t="str">
        <f>Millions</f>
        <v>$Millions</v>
      </c>
      <c r="G41" s="323" t="str">
        <f>Nominal</f>
        <v>Nominal</v>
      </c>
      <c r="H41" s="323" t="str">
        <f>NA</f>
        <v>N/A</v>
      </c>
      <c r="J41" s="343">
        <v>7.1841183524800005</v>
      </c>
      <c r="K41" s="343">
        <v>7.683404364676532</v>
      </c>
      <c r="L41" s="343">
        <v>8.2149665126522091</v>
      </c>
      <c r="M41" s="343">
        <v>8.7651654075613514</v>
      </c>
      <c r="N41" s="354">
        <v>9.400136237945862</v>
      </c>
      <c r="O41" s="350">
        <f>'[2]Revenue summary'!G10</f>
        <v>6.8176410127145842E-2</v>
      </c>
      <c r="P41" s="333">
        <f>'[2]Revenue summary'!H10</f>
        <v>7.5878342662796888E-2</v>
      </c>
      <c r="Q41" s="333">
        <f>'[2]Revenue summary'!I10</f>
        <v>8.0118481645443593E-2</v>
      </c>
      <c r="R41" s="333">
        <f>'[2]Revenue summary'!J10</f>
        <v>8.7164301497993396E-2</v>
      </c>
      <c r="S41" s="333">
        <f>'[2]Revenue summary'!K10</f>
        <v>9.2579370796209912E-2</v>
      </c>
    </row>
    <row r="42" spans="3:26" s="322" customFormat="1" ht="12.3" x14ac:dyDescent="0.35">
      <c r="D42" s="336" t="s">
        <v>912</v>
      </c>
      <c r="E42" s="323" t="s">
        <v>1358</v>
      </c>
      <c r="F42" s="323" t="str">
        <f>Millions</f>
        <v>$Millions</v>
      </c>
      <c r="G42" s="323" t="str">
        <f>Nominal</f>
        <v>Nominal</v>
      </c>
      <c r="H42" s="323" t="str">
        <f>NA</f>
        <v>N/A</v>
      </c>
      <c r="J42" s="343">
        <v>0</v>
      </c>
      <c r="K42" s="343">
        <v>0</v>
      </c>
      <c r="L42" s="343">
        <v>0</v>
      </c>
      <c r="M42" s="343">
        <v>0</v>
      </c>
      <c r="N42" s="354">
        <v>0</v>
      </c>
      <c r="O42" s="350">
        <f>'[2]Revenue summary'!G11</f>
        <v>8.205150177036229</v>
      </c>
      <c r="P42" s="333">
        <f>'[2]Revenue summary'!H11</f>
        <v>7.9041017940767802</v>
      </c>
      <c r="Q42" s="333">
        <f>'[2]Revenue summary'!I11</f>
        <v>7.3612628549806258</v>
      </c>
      <c r="R42" s="333">
        <f>'[2]Revenue summary'!J11</f>
        <v>6.8576541203439483</v>
      </c>
      <c r="S42" s="333">
        <f>'[2]Revenue summary'!K11</f>
        <v>7.1030399278032865</v>
      </c>
    </row>
    <row r="43" spans="3:26" s="322" customFormat="1" x14ac:dyDescent="0.35">
      <c r="N43" s="347"/>
    </row>
    <row r="44" spans="3:26" s="322" customFormat="1" ht="12.3" x14ac:dyDescent="0.35">
      <c r="D44" s="324" t="s">
        <v>112</v>
      </c>
      <c r="E44" s="325" t="s">
        <v>113</v>
      </c>
      <c r="F44" s="325" t="str">
        <f>F38</f>
        <v>$Millions</v>
      </c>
      <c r="G44" s="325" t="str">
        <f>G38</f>
        <v>Nominal</v>
      </c>
      <c r="H44" s="325" t="str">
        <f>H38</f>
        <v>N/A</v>
      </c>
      <c r="J44" s="334">
        <f t="shared" ref="J44:S44" si="4">SUM(J38:J42)</f>
        <v>208.59864792885264</v>
      </c>
      <c r="K44" s="334">
        <f t="shared" si="4"/>
        <v>209.17248754191027</v>
      </c>
      <c r="L44" s="334">
        <f t="shared" si="4"/>
        <v>203.64916756541936</v>
      </c>
      <c r="M44" s="334">
        <f t="shared" si="4"/>
        <v>198.96582728188147</v>
      </c>
      <c r="N44" s="352">
        <f t="shared" si="4"/>
        <v>196.02775899514708</v>
      </c>
      <c r="O44" s="334">
        <f t="shared" si="4"/>
        <v>164.99859070388845</v>
      </c>
      <c r="P44" s="334">
        <f t="shared" si="4"/>
        <v>177.07063518061886</v>
      </c>
      <c r="Q44" s="334">
        <f t="shared" si="4"/>
        <v>184.56702203114631</v>
      </c>
      <c r="R44" s="334">
        <f t="shared" si="4"/>
        <v>195.85170681514884</v>
      </c>
      <c r="S44" s="334">
        <f t="shared" si="4"/>
        <v>205.00609231866932</v>
      </c>
    </row>
    <row r="45" spans="3:26" s="314" customFormat="1" x14ac:dyDescent="0.35"/>
    <row r="46" spans="3:26" s="318" customFormat="1" ht="14.4" x14ac:dyDescent="0.55000000000000004">
      <c r="C46" s="315"/>
      <c r="D46" s="339" t="s">
        <v>925</v>
      </c>
      <c r="E46" s="332" t="s">
        <v>923</v>
      </c>
      <c r="F46" s="332" t="s">
        <v>76</v>
      </c>
      <c r="G46" s="332" t="s">
        <v>69</v>
      </c>
      <c r="H46" s="323" t="str">
        <f>NA</f>
        <v>N/A</v>
      </c>
      <c r="I46" s="340"/>
      <c r="J46" s="343">
        <f>'[3]X factor'!E22/[3]Analysis!G$8*Input_Inflation!P$55</f>
        <v>39.121726086622736</v>
      </c>
      <c r="K46" s="343">
        <f>'[3]X factor'!F22/[3]Analysis!H$8*Input_Inflation!Q$55</f>
        <v>40.337138956901299</v>
      </c>
      <c r="L46" s="343">
        <f>'[3]X factor'!G22/[3]Analysis!I$8*Input_Inflation!R$55</f>
        <v>40.428213100443955</v>
      </c>
      <c r="M46" s="343">
        <f>'[3]X factor'!H22/[3]Analysis!J$8*Input_Inflation!S$55</f>
        <v>40.139901042115113</v>
      </c>
      <c r="N46" s="343">
        <f>'[3]X factor'!I22/[3]Analysis!K$8*Input_Inflation!T$55</f>
        <v>40.3600652195368</v>
      </c>
      <c r="O46" s="341"/>
      <c r="P46" s="341"/>
      <c r="Q46" s="341"/>
      <c r="R46" s="341"/>
      <c r="S46" s="341"/>
    </row>
    <row r="47" spans="3:26" s="337" customFormat="1" ht="14.4" x14ac:dyDescent="0.55000000000000004">
      <c r="D47" s="339"/>
      <c r="E47" s="340"/>
      <c r="F47" s="340"/>
      <c r="G47" s="340"/>
      <c r="H47" s="340"/>
      <c r="I47" s="340"/>
      <c r="J47" s="341"/>
      <c r="K47" s="341"/>
      <c r="L47" s="341"/>
      <c r="M47" s="341"/>
      <c r="N47" s="341"/>
      <c r="O47" s="341"/>
      <c r="P47" s="341"/>
      <c r="Q47" s="341"/>
      <c r="R47" s="341"/>
      <c r="S47" s="341"/>
      <c r="Z47" s="338"/>
    </row>
    <row r="48" spans="3:26" s="337" customFormat="1" ht="14.4" x14ac:dyDescent="0.55000000000000004">
      <c r="D48" s="339"/>
      <c r="E48" s="340"/>
      <c r="F48" s="340"/>
      <c r="G48" s="340"/>
      <c r="H48" s="340"/>
      <c r="I48" s="340"/>
      <c r="J48" s="341"/>
      <c r="K48" s="341"/>
      <c r="L48" s="341"/>
      <c r="M48" s="341"/>
      <c r="N48" s="341"/>
      <c r="O48" s="341"/>
      <c r="P48" s="341"/>
      <c r="Q48" s="341"/>
      <c r="R48" s="341"/>
      <c r="S48" s="341"/>
      <c r="Z48" s="338"/>
    </row>
    <row r="49" spans="4:26" s="137" customFormat="1" ht="15.6" x14ac:dyDescent="0.6">
      <c r="D49" s="353" t="s">
        <v>1739</v>
      </c>
      <c r="E49" s="326"/>
      <c r="F49" s="326"/>
      <c r="G49" s="326"/>
      <c r="H49" s="326"/>
      <c r="I49" s="326"/>
      <c r="J49" s="326"/>
      <c r="K49" s="326"/>
      <c r="L49" s="326"/>
      <c r="M49" s="326"/>
      <c r="N49" s="326"/>
      <c r="O49" s="326"/>
      <c r="P49" s="326"/>
      <c r="Q49" s="326"/>
      <c r="R49" s="326"/>
      <c r="S49" s="326"/>
    </row>
    <row r="50" spans="4:26" s="316" customFormat="1" ht="12.3" x14ac:dyDescent="0.35">
      <c r="D50" s="330"/>
      <c r="E50" s="330"/>
      <c r="F50" s="330"/>
      <c r="G50" s="330"/>
      <c r="H50" s="330"/>
      <c r="I50" s="330"/>
      <c r="J50" s="331"/>
      <c r="K50" s="331"/>
      <c r="L50" s="331"/>
      <c r="M50" s="331"/>
      <c r="N50" s="331"/>
      <c r="O50" s="331"/>
      <c r="P50" s="331"/>
      <c r="Q50" s="331"/>
      <c r="R50" s="331"/>
      <c r="S50" s="331"/>
      <c r="T50" s="317"/>
      <c r="U50" s="317"/>
      <c r="V50" s="317"/>
      <c r="W50" s="317"/>
      <c r="X50" s="317"/>
    </row>
    <row r="51" spans="4:26" s="316" customFormat="1" ht="12.3" x14ac:dyDescent="0.35">
      <c r="J51" s="677" t="s">
        <v>927</v>
      </c>
      <c r="K51" s="677"/>
      <c r="L51" s="677"/>
      <c r="M51" s="677"/>
      <c r="N51" s="677"/>
      <c r="O51" s="677" t="s">
        <v>928</v>
      </c>
      <c r="P51" s="677"/>
      <c r="Q51" s="677"/>
      <c r="R51" s="677"/>
      <c r="S51" s="677"/>
      <c r="T51" s="317"/>
      <c r="U51" s="317"/>
      <c r="V51" s="317"/>
      <c r="W51" s="317"/>
      <c r="X51" s="317"/>
    </row>
    <row r="52" spans="4:26" s="314" customFormat="1" ht="12.3" x14ac:dyDescent="0.35">
      <c r="D52" s="328" t="str">
        <f>O$11</f>
        <v>Period</v>
      </c>
      <c r="E52" s="329" t="s">
        <v>64</v>
      </c>
      <c r="F52" s="329" t="s">
        <v>65</v>
      </c>
      <c r="G52" s="329" t="s">
        <v>66</v>
      </c>
      <c r="H52" s="329" t="s">
        <v>67</v>
      </c>
      <c r="I52" s="327"/>
      <c r="J52" s="329" t="str">
        <f t="shared" ref="J52:S52" si="5">P$11</f>
        <v>RY15</v>
      </c>
      <c r="K52" s="329" t="str">
        <f t="shared" si="5"/>
        <v>RY16</v>
      </c>
      <c r="L52" s="329" t="str">
        <f t="shared" si="5"/>
        <v>RY17</v>
      </c>
      <c r="M52" s="329" t="str">
        <f t="shared" si="5"/>
        <v>RY18</v>
      </c>
      <c r="N52" s="346" t="str">
        <f t="shared" si="5"/>
        <v>RY19</v>
      </c>
      <c r="O52" s="329" t="str">
        <f t="shared" si="5"/>
        <v>RY20</v>
      </c>
      <c r="P52" s="329" t="str">
        <f t="shared" si="5"/>
        <v>RY21</v>
      </c>
      <c r="Q52" s="329" t="str">
        <f t="shared" si="5"/>
        <v>RY22</v>
      </c>
      <c r="R52" s="329" t="str">
        <f t="shared" si="5"/>
        <v>RY23</v>
      </c>
      <c r="S52" s="329" t="str">
        <f t="shared" si="5"/>
        <v>RY24</v>
      </c>
    </row>
    <row r="53" spans="4:26" s="316" customFormat="1" ht="12.3" x14ac:dyDescent="0.35">
      <c r="D53" s="330"/>
      <c r="E53" s="330"/>
      <c r="F53" s="330"/>
      <c r="G53" s="330"/>
      <c r="H53" s="330"/>
      <c r="I53" s="330"/>
      <c r="J53" s="331"/>
      <c r="K53" s="331"/>
      <c r="L53" s="331"/>
      <c r="M53" s="331"/>
      <c r="N53" s="347"/>
      <c r="O53" s="331"/>
      <c r="P53" s="331"/>
      <c r="Q53" s="331"/>
      <c r="R53" s="331"/>
      <c r="S53" s="331"/>
      <c r="T53" s="317"/>
      <c r="U53" s="317"/>
      <c r="V53" s="317"/>
      <c r="W53" s="317"/>
      <c r="X53" s="317"/>
    </row>
    <row r="54" spans="4:26" s="314" customFormat="1" ht="12.3" x14ac:dyDescent="0.35">
      <c r="D54" s="339" t="s">
        <v>916</v>
      </c>
      <c r="E54" s="323" t="s">
        <v>1358</v>
      </c>
      <c r="F54" s="332" t="str">
        <f>Millions</f>
        <v>$Millions</v>
      </c>
      <c r="G54" s="332" t="str">
        <f>Nominal</f>
        <v>Nominal</v>
      </c>
      <c r="H54" s="332" t="str">
        <f>NA</f>
        <v>N/A</v>
      </c>
      <c r="I54" s="327"/>
      <c r="J54" s="355">
        <f>J$46</f>
        <v>39.121726086622736</v>
      </c>
      <c r="K54" s="355">
        <f>K$46</f>
        <v>40.337138956901299</v>
      </c>
      <c r="L54" s="355">
        <f>L$46</f>
        <v>40.428213100443955</v>
      </c>
      <c r="M54" s="355">
        <f>M$46</f>
        <v>40.139901042115113</v>
      </c>
      <c r="N54" s="356">
        <f>N$46</f>
        <v>40.3600652195368</v>
      </c>
      <c r="O54" s="355">
        <f t="shared" ref="O54:S58" si="6">O38</f>
        <v>64.469104013924394</v>
      </c>
      <c r="P54" s="355">
        <f t="shared" si="6"/>
        <v>69.428642857447613</v>
      </c>
      <c r="Q54" s="355">
        <f t="shared" si="6"/>
        <v>72.616076482575622</v>
      </c>
      <c r="R54" s="355">
        <f t="shared" si="6"/>
        <v>77.399981559803237</v>
      </c>
      <c r="S54" s="355">
        <f t="shared" si="6"/>
        <v>79.765849946684853</v>
      </c>
    </row>
    <row r="55" spans="4:26" s="314" customFormat="1" ht="12.3" x14ac:dyDescent="0.35">
      <c r="D55" s="339" t="s">
        <v>915</v>
      </c>
      <c r="E55" s="323" t="s">
        <v>1358</v>
      </c>
      <c r="F55" s="332" t="str">
        <f>Millions</f>
        <v>$Millions</v>
      </c>
      <c r="G55" s="332" t="str">
        <f>Nominal</f>
        <v>Nominal</v>
      </c>
      <c r="H55" s="332" t="str">
        <f>NA</f>
        <v>N/A</v>
      </c>
      <c r="I55" s="327"/>
      <c r="J55" s="355">
        <f t="shared" ref="J55:N58" si="7">J39</f>
        <v>27.777278376290901</v>
      </c>
      <c r="K55" s="355">
        <f t="shared" si="7"/>
        <v>30.203148545672047</v>
      </c>
      <c r="L55" s="355">
        <f t="shared" si="7"/>
        <v>26.067978001649326</v>
      </c>
      <c r="M55" s="355">
        <f t="shared" si="7"/>
        <v>27.599127213924589</v>
      </c>
      <c r="N55" s="356">
        <f t="shared" si="7"/>
        <v>29.700336948243987</v>
      </c>
      <c r="O55" s="355">
        <f t="shared" si="6"/>
        <v>24.608743790271976</v>
      </c>
      <c r="P55" s="355">
        <f t="shared" si="6"/>
        <v>29.426830583361696</v>
      </c>
      <c r="Q55" s="355">
        <f t="shared" si="6"/>
        <v>31.490365602000853</v>
      </c>
      <c r="R55" s="355">
        <f t="shared" si="6"/>
        <v>35.804812873263941</v>
      </c>
      <c r="S55" s="355">
        <f t="shared" si="6"/>
        <v>39.679687277210554</v>
      </c>
    </row>
    <row r="56" spans="4:26" s="314" customFormat="1" ht="12.3" x14ac:dyDescent="0.35">
      <c r="D56" s="339" t="s">
        <v>914</v>
      </c>
      <c r="E56" s="323" t="s">
        <v>1358</v>
      </c>
      <c r="F56" s="332" t="str">
        <f>Millions</f>
        <v>$Millions</v>
      </c>
      <c r="G56" s="332" t="str">
        <f>Nominal</f>
        <v>Nominal</v>
      </c>
      <c r="H56" s="332" t="str">
        <f>NA</f>
        <v>N/A</v>
      </c>
      <c r="I56" s="327"/>
      <c r="J56" s="355">
        <f t="shared" si="7"/>
        <v>100.62722378281518</v>
      </c>
      <c r="K56" s="355">
        <f t="shared" si="7"/>
        <v>95.919926460253095</v>
      </c>
      <c r="L56" s="355">
        <f t="shared" si="7"/>
        <v>93.776555137005772</v>
      </c>
      <c r="M56" s="355">
        <f t="shared" si="7"/>
        <v>87.5127549076836</v>
      </c>
      <c r="N56" s="356">
        <f t="shared" si="7"/>
        <v>81.378422252074543</v>
      </c>
      <c r="O56" s="355">
        <f t="shared" si="6"/>
        <v>67.647416312528719</v>
      </c>
      <c r="P56" s="355">
        <f t="shared" si="6"/>
        <v>70.235181603069961</v>
      </c>
      <c r="Q56" s="355">
        <f t="shared" si="6"/>
        <v>73.019198609943757</v>
      </c>
      <c r="R56" s="355">
        <f t="shared" si="6"/>
        <v>75.702093960239722</v>
      </c>
      <c r="S56" s="355">
        <f t="shared" si="6"/>
        <v>78.364935796174407</v>
      </c>
    </row>
    <row r="57" spans="4:26" s="314" customFormat="1" ht="12.3" x14ac:dyDescent="0.35">
      <c r="D57" s="339" t="s">
        <v>913</v>
      </c>
      <c r="E57" s="323" t="s">
        <v>1358</v>
      </c>
      <c r="F57" s="332" t="str">
        <f>Millions</f>
        <v>$Millions</v>
      </c>
      <c r="G57" s="332" t="str">
        <f>Nominal</f>
        <v>Nominal</v>
      </c>
      <c r="H57" s="332" t="str">
        <f>NA</f>
        <v>N/A</v>
      </c>
      <c r="I57" s="327"/>
      <c r="J57" s="355">
        <f t="shared" si="7"/>
        <v>7.1841183524800005</v>
      </c>
      <c r="K57" s="355">
        <f t="shared" si="7"/>
        <v>7.683404364676532</v>
      </c>
      <c r="L57" s="355">
        <f t="shared" si="7"/>
        <v>8.2149665126522091</v>
      </c>
      <c r="M57" s="355">
        <f t="shared" si="7"/>
        <v>8.7651654075613514</v>
      </c>
      <c r="N57" s="356">
        <f t="shared" si="7"/>
        <v>9.400136237945862</v>
      </c>
      <c r="O57" s="355">
        <f t="shared" si="6"/>
        <v>6.8176410127145842E-2</v>
      </c>
      <c r="P57" s="355">
        <f t="shared" si="6"/>
        <v>7.5878342662796888E-2</v>
      </c>
      <c r="Q57" s="355">
        <f t="shared" si="6"/>
        <v>8.0118481645443593E-2</v>
      </c>
      <c r="R57" s="355">
        <f t="shared" si="6"/>
        <v>8.7164301497993396E-2</v>
      </c>
      <c r="S57" s="355">
        <f t="shared" si="6"/>
        <v>9.2579370796209912E-2</v>
      </c>
    </row>
    <row r="58" spans="4:26" s="314" customFormat="1" ht="12.3" x14ac:dyDescent="0.35">
      <c r="D58" s="339" t="s">
        <v>912</v>
      </c>
      <c r="E58" s="323" t="s">
        <v>1358</v>
      </c>
      <c r="F58" s="332" t="str">
        <f>Millions</f>
        <v>$Millions</v>
      </c>
      <c r="G58" s="332" t="str">
        <f>Nominal</f>
        <v>Nominal</v>
      </c>
      <c r="H58" s="332" t="str">
        <f>NA</f>
        <v>N/A</v>
      </c>
      <c r="I58" s="327"/>
      <c r="J58" s="355">
        <f t="shared" si="7"/>
        <v>0</v>
      </c>
      <c r="K58" s="355">
        <f t="shared" si="7"/>
        <v>0</v>
      </c>
      <c r="L58" s="355">
        <f t="shared" si="7"/>
        <v>0</v>
      </c>
      <c r="M58" s="355">
        <f t="shared" si="7"/>
        <v>0</v>
      </c>
      <c r="N58" s="356">
        <f t="shared" si="7"/>
        <v>0</v>
      </c>
      <c r="O58" s="355">
        <f t="shared" si="6"/>
        <v>8.205150177036229</v>
      </c>
      <c r="P58" s="355">
        <f t="shared" si="6"/>
        <v>7.9041017940767802</v>
      </c>
      <c r="Q58" s="355">
        <f t="shared" si="6"/>
        <v>7.3612628549806258</v>
      </c>
      <c r="R58" s="355">
        <f t="shared" si="6"/>
        <v>6.8576541203439483</v>
      </c>
      <c r="S58" s="355">
        <f t="shared" si="6"/>
        <v>7.1030399278032865</v>
      </c>
    </row>
    <row r="59" spans="4:26" s="314" customFormat="1" x14ac:dyDescent="0.35">
      <c r="D59" s="327"/>
      <c r="E59" s="327"/>
      <c r="F59" s="327"/>
      <c r="G59" s="327"/>
      <c r="H59" s="327"/>
      <c r="I59" s="327"/>
      <c r="J59" s="327"/>
      <c r="K59" s="327"/>
      <c r="L59" s="327"/>
      <c r="M59" s="327"/>
      <c r="N59" s="348"/>
      <c r="O59" s="327"/>
      <c r="P59" s="327"/>
      <c r="Q59" s="327"/>
      <c r="R59" s="327"/>
      <c r="S59" s="327"/>
    </row>
    <row r="60" spans="4:26" s="314" customFormat="1" ht="12.3" x14ac:dyDescent="0.35">
      <c r="D60" s="344" t="s">
        <v>112</v>
      </c>
      <c r="E60" s="345" t="s">
        <v>113</v>
      </c>
      <c r="F60" s="345" t="str">
        <f>F54</f>
        <v>$Millions</v>
      </c>
      <c r="G60" s="345" t="str">
        <f>G54</f>
        <v>Nominal</v>
      </c>
      <c r="H60" s="345" t="str">
        <f>H54</f>
        <v>N/A</v>
      </c>
      <c r="I60" s="327"/>
      <c r="J60" s="334">
        <f t="shared" ref="J60:S60" si="8">SUM(J54:J58)</f>
        <v>174.71034659820882</v>
      </c>
      <c r="K60" s="334">
        <f t="shared" si="8"/>
        <v>174.14361832750299</v>
      </c>
      <c r="L60" s="334">
        <f t="shared" si="8"/>
        <v>168.48771275175125</v>
      </c>
      <c r="M60" s="334">
        <f t="shared" si="8"/>
        <v>164.01694857128464</v>
      </c>
      <c r="N60" s="349">
        <f t="shared" si="8"/>
        <v>160.83896065780121</v>
      </c>
      <c r="O60" s="334">
        <f t="shared" si="8"/>
        <v>164.99859070388845</v>
      </c>
      <c r="P60" s="334">
        <f t="shared" si="8"/>
        <v>177.07063518061886</v>
      </c>
      <c r="Q60" s="334">
        <f t="shared" si="8"/>
        <v>184.56702203114631</v>
      </c>
      <c r="R60" s="334">
        <f t="shared" si="8"/>
        <v>195.85170681514884</v>
      </c>
      <c r="S60" s="334">
        <f t="shared" si="8"/>
        <v>205.00609231866932</v>
      </c>
    </row>
    <row r="61" spans="4:26" s="314" customFormat="1" x14ac:dyDescent="0.35"/>
    <row r="62" spans="4:26" s="314" customFormat="1" x14ac:dyDescent="0.35"/>
    <row r="63" spans="4:26" s="137" customFormat="1" ht="15.6" x14ac:dyDescent="0.6">
      <c r="D63" s="353" t="s">
        <v>932</v>
      </c>
    </row>
    <row r="64" spans="4:26" s="318" customFormat="1" ht="14.4" x14ac:dyDescent="0.55000000000000004">
      <c r="D64" s="339"/>
      <c r="E64" s="340"/>
      <c r="F64" s="340"/>
      <c r="G64" s="340"/>
      <c r="H64" s="340"/>
      <c r="I64" s="340"/>
      <c r="J64" s="341"/>
      <c r="K64" s="341"/>
      <c r="L64" s="341"/>
      <c r="M64" s="341"/>
      <c r="N64" s="341"/>
      <c r="O64" s="341"/>
      <c r="P64" s="341"/>
      <c r="Q64" s="341"/>
      <c r="R64" s="341"/>
      <c r="S64" s="341"/>
      <c r="Z64" s="319"/>
    </row>
    <row r="65" spans="2:27" s="316" customFormat="1" ht="12.3" x14ac:dyDescent="0.35">
      <c r="J65" s="677" t="s">
        <v>933</v>
      </c>
      <c r="K65" s="677"/>
      <c r="L65" s="677"/>
      <c r="M65" s="677"/>
      <c r="N65" s="677"/>
      <c r="O65" s="677" t="s">
        <v>928</v>
      </c>
      <c r="P65" s="677"/>
      <c r="Q65" s="677"/>
      <c r="R65" s="677"/>
      <c r="S65" s="677"/>
      <c r="T65" s="317"/>
      <c r="U65" s="317"/>
      <c r="V65" s="317"/>
      <c r="W65" s="317"/>
      <c r="X65" s="317"/>
    </row>
    <row r="66" spans="2:27" s="318" customFormat="1" ht="14.4" x14ac:dyDescent="0.55000000000000004">
      <c r="D66" s="328" t="s">
        <v>111</v>
      </c>
      <c r="E66" s="329" t="s">
        <v>64</v>
      </c>
      <c r="F66" s="329" t="s">
        <v>65</v>
      </c>
      <c r="G66" s="329" t="s">
        <v>66</v>
      </c>
      <c r="H66" s="329" t="s">
        <v>67</v>
      </c>
      <c r="I66" s="340"/>
      <c r="J66" s="329" t="s">
        <v>246</v>
      </c>
      <c r="K66" s="329" t="s">
        <v>247</v>
      </c>
      <c r="L66" s="329" t="s">
        <v>248</v>
      </c>
      <c r="M66" s="329" t="s">
        <v>249</v>
      </c>
      <c r="N66" s="329" t="s">
        <v>250</v>
      </c>
      <c r="O66" s="329" t="s">
        <v>236</v>
      </c>
      <c r="P66" s="329" t="s">
        <v>237</v>
      </c>
      <c r="Q66" s="329" t="s">
        <v>238</v>
      </c>
      <c r="R66" s="329" t="s">
        <v>239</v>
      </c>
      <c r="S66" s="329" t="s">
        <v>240</v>
      </c>
      <c r="U66" s="329" t="s">
        <v>325</v>
      </c>
      <c r="V66" s="137"/>
      <c r="Z66" s="319"/>
    </row>
    <row r="67" spans="2:27" s="318" customFormat="1" ht="14.4" x14ac:dyDescent="0.55000000000000004">
      <c r="B67" s="314"/>
      <c r="C67" s="315"/>
      <c r="D67" s="339"/>
      <c r="E67" s="339"/>
      <c r="F67" s="340"/>
      <c r="G67" s="340"/>
      <c r="H67" s="340"/>
      <c r="I67" s="340"/>
      <c r="J67" s="340"/>
      <c r="K67" s="340"/>
      <c r="L67" s="340"/>
      <c r="M67" s="340"/>
      <c r="N67" s="340"/>
      <c r="O67" s="340"/>
      <c r="P67" s="340"/>
      <c r="Q67" s="340"/>
      <c r="R67" s="340"/>
      <c r="S67" s="340"/>
      <c r="U67" s="526">
        <f>'5'!R9</f>
        <v>0.03</v>
      </c>
      <c r="V67" s="339" t="s">
        <v>1011</v>
      </c>
    </row>
    <row r="68" spans="2:27" s="318" customFormat="1" ht="14.4" x14ac:dyDescent="0.55000000000000004">
      <c r="B68" s="314"/>
      <c r="C68" s="315"/>
      <c r="D68" s="339" t="s">
        <v>282</v>
      </c>
      <c r="E68" s="332" t="s">
        <v>921</v>
      </c>
      <c r="F68" s="332" t="s">
        <v>76</v>
      </c>
      <c r="G68" s="332" t="s">
        <v>69</v>
      </c>
      <c r="H68" s="332" t="str">
        <f t="shared" ref="H68:H73" si="9">NA</f>
        <v>N/A</v>
      </c>
      <c r="I68" s="340"/>
      <c r="J68" s="343">
        <v>184.73820613960171</v>
      </c>
      <c r="K68" s="343">
        <v>202.94895954801913</v>
      </c>
      <c r="L68" s="343">
        <v>212.57016087331203</v>
      </c>
      <c r="M68" s="343">
        <v>211.4018752691523</v>
      </c>
      <c r="N68" s="343">
        <v>211.31731451904463</v>
      </c>
      <c r="O68" s="342"/>
      <c r="P68" s="342"/>
      <c r="Q68" s="342"/>
      <c r="R68" s="342"/>
      <c r="S68" s="342"/>
    </row>
    <row r="69" spans="2:27" s="318" customFormat="1" ht="14.4" x14ac:dyDescent="0.55000000000000004">
      <c r="B69" s="314"/>
      <c r="C69" s="315"/>
      <c r="D69" s="339" t="s">
        <v>922</v>
      </c>
      <c r="E69" s="332" t="s">
        <v>923</v>
      </c>
      <c r="F69" s="332" t="s">
        <v>76</v>
      </c>
      <c r="G69" s="332" t="s">
        <v>69</v>
      </c>
      <c r="H69" s="332" t="str">
        <f t="shared" si="9"/>
        <v>N/A</v>
      </c>
      <c r="I69" s="340"/>
      <c r="J69" s="343">
        <f>'[3]X factor'!E90/[3]Analysis!G$8*Input_Inflation!P$55</f>
        <v>153.31882522715472</v>
      </c>
      <c r="K69" s="343">
        <f>'[3]X factor'!F90/[3]Analysis!H$8*Input_Inflation!Q$55</f>
        <v>168.4323817427468</v>
      </c>
      <c r="L69" s="343">
        <f>'[3]X factor'!G90/[3]Analysis!I$8*Input_Inflation!R$55</f>
        <v>171.27888899419921</v>
      </c>
      <c r="M69" s="343">
        <f>'[3]X factor'!H90/[3]Analysis!J$8*Input_Inflation!S$55</f>
        <v>173.81381655131335</v>
      </c>
      <c r="N69" s="343">
        <f>'[3]X factor'!I90/[3]Analysis!K$8*Input_Inflation!T$55</f>
        <v>177.29009288233959</v>
      </c>
      <c r="O69" s="342"/>
      <c r="P69" s="342"/>
      <c r="Q69" s="342"/>
      <c r="R69" s="342"/>
      <c r="S69" s="342"/>
    </row>
    <row r="70" spans="2:27" s="327" customFormat="1" ht="12.3" x14ac:dyDescent="0.35">
      <c r="D70" s="336" t="s">
        <v>931</v>
      </c>
      <c r="E70" s="323" t="s">
        <v>917</v>
      </c>
      <c r="F70" s="332" t="str">
        <f>Millions</f>
        <v>$Millions</v>
      </c>
      <c r="G70" s="332" t="str">
        <f>Nominal</f>
        <v>Nominal</v>
      </c>
      <c r="H70" s="332" t="str">
        <f t="shared" si="9"/>
        <v>N/A</v>
      </c>
      <c r="J70" s="355">
        <f>J68-J72</f>
        <v>179.19605995541366</v>
      </c>
      <c r="K70" s="355">
        <f t="shared" ref="K70:N70" si="10">K68-K72</f>
        <v>196.86049076157855</v>
      </c>
      <c r="L70" s="355">
        <f t="shared" si="10"/>
        <v>206.19305604711266</v>
      </c>
      <c r="M70" s="355">
        <f t="shared" si="10"/>
        <v>205.05981901107774</v>
      </c>
      <c r="N70" s="355">
        <f t="shared" si="10"/>
        <v>204.9777950834733</v>
      </c>
      <c r="O70" s="357">
        <f>'[2]Revenue summary'!G21</f>
        <v>164.99861387816443</v>
      </c>
      <c r="P70" s="357">
        <f>'[2]Revenue summary'!H21</f>
        <v>174.7051634304531</v>
      </c>
      <c r="Q70" s="357">
        <f>'[2]Revenue summary'!I21</f>
        <v>184.98273053250497</v>
      </c>
      <c r="R70" s="357">
        <f>'[2]Revenue summary'!J21</f>
        <v>195.86490704313468</v>
      </c>
      <c r="S70" s="357">
        <f>'[2]Revenue summary'!K21</f>
        <v>207.387260965286</v>
      </c>
      <c r="T70" s="330"/>
      <c r="U70" s="330"/>
      <c r="V70" s="330"/>
      <c r="W70" s="330"/>
      <c r="X70" s="330"/>
      <c r="Y70" s="330"/>
    </row>
    <row r="71" spans="2:27" s="318" customFormat="1" ht="14.4" x14ac:dyDescent="0.55000000000000004">
      <c r="B71" s="314"/>
      <c r="C71" s="315"/>
      <c r="D71" s="339" t="s">
        <v>920</v>
      </c>
      <c r="E71" s="332" t="s">
        <v>113</v>
      </c>
      <c r="F71" s="332" t="s">
        <v>76</v>
      </c>
      <c r="G71" s="332" t="s">
        <v>69</v>
      </c>
      <c r="H71" s="332" t="str">
        <f t="shared" si="9"/>
        <v>N/A</v>
      </c>
      <c r="I71" s="340"/>
      <c r="J71" s="355">
        <f>J69-J73</f>
        <v>148.71926047034009</v>
      </c>
      <c r="K71" s="355">
        <f t="shared" ref="K71:N71" si="11">K69-K73</f>
        <v>163.37941029046439</v>
      </c>
      <c r="L71" s="355">
        <f t="shared" si="11"/>
        <v>166.14052232437322</v>
      </c>
      <c r="M71" s="355">
        <f t="shared" si="11"/>
        <v>168.59940205477395</v>
      </c>
      <c r="N71" s="355">
        <f t="shared" si="11"/>
        <v>171.9713900958694</v>
      </c>
      <c r="O71" s="358"/>
      <c r="P71" s="358"/>
      <c r="Q71" s="358"/>
      <c r="R71" s="358"/>
      <c r="S71" s="358"/>
    </row>
    <row r="72" spans="2:27" s="318" customFormat="1" ht="14.4" x14ac:dyDescent="0.55000000000000004">
      <c r="B72" s="314"/>
      <c r="C72" s="315"/>
      <c r="D72" s="339" t="s">
        <v>1652</v>
      </c>
      <c r="E72" s="332" t="s">
        <v>113</v>
      </c>
      <c r="F72" s="332" t="s">
        <v>76</v>
      </c>
      <c r="G72" s="332" t="s">
        <v>69</v>
      </c>
      <c r="H72" s="332" t="str">
        <f t="shared" si="9"/>
        <v>N/A</v>
      </c>
      <c r="I72" s="340"/>
      <c r="J72" s="357">
        <f t="shared" ref="J72:M72" si="12">J68*$U$67</f>
        <v>5.5421461841880513</v>
      </c>
      <c r="K72" s="357">
        <f t="shared" si="12"/>
        <v>6.0884687864405738</v>
      </c>
      <c r="L72" s="357">
        <f t="shared" si="12"/>
        <v>6.3771048261993606</v>
      </c>
      <c r="M72" s="357">
        <f t="shared" si="12"/>
        <v>6.3420562580745683</v>
      </c>
      <c r="N72" s="357">
        <f>N68*$U$67</f>
        <v>6.3395194355713382</v>
      </c>
      <c r="O72" s="358"/>
      <c r="P72" s="358"/>
      <c r="Q72" s="358"/>
      <c r="R72" s="358"/>
      <c r="S72" s="358"/>
    </row>
    <row r="73" spans="2:27" s="318" customFormat="1" ht="14.4" x14ac:dyDescent="0.55000000000000004">
      <c r="B73" s="314"/>
      <c r="C73" s="315"/>
      <c r="D73" s="339" t="s">
        <v>1653</v>
      </c>
      <c r="E73" s="332" t="s">
        <v>113</v>
      </c>
      <c r="F73" s="332" t="s">
        <v>76</v>
      </c>
      <c r="G73" s="332" t="s">
        <v>69</v>
      </c>
      <c r="H73" s="332" t="str">
        <f t="shared" si="9"/>
        <v>N/A</v>
      </c>
      <c r="I73" s="340"/>
      <c r="J73" s="357">
        <f t="shared" ref="J73:M73" si="13">J69*$U$67</f>
        <v>4.5995647568146412</v>
      </c>
      <c r="K73" s="357">
        <f t="shared" si="13"/>
        <v>5.0529714522824039</v>
      </c>
      <c r="L73" s="357">
        <f t="shared" si="13"/>
        <v>5.1383666698259765</v>
      </c>
      <c r="M73" s="357">
        <f t="shared" si="13"/>
        <v>5.2144144965394004</v>
      </c>
      <c r="N73" s="357">
        <f>N69*$U$67</f>
        <v>5.3187027864701877</v>
      </c>
      <c r="O73" s="358"/>
      <c r="P73" s="358"/>
      <c r="Q73" s="358"/>
      <c r="R73" s="358"/>
      <c r="S73" s="358"/>
    </row>
    <row r="74" spans="2:27" s="137" customFormat="1" ht="12.9" x14ac:dyDescent="0.5">
      <c r="AA74" s="314"/>
    </row>
    <row r="75" spans="2:27" s="139" customFormat="1" ht="12.9" x14ac:dyDescent="0.35">
      <c r="B75" s="139" t="s">
        <v>32</v>
      </c>
    </row>
  </sheetData>
  <mergeCells count="8">
    <mergeCell ref="U10:Y10"/>
    <mergeCell ref="P10:T10"/>
    <mergeCell ref="J65:N65"/>
    <mergeCell ref="O65:S65"/>
    <mergeCell ref="J35:N35"/>
    <mergeCell ref="O35:S35"/>
    <mergeCell ref="J51:N51"/>
    <mergeCell ref="O51:S51"/>
  </mergeCells>
  <conditionalFormatting sqref="B2">
    <cfRule type="cellIs" dxfId="46" priority="1" operator="notEqual">
      <formula>"No Errors Found"</formula>
    </cfRule>
  </conditionalFormatting>
  <hyperlinks>
    <hyperlink ref="B3:D3" location="Cover!A1" display="Go to Cover Sheet" xr:uid="{00000000-0004-0000-04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F375"/>
  <sheetViews>
    <sheetView showGridLines="0" zoomScale="85" zoomScaleNormal="85"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0.199999999999999" x14ac:dyDescent="0.35"/>
  <cols>
    <col min="1" max="3" width="2.796875" style="120" customWidth="1"/>
    <col min="4" max="14" width="10.6640625" style="120" customWidth="1"/>
    <col min="15" max="15" width="18" style="120" customWidth="1"/>
    <col min="16" max="19" width="10.6640625" style="120" customWidth="1"/>
    <col min="20" max="24" width="16.1328125" style="120" bestFit="1" customWidth="1"/>
    <col min="25" max="25" width="16.33203125" style="120" bestFit="1" customWidth="1"/>
    <col min="26" max="31" width="16.1328125" style="120" customWidth="1"/>
    <col min="32" max="16384" width="9.1328125" style="120"/>
  </cols>
  <sheetData>
    <row r="1" spans="2:31" ht="18.899999999999999" x14ac:dyDescent="0.35">
      <c r="B1" s="119" t="s">
        <v>176</v>
      </c>
    </row>
    <row r="2" spans="2:31" x14ac:dyDescent="0.35">
      <c r="B2" s="121" t="str">
        <f>Title_Msg</f>
        <v>No Errors Found</v>
      </c>
    </row>
    <row r="3" spans="2:31" ht="12.3" x14ac:dyDescent="0.35">
      <c r="B3" s="122" t="s">
        <v>51</v>
      </c>
      <c r="C3" s="122"/>
      <c r="D3" s="122"/>
      <c r="E3" s="123"/>
    </row>
    <row r="4" spans="2:31" ht="12.3" x14ac:dyDescent="0.35">
      <c r="B4" s="124" t="str">
        <f>Model_Name</f>
        <v>Power and Water Corporation (PWC) - Regulatory Proposal Tables and Charts</v>
      </c>
    </row>
    <row r="6" spans="2:31" s="139" customFormat="1" ht="12.9" x14ac:dyDescent="0.35">
      <c r="B6" s="139" t="s">
        <v>177</v>
      </c>
    </row>
    <row r="7" spans="2:31" s="125" customFormat="1" ht="4.5" customHeight="1" x14ac:dyDescent="0.35"/>
    <row r="8" spans="2:31" s="162" customFormat="1" ht="14.4" x14ac:dyDescent="0.35">
      <c r="C8" s="162" t="s">
        <v>179</v>
      </c>
    </row>
    <row r="9" spans="2:31" x14ac:dyDescent="0.35">
      <c r="B9" s="125"/>
      <c r="C9" s="125"/>
      <c r="D9" s="125"/>
      <c r="E9" s="125"/>
      <c r="F9" s="125"/>
      <c r="G9" s="125"/>
      <c r="H9" s="125"/>
      <c r="I9" s="125"/>
      <c r="J9" s="125"/>
      <c r="K9" s="125"/>
      <c r="L9" s="125"/>
      <c r="M9" s="125"/>
    </row>
    <row r="10" spans="2:31" ht="12.6" customHeight="1" x14ac:dyDescent="0.35">
      <c r="B10" s="125"/>
      <c r="C10" s="125"/>
      <c r="D10" s="125"/>
      <c r="E10" s="125"/>
      <c r="F10" s="125"/>
      <c r="G10" s="125"/>
      <c r="H10" s="125"/>
      <c r="I10" s="125"/>
      <c r="J10" s="125"/>
      <c r="K10" s="125"/>
      <c r="L10" s="125"/>
      <c r="M10" s="125"/>
      <c r="O10" s="126" t="s">
        <v>178</v>
      </c>
      <c r="P10" s="127" t="str">
        <f>Lookup!J$20</f>
        <v>RY09</v>
      </c>
      <c r="Q10" s="127" t="str">
        <f>Lookup!K$20</f>
        <v>RY10</v>
      </c>
      <c r="R10" s="127" t="str">
        <f>Lookup!L$20</f>
        <v>RY11</v>
      </c>
      <c r="S10" s="127" t="str">
        <f>Lookup!M$20</f>
        <v>RY12</v>
      </c>
      <c r="T10" s="127" t="str">
        <f>Lookup!N$20</f>
        <v>RY13</v>
      </c>
      <c r="U10" s="127" t="str">
        <f>Lookup!O$20</f>
        <v>RY14</v>
      </c>
      <c r="V10" s="127" t="str">
        <f>Lookup!P$20</f>
        <v>RY15</v>
      </c>
      <c r="W10" s="127" t="str">
        <f>Lookup!Q$20</f>
        <v>RY16</v>
      </c>
      <c r="X10" s="127" t="str">
        <f>Lookup!R$20</f>
        <v>RY17</v>
      </c>
      <c r="Y10" s="127" t="str">
        <f>Lookup!S$20</f>
        <v>RY18</v>
      </c>
      <c r="Z10" s="127" t="str">
        <f>Lookup!T$20</f>
        <v>RY19</v>
      </c>
      <c r="AA10" s="127" t="str">
        <f>Lookup!U$20</f>
        <v>RY20</v>
      </c>
      <c r="AB10" s="127" t="str">
        <f>Lookup!V$20</f>
        <v>RY21</v>
      </c>
      <c r="AC10" s="127" t="str">
        <f>Lookup!W$20</f>
        <v>RY22</v>
      </c>
      <c r="AD10" s="127" t="str">
        <f>Lookup!X$20</f>
        <v>RY23</v>
      </c>
      <c r="AE10" s="127" t="str">
        <f>Lookup!Y$20</f>
        <v>RY24</v>
      </c>
    </row>
    <row r="11" spans="2:31" ht="12.6" customHeight="1" x14ac:dyDescent="0.35">
      <c r="B11" s="125"/>
      <c r="C11" s="125"/>
      <c r="D11" s="125"/>
      <c r="E11" s="125"/>
      <c r="F11" s="125"/>
      <c r="G11" s="125"/>
      <c r="H11" s="125"/>
      <c r="I11" s="125"/>
      <c r="J11" s="125"/>
      <c r="K11" s="125"/>
      <c r="L11" s="125"/>
      <c r="M11" s="125"/>
      <c r="O11" s="128" t="s">
        <v>214</v>
      </c>
      <c r="P11" s="129">
        <f t="shared" ref="P11:X11" si="0">P27</f>
        <v>54.598625913533091</v>
      </c>
      <c r="Q11" s="129">
        <f t="shared" si="0"/>
        <v>78.658948226568327</v>
      </c>
      <c r="R11" s="129">
        <f t="shared" si="0"/>
        <v>90.326859727549859</v>
      </c>
      <c r="S11" s="129">
        <f t="shared" si="0"/>
        <v>84.653608691599004</v>
      </c>
      <c r="T11" s="129">
        <f t="shared" si="0"/>
        <v>116.71873745502766</v>
      </c>
      <c r="U11" s="129">
        <f t="shared" si="0"/>
        <v>89.985820449097545</v>
      </c>
      <c r="V11" s="550">
        <f t="shared" si="0"/>
        <v>86.063210529636919</v>
      </c>
      <c r="W11" s="550">
        <f t="shared" si="0"/>
        <v>75.205655752714449</v>
      </c>
      <c r="X11" s="551">
        <f t="shared" si="0"/>
        <v>66.828646386346392</v>
      </c>
      <c r="Y11" s="547">
        <f>Y36*Input_Inflation!S$39</f>
        <v>50.33951071768962</v>
      </c>
      <c r="Z11" s="549">
        <f>Z36*Input_Inflation!T$39</f>
        <v>71.005598556062012</v>
      </c>
      <c r="AA11" s="130" t="e">
        <f>NA()</f>
        <v>#N/A</v>
      </c>
      <c r="AB11" s="130" t="e">
        <f>NA()</f>
        <v>#N/A</v>
      </c>
      <c r="AC11" s="130" t="e">
        <f>NA()</f>
        <v>#N/A</v>
      </c>
      <c r="AD11" s="130" t="e">
        <f>NA()</f>
        <v>#N/A</v>
      </c>
      <c r="AE11" s="130" t="e">
        <f>NA()</f>
        <v>#N/A</v>
      </c>
    </row>
    <row r="12" spans="2:31" ht="12.6" customHeight="1" x14ac:dyDescent="0.35">
      <c r="B12" s="125"/>
      <c r="C12" s="125"/>
      <c r="D12" s="125"/>
      <c r="E12" s="125"/>
      <c r="F12" s="125"/>
      <c r="G12" s="125"/>
      <c r="H12" s="125"/>
      <c r="I12" s="125"/>
      <c r="J12" s="125"/>
      <c r="K12" s="125"/>
      <c r="L12" s="125"/>
      <c r="M12" s="125"/>
      <c r="O12" s="128" t="s">
        <v>174</v>
      </c>
      <c r="P12" s="130" t="e">
        <f>NA()</f>
        <v>#N/A</v>
      </c>
      <c r="Q12" s="130" t="e">
        <f>NA()</f>
        <v>#N/A</v>
      </c>
      <c r="R12" s="130" t="e">
        <f>NA()</f>
        <v>#N/A</v>
      </c>
      <c r="S12" s="130" t="e">
        <f>NA()</f>
        <v>#N/A</v>
      </c>
      <c r="T12" s="130" t="e">
        <f>NA()</f>
        <v>#N/A</v>
      </c>
      <c r="U12" s="130" t="e">
        <f>NA()</f>
        <v>#N/A</v>
      </c>
      <c r="V12" s="547">
        <f>V37*Input_Inflation!P39</f>
        <v>83.169615434226472</v>
      </c>
      <c r="W12" s="548">
        <f>W37*Input_Inflation!Q39</f>
        <v>60.018618790789311</v>
      </c>
      <c r="X12" s="548">
        <f>X37*Input_Inflation!R39</f>
        <v>48.532487165237377</v>
      </c>
      <c r="Y12" s="548">
        <f>Y37*Input_Inflation!S39</f>
        <v>58.446617463136199</v>
      </c>
      <c r="Z12" s="549">
        <f>Z37*Input_Inflation!T39</f>
        <v>70.978226832803173</v>
      </c>
      <c r="AA12" s="130" t="e">
        <f>NA()</f>
        <v>#N/A</v>
      </c>
      <c r="AB12" s="130" t="e">
        <f>NA()</f>
        <v>#N/A</v>
      </c>
      <c r="AC12" s="130" t="e">
        <f>NA()</f>
        <v>#N/A</v>
      </c>
      <c r="AD12" s="130" t="e">
        <f>NA()</f>
        <v>#N/A</v>
      </c>
      <c r="AE12" s="130" t="e">
        <f>NA()</f>
        <v>#N/A</v>
      </c>
    </row>
    <row r="13" spans="2:31" ht="12.6" customHeight="1" x14ac:dyDescent="0.35">
      <c r="B13" s="125"/>
      <c r="C13" s="125"/>
      <c r="D13" s="125"/>
      <c r="E13" s="125"/>
      <c r="F13" s="125"/>
      <c r="G13" s="125"/>
      <c r="H13" s="125"/>
      <c r="I13" s="125"/>
      <c r="J13" s="125"/>
      <c r="K13" s="125"/>
      <c r="L13" s="125"/>
      <c r="M13" s="125"/>
    </row>
    <row r="14" spans="2:31" ht="12.6" customHeight="1" x14ac:dyDescent="0.35">
      <c r="B14" s="125"/>
      <c r="C14" s="125"/>
      <c r="D14" s="125"/>
      <c r="E14" s="125"/>
      <c r="F14" s="125"/>
      <c r="G14" s="125"/>
      <c r="H14" s="125"/>
      <c r="I14" s="125"/>
      <c r="J14" s="125"/>
      <c r="K14" s="125"/>
      <c r="L14" s="125"/>
      <c r="M14" s="125"/>
      <c r="O14" s="128" t="s">
        <v>62</v>
      </c>
      <c r="P14" s="130" t="e">
        <f>NA()</f>
        <v>#N/A</v>
      </c>
      <c r="Q14" s="130" t="e">
        <f>NA()</f>
        <v>#N/A</v>
      </c>
      <c r="R14" s="130" t="e">
        <f>NA()</f>
        <v>#N/A</v>
      </c>
      <c r="S14" s="130" t="e">
        <f>NA()</f>
        <v>#N/A</v>
      </c>
      <c r="T14" s="130" t="e">
        <f>NA()</f>
        <v>#N/A</v>
      </c>
      <c r="U14" s="130" t="e">
        <f>NA()</f>
        <v>#N/A</v>
      </c>
      <c r="V14" s="130" t="e">
        <f>NA()</f>
        <v>#N/A</v>
      </c>
      <c r="W14" s="130" t="e">
        <f>NA()</f>
        <v>#N/A</v>
      </c>
      <c r="X14" s="130" t="e">
        <f>NA()</f>
        <v>#N/A</v>
      </c>
      <c r="Y14" s="130" t="e">
        <f>NA()</f>
        <v>#N/A</v>
      </c>
      <c r="Z14" s="130" t="e">
        <f>NA()</f>
        <v>#N/A</v>
      </c>
      <c r="AA14" s="547">
        <f>AA39*Input_Inflation!U$39</f>
        <v>107.91353420214632</v>
      </c>
      <c r="AB14" s="548">
        <f>AB39*Input_Inflation!V$39</f>
        <v>88.979072632441515</v>
      </c>
      <c r="AC14" s="548">
        <f>AC39*Input_Inflation!W$39</f>
        <v>114.8581564429801</v>
      </c>
      <c r="AD14" s="548">
        <f>AD39*Input_Inflation!X$39</f>
        <v>81.771154364974066</v>
      </c>
      <c r="AE14" s="549">
        <f>AE39*Input_Inflation!Y$39</f>
        <v>77.751381124805462</v>
      </c>
    </row>
    <row r="15" spans="2:31" ht="12.6" customHeight="1" x14ac:dyDescent="0.35">
      <c r="B15" s="125"/>
      <c r="C15" s="125"/>
      <c r="D15" s="125"/>
      <c r="E15" s="125"/>
      <c r="F15" s="125"/>
      <c r="G15" s="125"/>
      <c r="H15" s="125"/>
      <c r="I15" s="125"/>
      <c r="J15" s="125"/>
      <c r="K15" s="125"/>
      <c r="L15" s="125"/>
      <c r="M15" s="125"/>
      <c r="O15" s="128" t="s">
        <v>182</v>
      </c>
      <c r="P15" s="130" t="e">
        <f>NA()</f>
        <v>#N/A</v>
      </c>
      <c r="Q15" s="130">
        <f>AVERAGE($Q$11:$U$11)</f>
        <v>92.068794909968489</v>
      </c>
      <c r="R15" s="130">
        <f t="shared" ref="R15:U15" si="1">AVERAGE($Q$11:$U$11)</f>
        <v>92.068794909968489</v>
      </c>
      <c r="S15" s="130">
        <f t="shared" si="1"/>
        <v>92.068794909968489</v>
      </c>
      <c r="T15" s="130">
        <f t="shared" si="1"/>
        <v>92.068794909968489</v>
      </c>
      <c r="U15" s="130">
        <f t="shared" si="1"/>
        <v>92.068794909968489</v>
      </c>
      <c r="V15" s="130" t="e">
        <f>NA()</f>
        <v>#N/A</v>
      </c>
      <c r="W15" s="130" t="e">
        <f>NA()</f>
        <v>#N/A</v>
      </c>
      <c r="X15" s="130" t="e">
        <f>NA()</f>
        <v>#N/A</v>
      </c>
      <c r="Y15" s="130" t="e">
        <f>NA()</f>
        <v>#N/A</v>
      </c>
      <c r="Z15" s="130" t="e">
        <f>NA()</f>
        <v>#N/A</v>
      </c>
      <c r="AA15" s="130" t="e">
        <f>NA()</f>
        <v>#N/A</v>
      </c>
      <c r="AB15" s="130" t="e">
        <f>NA()</f>
        <v>#N/A</v>
      </c>
      <c r="AC15" s="130" t="e">
        <f>NA()</f>
        <v>#N/A</v>
      </c>
      <c r="AD15" s="130" t="e">
        <f>NA()</f>
        <v>#N/A</v>
      </c>
      <c r="AE15" s="130" t="e">
        <f>NA()</f>
        <v>#N/A</v>
      </c>
    </row>
    <row r="16" spans="2:31" ht="12.6" customHeight="1" x14ac:dyDescent="0.35">
      <c r="B16" s="125"/>
      <c r="C16" s="125"/>
      <c r="D16" s="125"/>
      <c r="E16" s="125"/>
      <c r="F16" s="125"/>
      <c r="G16" s="125"/>
      <c r="H16" s="125"/>
      <c r="I16" s="125"/>
      <c r="J16" s="125"/>
      <c r="K16" s="125"/>
      <c r="L16" s="125"/>
      <c r="M16" s="125"/>
      <c r="O16" s="128" t="s">
        <v>180</v>
      </c>
      <c r="P16" s="130" t="e">
        <f>NA()</f>
        <v>#N/A</v>
      </c>
      <c r="Q16" s="130" t="e">
        <f>NA()</f>
        <v>#N/A</v>
      </c>
      <c r="R16" s="130" t="e">
        <f>NA()</f>
        <v>#N/A</v>
      </c>
      <c r="S16" s="130" t="e">
        <f>NA()</f>
        <v>#N/A</v>
      </c>
      <c r="T16" s="130" t="e">
        <f>NA()</f>
        <v>#N/A</v>
      </c>
      <c r="U16" s="130" t="e">
        <f>NA()</f>
        <v>#N/A</v>
      </c>
      <c r="V16" s="130">
        <f>AVERAGE($V$11:$Z$11)</f>
        <v>69.888524388489884</v>
      </c>
      <c r="W16" s="130">
        <f t="shared" ref="W16:Z16" si="2">AVERAGE($V$11:$Z$11)</f>
        <v>69.888524388489884</v>
      </c>
      <c r="X16" s="130">
        <f t="shared" si="2"/>
        <v>69.888524388489884</v>
      </c>
      <c r="Y16" s="130">
        <f t="shared" si="2"/>
        <v>69.888524388489884</v>
      </c>
      <c r="Z16" s="130">
        <f t="shared" si="2"/>
        <v>69.888524388489884</v>
      </c>
      <c r="AA16" s="130" t="e">
        <f>NA()</f>
        <v>#N/A</v>
      </c>
      <c r="AB16" s="130" t="e">
        <f>NA()</f>
        <v>#N/A</v>
      </c>
      <c r="AC16" s="130" t="e">
        <f>NA()</f>
        <v>#N/A</v>
      </c>
      <c r="AD16" s="130" t="e">
        <f>NA()</f>
        <v>#N/A</v>
      </c>
      <c r="AE16" s="130" t="e">
        <f>NA()</f>
        <v>#N/A</v>
      </c>
    </row>
    <row r="17" spans="2:31" ht="12.6" customHeight="1" x14ac:dyDescent="0.35">
      <c r="B17" s="125"/>
      <c r="C17" s="125"/>
      <c r="D17" s="125"/>
      <c r="E17" s="125"/>
      <c r="F17" s="125"/>
      <c r="G17" s="125"/>
      <c r="H17" s="125"/>
      <c r="I17" s="125"/>
      <c r="J17" s="125"/>
      <c r="K17" s="125"/>
      <c r="L17" s="125"/>
      <c r="M17" s="125"/>
      <c r="O17" s="128" t="s">
        <v>181</v>
      </c>
      <c r="P17" s="130" t="e">
        <f>NA()</f>
        <v>#N/A</v>
      </c>
      <c r="Q17" s="130" t="e">
        <f>NA()</f>
        <v>#N/A</v>
      </c>
      <c r="R17" s="130" t="e">
        <f>NA()</f>
        <v>#N/A</v>
      </c>
      <c r="S17" s="130" t="e">
        <f>NA()</f>
        <v>#N/A</v>
      </c>
      <c r="T17" s="130" t="e">
        <f>NA()</f>
        <v>#N/A</v>
      </c>
      <c r="U17" s="130" t="e">
        <f>NA()</f>
        <v>#N/A</v>
      </c>
      <c r="V17" s="130" t="e">
        <f>NA()</f>
        <v>#N/A</v>
      </c>
      <c r="W17" s="130" t="e">
        <f>NA()</f>
        <v>#N/A</v>
      </c>
      <c r="X17" s="130" t="e">
        <f>NA()</f>
        <v>#N/A</v>
      </c>
      <c r="Y17" s="130" t="e">
        <f>NA()</f>
        <v>#N/A</v>
      </c>
      <c r="Z17" s="130" t="e">
        <f>NA()</f>
        <v>#N/A</v>
      </c>
      <c r="AA17" s="130">
        <f>AVERAGE($AA$14:$AE$14)</f>
        <v>94.254659753469497</v>
      </c>
      <c r="AB17" s="130">
        <f t="shared" ref="AB17:AE17" si="3">AVERAGE($AA$14:$AE$14)</f>
        <v>94.254659753469497</v>
      </c>
      <c r="AC17" s="130">
        <f t="shared" si="3"/>
        <v>94.254659753469497</v>
      </c>
      <c r="AD17" s="130">
        <f t="shared" si="3"/>
        <v>94.254659753469497</v>
      </c>
      <c r="AE17" s="130">
        <f t="shared" si="3"/>
        <v>94.254659753469497</v>
      </c>
    </row>
    <row r="18" spans="2:31" ht="12.6" customHeight="1" x14ac:dyDescent="0.35">
      <c r="B18" s="125"/>
      <c r="C18" s="125"/>
      <c r="D18" s="125"/>
      <c r="E18" s="125"/>
      <c r="F18" s="125"/>
      <c r="G18" s="125"/>
      <c r="H18" s="125"/>
      <c r="I18" s="125"/>
      <c r="J18" s="125"/>
      <c r="K18" s="125"/>
      <c r="L18" s="125"/>
      <c r="M18" s="125"/>
    </row>
    <row r="19" spans="2:31" ht="12.6" customHeight="1" x14ac:dyDescent="0.35">
      <c r="B19" s="125"/>
      <c r="C19" s="125"/>
      <c r="D19" s="125"/>
      <c r="E19" s="125"/>
      <c r="F19" s="125"/>
      <c r="G19" s="125"/>
      <c r="H19" s="125"/>
      <c r="I19" s="125"/>
      <c r="J19" s="125"/>
      <c r="K19" s="125"/>
      <c r="L19" s="125"/>
      <c r="M19" s="125"/>
      <c r="O19" s="128" t="s">
        <v>184</v>
      </c>
      <c r="P19" s="128" t="s">
        <v>183</v>
      </c>
    </row>
    <row r="20" spans="2:31" ht="12.6" customHeight="1" x14ac:dyDescent="0.35">
      <c r="B20" s="125"/>
      <c r="C20" s="125"/>
      <c r="D20" s="125"/>
      <c r="E20" s="125"/>
      <c r="F20" s="125"/>
      <c r="G20" s="125"/>
      <c r="H20" s="125"/>
      <c r="I20" s="125"/>
      <c r="J20" s="125"/>
      <c r="K20" s="125"/>
      <c r="L20" s="125"/>
      <c r="M20" s="125"/>
      <c r="O20" s="128" t="s">
        <v>162</v>
      </c>
      <c r="P20" s="128" t="str">
        <f>Nominal</f>
        <v>Nominal</v>
      </c>
    </row>
    <row r="21" spans="2:31" ht="12.6" customHeight="1" x14ac:dyDescent="0.35">
      <c r="B21" s="125"/>
      <c r="C21" s="125"/>
      <c r="D21" s="125"/>
      <c r="E21" s="125"/>
      <c r="F21" s="125"/>
      <c r="G21" s="125"/>
      <c r="H21" s="125"/>
      <c r="I21" s="125"/>
      <c r="J21" s="125"/>
      <c r="K21" s="125"/>
      <c r="L21" s="125"/>
      <c r="M21" s="125"/>
      <c r="O21" s="128" t="s">
        <v>185</v>
      </c>
      <c r="P21" s="128" t="str">
        <f>Millions</f>
        <v>$Millions</v>
      </c>
    </row>
    <row r="22" spans="2:31" ht="12.6" customHeight="1" x14ac:dyDescent="0.35">
      <c r="B22" s="125"/>
      <c r="C22" s="125"/>
      <c r="D22" s="125"/>
      <c r="E22" s="125"/>
      <c r="F22" s="125"/>
      <c r="G22" s="125"/>
      <c r="H22" s="125"/>
      <c r="I22" s="125"/>
      <c r="J22" s="125"/>
      <c r="K22" s="125"/>
      <c r="L22" s="125"/>
      <c r="M22" s="125"/>
      <c r="O22" s="128" t="s">
        <v>186</v>
      </c>
      <c r="P22" s="128" t="str">
        <f>P19&amp;" ("&amp;P20&amp;", "&amp;P21&amp;")"</f>
        <v>Capex Summary (Nominal, $Millions)</v>
      </c>
    </row>
    <row r="23" spans="2:31" ht="12.6" customHeight="1" x14ac:dyDescent="0.35">
      <c r="B23" s="125"/>
      <c r="C23" s="125"/>
      <c r="D23" s="125"/>
      <c r="E23" s="125"/>
      <c r="F23" s="125"/>
      <c r="G23" s="125"/>
      <c r="H23" s="125"/>
      <c r="I23" s="125"/>
      <c r="J23" s="125"/>
      <c r="K23" s="125"/>
      <c r="L23" s="125"/>
      <c r="M23" s="125"/>
    </row>
    <row r="24" spans="2:31" ht="12.6" customHeight="1" x14ac:dyDescent="0.35">
      <c r="B24" s="125"/>
      <c r="C24" s="125"/>
      <c r="D24" s="125"/>
      <c r="E24" s="125"/>
      <c r="F24" s="125"/>
      <c r="G24" s="125"/>
      <c r="H24" s="125"/>
      <c r="I24" s="125"/>
      <c r="J24" s="125"/>
      <c r="K24" s="125"/>
      <c r="L24" s="125"/>
      <c r="M24" s="125"/>
      <c r="O24" s="126" t="str">
        <f>O$10</f>
        <v>Period</v>
      </c>
      <c r="P24" s="127" t="str">
        <f>P$10</f>
        <v>RY09</v>
      </c>
      <c r="Q24" s="127" t="str">
        <f t="shared" ref="Q24:X24" si="4">Q$10</f>
        <v>RY10</v>
      </c>
      <c r="R24" s="127" t="str">
        <f t="shared" si="4"/>
        <v>RY11</v>
      </c>
      <c r="S24" s="127" t="str">
        <f t="shared" si="4"/>
        <v>RY12</v>
      </c>
      <c r="T24" s="127" t="str">
        <f t="shared" si="4"/>
        <v>RY13</v>
      </c>
      <c r="U24" s="127" t="str">
        <f t="shared" si="4"/>
        <v>RY14</v>
      </c>
      <c r="V24" s="127" t="str">
        <f t="shared" si="4"/>
        <v>RY15</v>
      </c>
      <c r="W24" s="127" t="str">
        <f t="shared" si="4"/>
        <v>RY16</v>
      </c>
      <c r="X24" s="127" t="str">
        <f t="shared" si="4"/>
        <v>RY17</v>
      </c>
    </row>
    <row r="25" spans="2:31" ht="12.6" customHeight="1" x14ac:dyDescent="0.35">
      <c r="B25" s="125"/>
      <c r="C25" s="125"/>
      <c r="D25" s="125"/>
      <c r="E25" s="125"/>
      <c r="F25" s="125"/>
      <c r="G25" s="125"/>
      <c r="H25" s="125"/>
      <c r="I25" s="125"/>
      <c r="J25" s="125"/>
      <c r="K25" s="125"/>
      <c r="L25" s="125"/>
      <c r="M25" s="125"/>
      <c r="O25" s="132" t="s">
        <v>232</v>
      </c>
      <c r="P25" s="131">
        <v>49.036611473533092</v>
      </c>
      <c r="Q25" s="131">
        <v>76.23621506656832</v>
      </c>
      <c r="R25" s="131">
        <v>85.085816257549865</v>
      </c>
      <c r="S25" s="131">
        <v>76.948544691598997</v>
      </c>
      <c r="T25" s="131">
        <v>108.30809339502767</v>
      </c>
      <c r="U25" s="131">
        <v>84.496238119097541</v>
      </c>
      <c r="V25" s="547">
        <f>SUM('10'!N10:N14,'10'!N16,-'10'!N19)*Input_Inflation!P39</f>
        <v>77.33459877963692</v>
      </c>
      <c r="W25" s="548">
        <f>SUM('10'!O10:O14,'10'!O16,-'10'!O19)*Input_Inflation!Q39</f>
        <v>67.412442132714446</v>
      </c>
      <c r="X25" s="549">
        <f>SUM('10'!P10:P14,'10'!P16,-'10'!P19)*Input_Inflation!R39</f>
        <v>58.451179276346394</v>
      </c>
      <c r="Y25" s="546" t="s">
        <v>1375</v>
      </c>
      <c r="AA25" s="130"/>
    </row>
    <row r="26" spans="2:31" ht="12.6" customHeight="1" x14ac:dyDescent="0.35">
      <c r="B26" s="125"/>
      <c r="C26" s="125"/>
      <c r="D26" s="125"/>
      <c r="E26" s="125"/>
      <c r="F26" s="125"/>
      <c r="G26" s="125"/>
      <c r="H26" s="125"/>
      <c r="I26" s="125"/>
      <c r="J26" s="125"/>
      <c r="K26" s="125"/>
      <c r="L26" s="125"/>
      <c r="M26" s="125"/>
      <c r="O26" s="132" t="s">
        <v>157</v>
      </c>
      <c r="P26" s="131">
        <v>5.5620144400000004</v>
      </c>
      <c r="Q26" s="131">
        <v>2.4227331599999999</v>
      </c>
      <c r="R26" s="131">
        <v>5.2410434700000001</v>
      </c>
      <c r="S26" s="131">
        <v>7.7050640000000001</v>
      </c>
      <c r="T26" s="131">
        <v>8.410644060000001</v>
      </c>
      <c r="U26" s="131">
        <v>5.4895823300000002</v>
      </c>
      <c r="V26" s="547">
        <f>'10'!N19*Input_Inflation!P39</f>
        <v>8.7286117500000007</v>
      </c>
      <c r="W26" s="548">
        <f>'10'!O19*Input_Inflation!Q39</f>
        <v>7.7932136200000004</v>
      </c>
      <c r="X26" s="549">
        <f>'10'!P19*Input_Inflation!R39</f>
        <v>8.3774671099999996</v>
      </c>
    </row>
    <row r="27" spans="2:31" ht="12.6" customHeight="1" x14ac:dyDescent="0.35">
      <c r="B27" s="125"/>
      <c r="C27" s="125"/>
      <c r="D27" s="125"/>
      <c r="E27" s="125"/>
      <c r="F27" s="125"/>
      <c r="G27" s="125"/>
      <c r="H27" s="125"/>
      <c r="I27" s="125"/>
      <c r="J27" s="125"/>
      <c r="K27" s="125"/>
      <c r="L27" s="125"/>
      <c r="M27" s="125"/>
      <c r="O27" s="132" t="s">
        <v>112</v>
      </c>
      <c r="P27" s="130">
        <f t="shared" ref="P27:X27" si="5">SUM(P25:P26)</f>
        <v>54.598625913533091</v>
      </c>
      <c r="Q27" s="130">
        <f t="shared" si="5"/>
        <v>78.658948226568327</v>
      </c>
      <c r="R27" s="130">
        <f t="shared" si="5"/>
        <v>90.326859727549859</v>
      </c>
      <c r="S27" s="130">
        <f t="shared" si="5"/>
        <v>84.653608691599004</v>
      </c>
      <c r="T27" s="130">
        <f t="shared" si="5"/>
        <v>116.71873745502766</v>
      </c>
      <c r="U27" s="130">
        <f t="shared" si="5"/>
        <v>89.985820449097545</v>
      </c>
      <c r="V27" s="130">
        <f t="shared" si="5"/>
        <v>86.063210529636919</v>
      </c>
      <c r="W27" s="130">
        <f t="shared" si="5"/>
        <v>75.205655752714449</v>
      </c>
      <c r="X27" s="130">
        <f t="shared" si="5"/>
        <v>66.828646386346392</v>
      </c>
    </row>
    <row r="28" spans="2:31" ht="12.6" customHeight="1" x14ac:dyDescent="0.35">
      <c r="B28" s="125"/>
      <c r="C28" s="125"/>
      <c r="D28" s="125"/>
      <c r="E28" s="125"/>
      <c r="F28" s="125"/>
      <c r="G28" s="125"/>
      <c r="H28" s="125"/>
      <c r="I28" s="125"/>
      <c r="J28" s="125"/>
      <c r="K28" s="125"/>
      <c r="L28" s="125"/>
      <c r="M28" s="125"/>
      <c r="O28" s="132"/>
    </row>
    <row r="29" spans="2:31" ht="12.6" customHeight="1" x14ac:dyDescent="0.35">
      <c r="B29" s="125"/>
      <c r="C29" s="125"/>
      <c r="D29" s="125"/>
      <c r="E29" s="125"/>
      <c r="F29" s="125"/>
      <c r="G29" s="125"/>
      <c r="H29" s="125"/>
      <c r="I29" s="125"/>
      <c r="J29" s="125"/>
      <c r="K29" s="125"/>
      <c r="L29" s="125"/>
      <c r="M29" s="125"/>
      <c r="O29" s="132"/>
      <c r="P29" s="130"/>
      <c r="Q29" s="130"/>
      <c r="R29" s="130"/>
      <c r="S29" s="130"/>
      <c r="T29" s="130"/>
      <c r="U29" s="130"/>
      <c r="V29" s="130"/>
      <c r="W29" s="130"/>
      <c r="X29" s="130"/>
      <c r="Y29" s="130"/>
      <c r="Z29" s="130"/>
    </row>
    <row r="30" spans="2:31" ht="12.6" customHeight="1" x14ac:dyDescent="0.35">
      <c r="B30" s="125"/>
      <c r="C30" s="125"/>
      <c r="D30" s="125"/>
      <c r="E30" s="125"/>
      <c r="F30" s="125"/>
      <c r="G30" s="125"/>
      <c r="H30" s="125"/>
      <c r="I30" s="125"/>
      <c r="J30" s="125"/>
      <c r="K30" s="125"/>
      <c r="L30" s="125"/>
      <c r="M30" s="125"/>
      <c r="O30" s="133"/>
      <c r="P30" s="130"/>
      <c r="Q30" s="130"/>
      <c r="R30" s="130"/>
      <c r="S30" s="130"/>
      <c r="T30" s="130"/>
      <c r="U30" s="130"/>
      <c r="V30" s="130"/>
      <c r="W30" s="130"/>
      <c r="X30" s="130"/>
      <c r="Y30" s="130"/>
      <c r="Z30" s="130"/>
    </row>
    <row r="31" spans="2:31" ht="12.3" x14ac:dyDescent="0.35">
      <c r="B31" s="125"/>
      <c r="C31" s="125"/>
      <c r="D31" s="125"/>
      <c r="E31" s="125"/>
      <c r="F31" s="125"/>
      <c r="G31" s="125"/>
      <c r="H31" s="125"/>
      <c r="I31" s="125"/>
      <c r="J31" s="125"/>
      <c r="K31" s="125"/>
      <c r="L31" s="125"/>
      <c r="M31" s="125"/>
      <c r="Y31" s="130"/>
      <c r="Z31" s="130"/>
    </row>
    <row r="32" spans="2:31" x14ac:dyDescent="0.35">
      <c r="B32" s="125"/>
      <c r="C32" s="125"/>
      <c r="D32" s="125"/>
      <c r="E32" s="125"/>
      <c r="F32" s="125"/>
      <c r="G32" s="125"/>
      <c r="H32" s="125"/>
      <c r="I32" s="125"/>
      <c r="J32" s="125"/>
      <c r="K32" s="125"/>
      <c r="L32" s="125"/>
      <c r="M32" s="125"/>
    </row>
    <row r="33" spans="3:31" s="162" customFormat="1" ht="14.4" x14ac:dyDescent="0.35">
      <c r="C33" s="162" t="s">
        <v>187</v>
      </c>
    </row>
    <row r="34" spans="3:31" x14ac:dyDescent="0.35">
      <c r="C34" s="125"/>
      <c r="D34" s="125"/>
      <c r="E34" s="125"/>
      <c r="F34" s="125"/>
      <c r="G34" s="125"/>
      <c r="H34" s="125"/>
      <c r="I34" s="125"/>
      <c r="J34" s="125"/>
      <c r="K34" s="125"/>
      <c r="L34" s="125"/>
      <c r="M34" s="125"/>
    </row>
    <row r="35" spans="3:31" ht="12.6" customHeight="1" x14ac:dyDescent="0.35">
      <c r="C35" s="125"/>
      <c r="D35" s="125"/>
      <c r="E35" s="125"/>
      <c r="F35" s="125"/>
      <c r="G35" s="125"/>
      <c r="H35" s="125"/>
      <c r="I35" s="125"/>
      <c r="J35" s="125"/>
      <c r="K35" s="125"/>
      <c r="L35" s="125"/>
      <c r="M35" s="125"/>
      <c r="O35" s="126" t="str">
        <f>O$10</f>
        <v>Period</v>
      </c>
      <c r="P35" s="127" t="str">
        <f t="shared" ref="P35:AE35" si="6">P$10</f>
        <v>RY09</v>
      </c>
      <c r="Q35" s="127" t="str">
        <f t="shared" si="6"/>
        <v>RY10</v>
      </c>
      <c r="R35" s="127" t="str">
        <f t="shared" si="6"/>
        <v>RY11</v>
      </c>
      <c r="S35" s="127" t="str">
        <f t="shared" si="6"/>
        <v>RY12</v>
      </c>
      <c r="T35" s="127" t="str">
        <f t="shared" si="6"/>
        <v>RY13</v>
      </c>
      <c r="U35" s="127" t="str">
        <f t="shared" si="6"/>
        <v>RY14</v>
      </c>
      <c r="V35" s="127" t="str">
        <f t="shared" si="6"/>
        <v>RY15</v>
      </c>
      <c r="W35" s="127" t="str">
        <f t="shared" si="6"/>
        <v>RY16</v>
      </c>
      <c r="X35" s="127" t="str">
        <f t="shared" si="6"/>
        <v>RY17</v>
      </c>
      <c r="Y35" s="127" t="str">
        <f t="shared" si="6"/>
        <v>RY18</v>
      </c>
      <c r="Z35" s="127" t="str">
        <f t="shared" si="6"/>
        <v>RY19</v>
      </c>
      <c r="AA35" s="127" t="str">
        <f t="shared" si="6"/>
        <v>RY20</v>
      </c>
      <c r="AB35" s="127" t="str">
        <f t="shared" si="6"/>
        <v>RY21</v>
      </c>
      <c r="AC35" s="127" t="str">
        <f t="shared" si="6"/>
        <v>RY22</v>
      </c>
      <c r="AD35" s="127" t="str">
        <f t="shared" si="6"/>
        <v>RY23</v>
      </c>
      <c r="AE35" s="127" t="str">
        <f t="shared" si="6"/>
        <v>RY24</v>
      </c>
    </row>
    <row r="36" spans="3:31" ht="12.6" customHeight="1" x14ac:dyDescent="0.35">
      <c r="C36" s="125"/>
      <c r="D36" s="125"/>
      <c r="E36" s="125"/>
      <c r="F36" s="125"/>
      <c r="G36" s="125"/>
      <c r="H36" s="125"/>
      <c r="I36" s="125"/>
      <c r="J36" s="125"/>
      <c r="K36" s="125"/>
      <c r="L36" s="125"/>
      <c r="M36" s="125"/>
      <c r="O36" s="128" t="str">
        <f>O11</f>
        <v>Actuals/Estimate</v>
      </c>
      <c r="P36" s="130">
        <f>P27/Input_Inflation!J$39</f>
        <v>68.33406059115292</v>
      </c>
      <c r="Q36" s="130">
        <f>Q27/Input_Inflation!K$39</f>
        <v>96.265048242818324</v>
      </c>
      <c r="R36" s="130">
        <f>R27/Input_Inflation!L$39</f>
        <v>106.97675762651191</v>
      </c>
      <c r="S36" s="130">
        <f>S27/Input_Inflation!M$39</f>
        <v>97.934090214394317</v>
      </c>
      <c r="T36" s="130">
        <f>T27/Input_Inflation!N$39</f>
        <v>132.64420365450627</v>
      </c>
      <c r="U36" s="130">
        <f>U27/Input_Inflation!O$39</f>
        <v>99.572784621888644</v>
      </c>
      <c r="V36" s="547">
        <f>'10'!E14</f>
        <v>93.127177435620766</v>
      </c>
      <c r="W36" s="548">
        <f>'10'!F14</f>
        <v>80.360469791588031</v>
      </c>
      <c r="X36" s="548">
        <f>'10'!G14</f>
        <v>59.085274133730124</v>
      </c>
      <c r="Y36" s="548">
        <f>'10'!H14</f>
        <v>51.984323017251796</v>
      </c>
      <c r="Z36" s="549">
        <f>'10'!I14</f>
        <v>71.799968066820824</v>
      </c>
      <c r="AA36" s="130" t="e">
        <f>NA()</f>
        <v>#N/A</v>
      </c>
      <c r="AB36" s="130" t="e">
        <f>NA()</f>
        <v>#N/A</v>
      </c>
      <c r="AC36" s="130" t="e">
        <f>NA()</f>
        <v>#N/A</v>
      </c>
      <c r="AD36" s="130" t="e">
        <f>NA()</f>
        <v>#N/A</v>
      </c>
      <c r="AE36" s="130" t="e">
        <f>NA()</f>
        <v>#N/A</v>
      </c>
    </row>
    <row r="37" spans="3:31" ht="12.6" customHeight="1" x14ac:dyDescent="0.35">
      <c r="C37" s="125"/>
      <c r="D37" s="125"/>
      <c r="E37" s="125"/>
      <c r="F37" s="125"/>
      <c r="G37" s="125"/>
      <c r="H37" s="125"/>
      <c r="I37" s="125"/>
      <c r="J37" s="125"/>
      <c r="K37" s="125"/>
      <c r="L37" s="125"/>
      <c r="M37" s="125"/>
      <c r="O37" s="128" t="str">
        <f t="shared" ref="O37:O39" si="7">O12</f>
        <v>UC Allowance</v>
      </c>
      <c r="P37" s="130" t="e">
        <f>NA()</f>
        <v>#N/A</v>
      </c>
      <c r="Q37" s="130" t="e">
        <f>Q12/Input_Inflation!K$39</f>
        <v>#N/A</v>
      </c>
      <c r="R37" s="130" t="e">
        <f>R12/Input_Inflation!L$39</f>
        <v>#N/A</v>
      </c>
      <c r="S37" s="130" t="e">
        <f>S12/Input_Inflation!M$39</f>
        <v>#N/A</v>
      </c>
      <c r="T37" s="130" t="e">
        <f>T12/Input_Inflation!N$39</f>
        <v>#N/A</v>
      </c>
      <c r="U37" s="130" t="e">
        <f>U12/Input_Inflation!O$39</f>
        <v>#N/A</v>
      </c>
      <c r="V37" s="547">
        <f>'10'!E13</f>
        <v>89.99607946450412</v>
      </c>
      <c r="W37" s="548">
        <f>'10'!F13</f>
        <v>64.132469213872696</v>
      </c>
      <c r="X37" s="548">
        <f>'10'!G13</f>
        <v>51.104004725386105</v>
      </c>
      <c r="Y37" s="548">
        <f>'10'!H13</f>
        <v>60.356324448774217</v>
      </c>
      <c r="Z37" s="549">
        <f>'10'!I13</f>
        <v>71.772290124575647</v>
      </c>
      <c r="AA37" s="130" t="e">
        <f>NA()</f>
        <v>#N/A</v>
      </c>
      <c r="AB37" s="130" t="e">
        <f>NA()</f>
        <v>#N/A</v>
      </c>
      <c r="AC37" s="130" t="e">
        <f>NA()</f>
        <v>#N/A</v>
      </c>
      <c r="AD37" s="130" t="e">
        <f>NA()</f>
        <v>#N/A</v>
      </c>
      <c r="AE37" s="130" t="e">
        <f>NA()</f>
        <v>#N/A</v>
      </c>
    </row>
    <row r="38" spans="3:31" ht="12.6" customHeight="1" x14ac:dyDescent="0.35">
      <c r="C38" s="125"/>
      <c r="D38" s="125"/>
      <c r="E38" s="125"/>
      <c r="F38" s="125"/>
      <c r="G38" s="125"/>
      <c r="H38" s="125"/>
      <c r="I38" s="125"/>
      <c r="J38" s="125"/>
      <c r="K38" s="125"/>
      <c r="L38" s="125"/>
      <c r="M38" s="125"/>
    </row>
    <row r="39" spans="3:31" ht="12.6" customHeight="1" x14ac:dyDescent="0.35">
      <c r="C39" s="125"/>
      <c r="D39" s="125"/>
      <c r="E39" s="125"/>
      <c r="F39" s="125"/>
      <c r="G39" s="125"/>
      <c r="H39" s="125"/>
      <c r="I39" s="125"/>
      <c r="J39" s="125"/>
      <c r="K39" s="125"/>
      <c r="L39" s="125"/>
      <c r="M39" s="125"/>
      <c r="O39" s="128" t="str">
        <f t="shared" si="7"/>
        <v>Forecast</v>
      </c>
      <c r="P39" s="130" t="e">
        <f>NA()</f>
        <v>#N/A</v>
      </c>
      <c r="Q39" s="130" t="e">
        <f>NA()</f>
        <v>#N/A</v>
      </c>
      <c r="R39" s="130" t="e">
        <f>NA()</f>
        <v>#N/A</v>
      </c>
      <c r="S39" s="130" t="e">
        <f>NA()</f>
        <v>#N/A</v>
      </c>
      <c r="T39" s="130" t="e">
        <f>NA()</f>
        <v>#N/A</v>
      </c>
      <c r="U39" s="130" t="e">
        <f>NA()</f>
        <v>#N/A</v>
      </c>
      <c r="V39" s="130" t="e">
        <f>NA()</f>
        <v>#N/A</v>
      </c>
      <c r="W39" s="130" t="e">
        <f>NA()</f>
        <v>#N/A</v>
      </c>
      <c r="X39" s="130" t="e">
        <f>NA()</f>
        <v>#N/A</v>
      </c>
      <c r="Y39" s="130" t="e">
        <f>NA()</f>
        <v>#N/A</v>
      </c>
      <c r="Z39" s="130" t="e">
        <f>NA()</f>
        <v>#N/A</v>
      </c>
      <c r="AA39" s="547">
        <f>'10'!E62</f>
        <v>106.62847438601433</v>
      </c>
      <c r="AB39" s="548">
        <f>'10'!F62</f>
        <v>85.838024351250866</v>
      </c>
      <c r="AC39" s="548">
        <f>'10'!G62</f>
        <v>108.18031417197174</v>
      </c>
      <c r="AD39" s="548">
        <f>'10'!H62</f>
        <v>75.193635822841031</v>
      </c>
      <c r="AE39" s="549">
        <f>'10'!I62</f>
        <v>69.804533180258048</v>
      </c>
    </row>
    <row r="40" spans="3:31" ht="12.6" customHeight="1" x14ac:dyDescent="0.35">
      <c r="C40" s="125"/>
      <c r="D40" s="125"/>
      <c r="E40" s="125"/>
      <c r="F40" s="125"/>
      <c r="G40" s="125"/>
      <c r="H40" s="125"/>
      <c r="I40" s="125"/>
      <c r="J40" s="125"/>
      <c r="K40" s="125"/>
      <c r="L40" s="125"/>
      <c r="M40" s="125"/>
      <c r="O40" s="128" t="str">
        <f>$O$15</f>
        <v>Avg: 10-14</v>
      </c>
      <c r="P40" s="130" t="e">
        <f>NA()</f>
        <v>#N/A</v>
      </c>
      <c r="Q40" s="130">
        <f>AVERAGE($Q$36:$U$36)</f>
        <v>106.67857687202388</v>
      </c>
      <c r="R40" s="130">
        <f t="shared" ref="R40:U40" si="8">AVERAGE($Q$36:$U$36)</f>
        <v>106.67857687202388</v>
      </c>
      <c r="S40" s="130">
        <f t="shared" si="8"/>
        <v>106.67857687202388</v>
      </c>
      <c r="T40" s="130">
        <f t="shared" si="8"/>
        <v>106.67857687202388</v>
      </c>
      <c r="U40" s="130">
        <f t="shared" si="8"/>
        <v>106.67857687202388</v>
      </c>
      <c r="V40" s="130" t="e">
        <f>NA()</f>
        <v>#N/A</v>
      </c>
      <c r="W40" s="130" t="e">
        <f>NA()</f>
        <v>#N/A</v>
      </c>
      <c r="X40" s="130" t="e">
        <f>NA()</f>
        <v>#N/A</v>
      </c>
      <c r="Y40" s="130" t="e">
        <f>NA()</f>
        <v>#N/A</v>
      </c>
      <c r="Z40" s="130" t="e">
        <f>NA()</f>
        <v>#N/A</v>
      </c>
      <c r="AA40" s="130" t="e">
        <f>NA()</f>
        <v>#N/A</v>
      </c>
      <c r="AB40" s="130" t="e">
        <f>NA()</f>
        <v>#N/A</v>
      </c>
      <c r="AC40" s="130" t="e">
        <f>NA()</f>
        <v>#N/A</v>
      </c>
      <c r="AD40" s="130" t="e">
        <f>NA()</f>
        <v>#N/A</v>
      </c>
      <c r="AE40" s="130" t="e">
        <f>NA()</f>
        <v>#N/A</v>
      </c>
    </row>
    <row r="41" spans="3:31" ht="12.6" customHeight="1" x14ac:dyDescent="0.35">
      <c r="C41" s="125"/>
      <c r="D41" s="125"/>
      <c r="E41" s="125"/>
      <c r="F41" s="125"/>
      <c r="G41" s="125"/>
      <c r="H41" s="125"/>
      <c r="I41" s="125"/>
      <c r="J41" s="125"/>
      <c r="K41" s="125"/>
      <c r="L41" s="125"/>
      <c r="M41" s="125"/>
      <c r="O41" s="128" t="str">
        <f>$O$16</f>
        <v>Avg: 15-19</v>
      </c>
      <c r="P41" s="130" t="e">
        <f>NA()</f>
        <v>#N/A</v>
      </c>
      <c r="Q41" s="130" t="e">
        <f>NA()</f>
        <v>#N/A</v>
      </c>
      <c r="R41" s="130" t="e">
        <f>NA()</f>
        <v>#N/A</v>
      </c>
      <c r="S41" s="130" t="e">
        <f>NA()</f>
        <v>#N/A</v>
      </c>
      <c r="T41" s="130" t="e">
        <f>NA()</f>
        <v>#N/A</v>
      </c>
      <c r="U41" s="130" t="e">
        <f>NA()</f>
        <v>#N/A</v>
      </c>
      <c r="V41" s="130">
        <f>AVERAGE($V$36:$Z$36)</f>
        <v>71.271442489002311</v>
      </c>
      <c r="W41" s="130">
        <f t="shared" ref="W41:Z41" si="9">AVERAGE($V$36:$Z$36)</f>
        <v>71.271442489002311</v>
      </c>
      <c r="X41" s="130">
        <f t="shared" si="9"/>
        <v>71.271442489002311</v>
      </c>
      <c r="Y41" s="130">
        <f t="shared" si="9"/>
        <v>71.271442489002311</v>
      </c>
      <c r="Z41" s="130">
        <f t="shared" si="9"/>
        <v>71.271442489002311</v>
      </c>
      <c r="AA41" s="130" t="e">
        <f>NA()</f>
        <v>#N/A</v>
      </c>
      <c r="AB41" s="130" t="e">
        <f>NA()</f>
        <v>#N/A</v>
      </c>
      <c r="AC41" s="130" t="e">
        <f>NA()</f>
        <v>#N/A</v>
      </c>
      <c r="AD41" s="130" t="e">
        <f>NA()</f>
        <v>#N/A</v>
      </c>
      <c r="AE41" s="130" t="e">
        <f>NA()</f>
        <v>#N/A</v>
      </c>
    </row>
    <row r="42" spans="3:31" ht="12.6" customHeight="1" x14ac:dyDescent="0.35">
      <c r="C42" s="125"/>
      <c r="D42" s="125"/>
      <c r="E42" s="125"/>
      <c r="F42" s="125"/>
      <c r="G42" s="125"/>
      <c r="H42" s="125"/>
      <c r="I42" s="125"/>
      <c r="J42" s="125"/>
      <c r="K42" s="125"/>
      <c r="L42" s="125"/>
      <c r="M42" s="125"/>
      <c r="O42" s="128" t="str">
        <f>$O$17</f>
        <v>Avg: 20-24</v>
      </c>
      <c r="P42" s="130" t="e">
        <f>NA()</f>
        <v>#N/A</v>
      </c>
      <c r="Q42" s="130" t="e">
        <f>NA()</f>
        <v>#N/A</v>
      </c>
      <c r="R42" s="130" t="e">
        <f>NA()</f>
        <v>#N/A</v>
      </c>
      <c r="S42" s="130" t="e">
        <f>NA()</f>
        <v>#N/A</v>
      </c>
      <c r="T42" s="130" t="e">
        <f>NA()</f>
        <v>#N/A</v>
      </c>
      <c r="U42" s="130" t="e">
        <f>NA()</f>
        <v>#N/A</v>
      </c>
      <c r="V42" s="130" t="e">
        <f>NA()</f>
        <v>#N/A</v>
      </c>
      <c r="W42" s="130" t="e">
        <f>NA()</f>
        <v>#N/A</v>
      </c>
      <c r="X42" s="130" t="e">
        <f>NA()</f>
        <v>#N/A</v>
      </c>
      <c r="Y42" s="130" t="e">
        <f>NA()</f>
        <v>#N/A</v>
      </c>
      <c r="Z42" s="130" t="e">
        <f>NA()</f>
        <v>#N/A</v>
      </c>
      <c r="AA42" s="130">
        <f>AVERAGE($AA$39:$AE$39)</f>
        <v>89.128996382467193</v>
      </c>
      <c r="AB42" s="130">
        <f t="shared" ref="AB42:AE42" si="10">AVERAGE($AA$39:$AE$39)</f>
        <v>89.128996382467193</v>
      </c>
      <c r="AC42" s="130">
        <f t="shared" si="10"/>
        <v>89.128996382467193</v>
      </c>
      <c r="AD42" s="130">
        <f t="shared" si="10"/>
        <v>89.128996382467193</v>
      </c>
      <c r="AE42" s="130">
        <f t="shared" si="10"/>
        <v>89.128996382467193</v>
      </c>
    </row>
    <row r="43" spans="3:31" ht="12.6" customHeight="1" x14ac:dyDescent="0.35">
      <c r="C43" s="125"/>
      <c r="D43" s="125"/>
      <c r="E43" s="125"/>
      <c r="F43" s="125"/>
      <c r="G43" s="125"/>
      <c r="H43" s="125"/>
      <c r="I43" s="125"/>
      <c r="J43" s="125"/>
      <c r="K43" s="125"/>
      <c r="L43" s="125"/>
      <c r="M43" s="125"/>
    </row>
    <row r="44" spans="3:31" ht="12.6" customHeight="1" x14ac:dyDescent="0.35">
      <c r="C44" s="125"/>
      <c r="D44" s="125"/>
      <c r="E44" s="125"/>
      <c r="F44" s="125"/>
      <c r="G44" s="125"/>
      <c r="H44" s="125"/>
      <c r="I44" s="125"/>
      <c r="J44" s="125"/>
      <c r="K44" s="125"/>
      <c r="L44" s="125"/>
      <c r="M44" s="125"/>
      <c r="O44" s="128" t="str">
        <f>$O$19</f>
        <v>Chart Name:</v>
      </c>
      <c r="P44" s="128" t="s">
        <v>183</v>
      </c>
    </row>
    <row r="45" spans="3:31" ht="12.6" customHeight="1" x14ac:dyDescent="0.35">
      <c r="C45" s="125"/>
      <c r="D45" s="125"/>
      <c r="E45" s="125"/>
      <c r="F45" s="125"/>
      <c r="G45" s="125"/>
      <c r="H45" s="125"/>
      <c r="I45" s="125"/>
      <c r="J45" s="125"/>
      <c r="K45" s="125"/>
      <c r="L45" s="125"/>
      <c r="M45" s="125"/>
      <c r="O45" s="128" t="str">
        <f>$O$20</f>
        <v>Dollar Basis:</v>
      </c>
      <c r="P45" s="128" t="str">
        <f>Real2019</f>
        <v>Real $2019</v>
      </c>
    </row>
    <row r="46" spans="3:31" ht="12.6" customHeight="1" x14ac:dyDescent="0.35">
      <c r="C46" s="125"/>
      <c r="D46" s="125"/>
      <c r="E46" s="125"/>
      <c r="F46" s="125"/>
      <c r="G46" s="125"/>
      <c r="H46" s="125"/>
      <c r="I46" s="125"/>
      <c r="J46" s="125"/>
      <c r="K46" s="125"/>
      <c r="L46" s="125"/>
      <c r="M46" s="125"/>
      <c r="O46" s="128" t="str">
        <f>$O$21</f>
        <v>Units:</v>
      </c>
      <c r="P46" s="128" t="str">
        <f>Millions</f>
        <v>$Millions</v>
      </c>
    </row>
    <row r="47" spans="3:31" ht="12.6" customHeight="1" x14ac:dyDescent="0.35">
      <c r="C47" s="125"/>
      <c r="D47" s="125"/>
      <c r="E47" s="125"/>
      <c r="F47" s="125"/>
      <c r="G47" s="125"/>
      <c r="H47" s="125"/>
      <c r="I47" s="125"/>
      <c r="J47" s="125"/>
      <c r="K47" s="125"/>
      <c r="L47" s="125"/>
      <c r="M47" s="125"/>
      <c r="O47" s="128" t="str">
        <f>$O$22</f>
        <v>Full Chart Title:</v>
      </c>
      <c r="P47" s="128" t="str">
        <f>P44&amp;" ("&amp;P45&amp;", "&amp;P46&amp;")"</f>
        <v>Capex Summary (Real $2019, $Millions)</v>
      </c>
    </row>
    <row r="48" spans="3:31" ht="12.6" customHeight="1" x14ac:dyDescent="0.35">
      <c r="C48" s="125"/>
      <c r="D48" s="125"/>
      <c r="E48" s="125"/>
      <c r="F48" s="125"/>
      <c r="G48" s="125"/>
      <c r="H48" s="125"/>
      <c r="I48" s="125"/>
      <c r="J48" s="125"/>
      <c r="K48" s="125"/>
      <c r="L48" s="125"/>
      <c r="M48" s="125"/>
    </row>
    <row r="49" spans="2:31" ht="12.6" customHeight="1" x14ac:dyDescent="0.35">
      <c r="C49" s="125"/>
      <c r="D49" s="125"/>
      <c r="E49" s="125"/>
      <c r="F49" s="125"/>
      <c r="G49" s="125"/>
      <c r="H49" s="125"/>
      <c r="I49" s="125"/>
      <c r="J49" s="125"/>
      <c r="K49" s="125"/>
      <c r="L49" s="125"/>
      <c r="M49" s="125"/>
    </row>
    <row r="50" spans="2:31" ht="12.6" customHeight="1" x14ac:dyDescent="0.35">
      <c r="C50" s="125"/>
      <c r="D50" s="125"/>
      <c r="E50" s="125"/>
      <c r="F50" s="125"/>
      <c r="G50" s="125"/>
      <c r="H50" s="125"/>
      <c r="I50" s="125"/>
      <c r="J50" s="125"/>
      <c r="K50" s="125"/>
      <c r="L50" s="125"/>
      <c r="M50" s="125"/>
    </row>
    <row r="51" spans="2:31" ht="12.6" customHeight="1" x14ac:dyDescent="0.35">
      <c r="C51" s="125"/>
      <c r="D51" s="125"/>
      <c r="E51" s="125"/>
      <c r="F51" s="125"/>
      <c r="G51" s="125"/>
      <c r="H51" s="125"/>
      <c r="I51" s="125"/>
      <c r="J51" s="125"/>
      <c r="K51" s="125"/>
      <c r="L51" s="125"/>
      <c r="M51" s="125"/>
    </row>
    <row r="52" spans="2:31" ht="12.6" customHeight="1" x14ac:dyDescent="0.35">
      <c r="C52" s="125"/>
      <c r="D52" s="125"/>
      <c r="E52" s="125"/>
      <c r="F52" s="125"/>
      <c r="G52" s="125"/>
      <c r="H52" s="125"/>
      <c r="I52" s="125"/>
      <c r="J52" s="125"/>
      <c r="K52" s="125"/>
      <c r="L52" s="125"/>
      <c r="M52" s="125"/>
    </row>
    <row r="53" spans="2:31" ht="12.6" customHeight="1" x14ac:dyDescent="0.35">
      <c r="C53" s="125"/>
      <c r="D53" s="125"/>
      <c r="E53" s="125"/>
      <c r="F53" s="125"/>
      <c r="G53" s="125"/>
      <c r="H53" s="125"/>
      <c r="I53" s="125"/>
      <c r="J53" s="125"/>
      <c r="K53" s="125"/>
      <c r="L53" s="125"/>
      <c r="M53" s="125"/>
    </row>
    <row r="54" spans="2:31" ht="12.6" customHeight="1" x14ac:dyDescent="0.35">
      <c r="C54" s="125"/>
      <c r="D54" s="125"/>
      <c r="E54" s="125"/>
      <c r="F54" s="125"/>
      <c r="G54" s="125"/>
      <c r="H54" s="125"/>
      <c r="I54" s="125"/>
      <c r="J54" s="125"/>
      <c r="K54" s="125"/>
      <c r="L54" s="125"/>
      <c r="M54" s="125"/>
    </row>
    <row r="55" spans="2:31" ht="12.6" customHeight="1" x14ac:dyDescent="0.35">
      <c r="C55" s="125"/>
      <c r="D55" s="125"/>
      <c r="E55" s="125"/>
      <c r="F55" s="125"/>
      <c r="G55" s="125"/>
      <c r="H55" s="125"/>
      <c r="I55" s="125"/>
      <c r="J55" s="125"/>
      <c r="K55" s="125"/>
      <c r="L55" s="125"/>
      <c r="M55" s="125"/>
    </row>
    <row r="56" spans="2:31" x14ac:dyDescent="0.35">
      <c r="C56" s="125"/>
      <c r="D56" s="125"/>
      <c r="E56" s="125"/>
      <c r="F56" s="125"/>
      <c r="G56" s="125"/>
      <c r="H56" s="125"/>
      <c r="I56" s="125"/>
      <c r="J56" s="125"/>
      <c r="K56" s="125"/>
      <c r="L56" s="125"/>
      <c r="M56" s="125"/>
    </row>
    <row r="57" spans="2:31" s="139" customFormat="1" ht="12.9" x14ac:dyDescent="0.35">
      <c r="B57" s="139" t="s">
        <v>217</v>
      </c>
    </row>
    <row r="58" spans="2:31" s="125" customFormat="1" ht="4.5" customHeight="1" x14ac:dyDescent="0.35"/>
    <row r="59" spans="2:31" s="162" customFormat="1" ht="14.4" x14ac:dyDescent="0.35">
      <c r="C59" s="162" t="str">
        <f>B57&amp;" - "&amp;P69</f>
        <v>Augmentation Capex - Direct Escalated - Nominal</v>
      </c>
    </row>
    <row r="60" spans="2:31" x14ac:dyDescent="0.35">
      <c r="C60" s="125"/>
      <c r="D60" s="125"/>
      <c r="E60" s="125"/>
      <c r="F60" s="125"/>
      <c r="G60" s="125"/>
      <c r="H60" s="125"/>
      <c r="I60" s="125"/>
      <c r="J60" s="125"/>
      <c r="K60" s="125"/>
      <c r="L60" s="125"/>
      <c r="M60" s="125"/>
    </row>
    <row r="61" spans="2:31" ht="12.6" customHeight="1" x14ac:dyDescent="0.35">
      <c r="C61" s="125"/>
      <c r="D61" s="125"/>
      <c r="E61" s="125"/>
      <c r="F61" s="125"/>
      <c r="G61" s="125"/>
      <c r="H61" s="125"/>
      <c r="I61" s="125"/>
      <c r="J61" s="125"/>
      <c r="K61" s="125"/>
      <c r="L61" s="125"/>
      <c r="M61" s="125"/>
      <c r="O61" s="126" t="str">
        <f>O$10</f>
        <v>Period</v>
      </c>
      <c r="P61" s="127" t="str">
        <f t="shared" ref="P61:AE61" si="11">P$10</f>
        <v>RY09</v>
      </c>
      <c r="Q61" s="127" t="str">
        <f t="shared" si="11"/>
        <v>RY10</v>
      </c>
      <c r="R61" s="127" t="str">
        <f t="shared" si="11"/>
        <v>RY11</v>
      </c>
      <c r="S61" s="127" t="str">
        <f t="shared" si="11"/>
        <v>RY12</v>
      </c>
      <c r="T61" s="127" t="str">
        <f t="shared" si="11"/>
        <v>RY13</v>
      </c>
      <c r="U61" s="127" t="str">
        <f t="shared" si="11"/>
        <v>RY14</v>
      </c>
      <c r="V61" s="127" t="str">
        <f t="shared" si="11"/>
        <v>RY15</v>
      </c>
      <c r="W61" s="127" t="str">
        <f t="shared" si="11"/>
        <v>RY16</v>
      </c>
      <c r="X61" s="127" t="str">
        <f t="shared" si="11"/>
        <v>RY17</v>
      </c>
      <c r="Y61" s="127" t="str">
        <f t="shared" si="11"/>
        <v>RY18</v>
      </c>
      <c r="Z61" s="127" t="str">
        <f t="shared" si="11"/>
        <v>RY19</v>
      </c>
      <c r="AA61" s="127" t="str">
        <f t="shared" si="11"/>
        <v>RY20</v>
      </c>
      <c r="AB61" s="127" t="str">
        <f t="shared" si="11"/>
        <v>RY21</v>
      </c>
      <c r="AC61" s="127" t="str">
        <f t="shared" si="11"/>
        <v>RY22</v>
      </c>
      <c r="AD61" s="127" t="str">
        <f t="shared" si="11"/>
        <v>RY23</v>
      </c>
      <c r="AE61" s="127" t="str">
        <f t="shared" si="11"/>
        <v>RY24</v>
      </c>
    </row>
    <row r="62" spans="2:31" ht="12.6" customHeight="1" x14ac:dyDescent="0.35">
      <c r="C62" s="125"/>
      <c r="D62" s="125"/>
      <c r="E62" s="125"/>
      <c r="F62" s="125"/>
      <c r="G62" s="125"/>
      <c r="H62" s="125"/>
      <c r="I62" s="125"/>
      <c r="J62" s="125"/>
      <c r="K62" s="125"/>
      <c r="L62" s="125"/>
      <c r="M62" s="125"/>
      <c r="O62" s="128" t="str">
        <f>$O$11</f>
        <v>Actuals/Estimate</v>
      </c>
      <c r="P62" s="131">
        <v>31.757977439282982</v>
      </c>
      <c r="Q62" s="131">
        <v>57.479194001331919</v>
      </c>
      <c r="R62" s="131">
        <v>52.524992477064607</v>
      </c>
      <c r="S62" s="131">
        <v>31.745955883084861</v>
      </c>
      <c r="T62" s="131">
        <v>62.089144155765531</v>
      </c>
      <c r="U62" s="131">
        <v>29.658235541408729</v>
      </c>
      <c r="V62" s="130">
        <f>V87*Input_Inflation!P$39</f>
        <v>23.668510701580434</v>
      </c>
      <c r="W62" s="130">
        <f>W87*Input_Inflation!Q$39</f>
        <v>17.562837162606233</v>
      </c>
      <c r="X62" s="130">
        <f>X87*Input_Inflation!R$39</f>
        <v>12.834467993108163</v>
      </c>
      <c r="Y62" s="130">
        <f>Y87*Input_Inflation!S$39</f>
        <v>14.0331795029338</v>
      </c>
      <c r="Z62" s="130">
        <f>Z87*Input_Inflation!T$39</f>
        <v>3.9878556157979821</v>
      </c>
      <c r="AA62" s="130" t="e">
        <f>NA()</f>
        <v>#N/A</v>
      </c>
      <c r="AB62" s="130" t="e">
        <f>NA()</f>
        <v>#N/A</v>
      </c>
      <c r="AC62" s="130" t="e">
        <f>NA()</f>
        <v>#N/A</v>
      </c>
      <c r="AD62" s="130" t="e">
        <f>NA()</f>
        <v>#N/A</v>
      </c>
      <c r="AE62" s="130" t="e">
        <f>NA()</f>
        <v>#N/A</v>
      </c>
    </row>
    <row r="63" spans="2:31" ht="12.6" customHeight="1" x14ac:dyDescent="0.35">
      <c r="C63" s="125"/>
      <c r="D63" s="125"/>
      <c r="E63" s="125"/>
      <c r="F63" s="125"/>
      <c r="G63" s="125"/>
      <c r="H63" s="125"/>
      <c r="I63" s="125"/>
      <c r="J63" s="125"/>
      <c r="K63" s="125"/>
      <c r="L63" s="125"/>
      <c r="M63" s="125"/>
      <c r="O63" s="128" t="str">
        <f>$O$14</f>
        <v>Forecast</v>
      </c>
      <c r="P63" s="130" t="e">
        <f>NA()</f>
        <v>#N/A</v>
      </c>
      <c r="Q63" s="130" t="e">
        <f>NA()</f>
        <v>#N/A</v>
      </c>
      <c r="R63" s="130" t="e">
        <f>NA()</f>
        <v>#N/A</v>
      </c>
      <c r="S63" s="130" t="e">
        <f>NA()</f>
        <v>#N/A</v>
      </c>
      <c r="T63" s="130" t="e">
        <f>NA()</f>
        <v>#N/A</v>
      </c>
      <c r="U63" s="130" t="e">
        <f>NA()</f>
        <v>#N/A</v>
      </c>
      <c r="V63" s="130" t="e">
        <f>NA()</f>
        <v>#N/A</v>
      </c>
      <c r="W63" s="130" t="e">
        <f>NA()</f>
        <v>#N/A</v>
      </c>
      <c r="X63" s="130" t="e">
        <f>NA()</f>
        <v>#N/A</v>
      </c>
      <c r="Y63" s="130" t="e">
        <f>NA()</f>
        <v>#N/A</v>
      </c>
      <c r="Z63" s="130" t="e">
        <f>NA()</f>
        <v>#N/A</v>
      </c>
      <c r="AA63" s="130">
        <f>AA88*Input_Inflation!U$39</f>
        <v>7.4840259732504091</v>
      </c>
      <c r="AB63" s="130">
        <f>AB88*Input_Inflation!V$39</f>
        <v>5.9666106083096322</v>
      </c>
      <c r="AC63" s="130">
        <f>AC88*Input_Inflation!W$39</f>
        <v>16.410499428634559</v>
      </c>
      <c r="AD63" s="130">
        <f>AD88*Input_Inflation!X$39</f>
        <v>19.123387380169852</v>
      </c>
      <c r="AE63" s="130">
        <f>AE88*Input_Inflation!Y$39</f>
        <v>16.037097305416818</v>
      </c>
    </row>
    <row r="64" spans="2:31" ht="12.6" customHeight="1" x14ac:dyDescent="0.35">
      <c r="C64" s="125"/>
      <c r="D64" s="125"/>
      <c r="E64" s="125"/>
      <c r="F64" s="125"/>
      <c r="G64" s="125"/>
      <c r="H64" s="125"/>
      <c r="I64" s="125"/>
      <c r="J64" s="125"/>
      <c r="K64" s="125"/>
      <c r="L64" s="125"/>
      <c r="M64" s="125"/>
      <c r="O64" s="128" t="str">
        <f>$O$15</f>
        <v>Avg: 10-14</v>
      </c>
      <c r="P64" s="130" t="e">
        <f>NA()</f>
        <v>#N/A</v>
      </c>
      <c r="Q64" s="130">
        <f>AVERAGE($Q62:$U62)</f>
        <v>46.699504411731127</v>
      </c>
      <c r="R64" s="130">
        <f t="shared" ref="R64:U64" si="12">AVERAGE($Q62:$U62)</f>
        <v>46.699504411731127</v>
      </c>
      <c r="S64" s="130">
        <f t="shared" si="12"/>
        <v>46.699504411731127</v>
      </c>
      <c r="T64" s="130">
        <f t="shared" si="12"/>
        <v>46.699504411731127</v>
      </c>
      <c r="U64" s="130">
        <f t="shared" si="12"/>
        <v>46.699504411731127</v>
      </c>
      <c r="V64" s="130" t="e">
        <f>NA()</f>
        <v>#N/A</v>
      </c>
      <c r="W64" s="130" t="e">
        <f>NA()</f>
        <v>#N/A</v>
      </c>
      <c r="X64" s="130" t="e">
        <f>NA()</f>
        <v>#N/A</v>
      </c>
      <c r="Y64" s="130" t="e">
        <f>NA()</f>
        <v>#N/A</v>
      </c>
      <c r="Z64" s="130" t="e">
        <f>NA()</f>
        <v>#N/A</v>
      </c>
      <c r="AA64" s="130" t="e">
        <f>NA()</f>
        <v>#N/A</v>
      </c>
      <c r="AB64" s="130" t="e">
        <f>NA()</f>
        <v>#N/A</v>
      </c>
      <c r="AC64" s="130" t="e">
        <f>NA()</f>
        <v>#N/A</v>
      </c>
      <c r="AD64" s="130" t="e">
        <f>NA()</f>
        <v>#N/A</v>
      </c>
      <c r="AE64" s="130" t="e">
        <f>NA()</f>
        <v>#N/A</v>
      </c>
    </row>
    <row r="65" spans="3:31" ht="12.6" customHeight="1" x14ac:dyDescent="0.35">
      <c r="C65" s="125"/>
      <c r="D65" s="125"/>
      <c r="E65" s="125"/>
      <c r="F65" s="125"/>
      <c r="G65" s="125"/>
      <c r="H65" s="125"/>
      <c r="I65" s="125"/>
      <c r="J65" s="125"/>
      <c r="K65" s="125"/>
      <c r="L65" s="125"/>
      <c r="M65" s="125"/>
      <c r="O65" s="128" t="str">
        <f>$O$16</f>
        <v>Avg: 15-19</v>
      </c>
      <c r="P65" s="130" t="e">
        <f>NA()</f>
        <v>#N/A</v>
      </c>
      <c r="Q65" s="130" t="e">
        <f>NA()</f>
        <v>#N/A</v>
      </c>
      <c r="R65" s="130" t="e">
        <f>NA()</f>
        <v>#N/A</v>
      </c>
      <c r="S65" s="130" t="e">
        <f>NA()</f>
        <v>#N/A</v>
      </c>
      <c r="T65" s="130" t="e">
        <f>NA()</f>
        <v>#N/A</v>
      </c>
      <c r="U65" s="130" t="e">
        <f>NA()</f>
        <v>#N/A</v>
      </c>
      <c r="V65" s="130">
        <f>AVERAGE($V62:$Z62)</f>
        <v>14.417370195205322</v>
      </c>
      <c r="W65" s="130">
        <f t="shared" ref="W65:Z65" si="13">AVERAGE($V62:$Z62)</f>
        <v>14.417370195205322</v>
      </c>
      <c r="X65" s="130">
        <f t="shared" si="13"/>
        <v>14.417370195205322</v>
      </c>
      <c r="Y65" s="130">
        <f t="shared" si="13"/>
        <v>14.417370195205322</v>
      </c>
      <c r="Z65" s="130">
        <f t="shared" si="13"/>
        <v>14.417370195205322</v>
      </c>
      <c r="AA65" s="130" t="e">
        <f>NA()</f>
        <v>#N/A</v>
      </c>
      <c r="AB65" s="130" t="e">
        <f>NA()</f>
        <v>#N/A</v>
      </c>
      <c r="AC65" s="130" t="e">
        <f>NA()</f>
        <v>#N/A</v>
      </c>
      <c r="AD65" s="130" t="e">
        <f>NA()</f>
        <v>#N/A</v>
      </c>
      <c r="AE65" s="130" t="e">
        <f>NA()</f>
        <v>#N/A</v>
      </c>
    </row>
    <row r="66" spans="3:31" ht="12.6" customHeight="1" x14ac:dyDescent="0.35">
      <c r="C66" s="125"/>
      <c r="D66" s="125"/>
      <c r="E66" s="125"/>
      <c r="F66" s="125"/>
      <c r="G66" s="125"/>
      <c r="H66" s="125"/>
      <c r="I66" s="125"/>
      <c r="J66" s="125"/>
      <c r="K66" s="125"/>
      <c r="L66" s="125"/>
      <c r="M66" s="125"/>
      <c r="O66" s="128" t="str">
        <f>$O$17</f>
        <v>Avg: 20-24</v>
      </c>
      <c r="P66" s="130" t="e">
        <f>NA()</f>
        <v>#N/A</v>
      </c>
      <c r="Q66" s="130" t="e">
        <f>NA()</f>
        <v>#N/A</v>
      </c>
      <c r="R66" s="130" t="e">
        <f>NA()</f>
        <v>#N/A</v>
      </c>
      <c r="S66" s="130" t="e">
        <f>NA()</f>
        <v>#N/A</v>
      </c>
      <c r="T66" s="130" t="e">
        <f>NA()</f>
        <v>#N/A</v>
      </c>
      <c r="U66" s="130" t="e">
        <f>NA()</f>
        <v>#N/A</v>
      </c>
      <c r="V66" s="130" t="e">
        <f>NA()</f>
        <v>#N/A</v>
      </c>
      <c r="W66" s="130" t="e">
        <f>NA()</f>
        <v>#N/A</v>
      </c>
      <c r="X66" s="130" t="e">
        <f>NA()</f>
        <v>#N/A</v>
      </c>
      <c r="Y66" s="130" t="e">
        <f>NA()</f>
        <v>#N/A</v>
      </c>
      <c r="Z66" s="130" t="e">
        <f>NA()</f>
        <v>#N/A</v>
      </c>
      <c r="AA66" s="130">
        <f>AVERAGE($AA63:$AE63)</f>
        <v>13.004324139156253</v>
      </c>
      <c r="AB66" s="130">
        <f t="shared" ref="AB66:AE66" si="14">AVERAGE($AA63:$AE63)</f>
        <v>13.004324139156253</v>
      </c>
      <c r="AC66" s="130">
        <f t="shared" si="14"/>
        <v>13.004324139156253</v>
      </c>
      <c r="AD66" s="130">
        <f t="shared" si="14"/>
        <v>13.004324139156253</v>
      </c>
      <c r="AE66" s="130">
        <f t="shared" si="14"/>
        <v>13.004324139156253</v>
      </c>
    </row>
    <row r="67" spans="3:31" ht="12.6" customHeight="1" x14ac:dyDescent="0.35">
      <c r="C67" s="125"/>
      <c r="D67" s="125"/>
      <c r="E67" s="125"/>
      <c r="F67" s="125"/>
      <c r="G67" s="125"/>
      <c r="H67" s="125"/>
      <c r="I67" s="125"/>
      <c r="J67" s="125"/>
      <c r="K67" s="125"/>
      <c r="L67" s="125"/>
      <c r="M67" s="125"/>
    </row>
    <row r="68" spans="3:31" ht="12.6" customHeight="1" x14ac:dyDescent="0.35">
      <c r="C68" s="125"/>
      <c r="D68" s="125"/>
      <c r="E68" s="125"/>
      <c r="F68" s="125"/>
      <c r="G68" s="125"/>
      <c r="H68" s="125"/>
      <c r="I68" s="125"/>
      <c r="J68" s="125"/>
      <c r="K68" s="125"/>
      <c r="L68" s="125"/>
      <c r="M68" s="125"/>
      <c r="O68" s="128" t="str">
        <f>$O$19</f>
        <v>Chart Name:</v>
      </c>
      <c r="P68" s="128" t="str">
        <f>B57</f>
        <v>Augmentation Capex - Direct Escalated</v>
      </c>
    </row>
    <row r="69" spans="3:31" ht="12.6" customHeight="1" x14ac:dyDescent="0.35">
      <c r="C69" s="125"/>
      <c r="D69" s="125"/>
      <c r="E69" s="125"/>
      <c r="F69" s="125"/>
      <c r="G69" s="125"/>
      <c r="H69" s="125"/>
      <c r="I69" s="125"/>
      <c r="J69" s="125"/>
      <c r="K69" s="125"/>
      <c r="L69" s="125"/>
      <c r="M69" s="125"/>
      <c r="O69" s="128" t="str">
        <f>$O$20</f>
        <v>Dollar Basis:</v>
      </c>
      <c r="P69" s="128" t="str">
        <f>Nominal</f>
        <v>Nominal</v>
      </c>
    </row>
    <row r="70" spans="3:31" ht="12.6" customHeight="1" x14ac:dyDescent="0.35">
      <c r="C70" s="125"/>
      <c r="D70" s="125"/>
      <c r="E70" s="125"/>
      <c r="F70" s="125"/>
      <c r="G70" s="125"/>
      <c r="H70" s="125"/>
      <c r="I70" s="125"/>
      <c r="J70" s="125"/>
      <c r="K70" s="125"/>
      <c r="L70" s="125"/>
      <c r="M70" s="125"/>
      <c r="O70" s="128" t="str">
        <f>$O$21</f>
        <v>Units:</v>
      </c>
      <c r="P70" s="128" t="str">
        <f>Millions</f>
        <v>$Millions</v>
      </c>
    </row>
    <row r="71" spans="3:31" ht="12.6" customHeight="1" x14ac:dyDescent="0.35">
      <c r="C71" s="125"/>
      <c r="D71" s="125"/>
      <c r="E71" s="125"/>
      <c r="F71" s="125"/>
      <c r="G71" s="125"/>
      <c r="H71" s="125"/>
      <c r="I71" s="125"/>
      <c r="J71" s="125"/>
      <c r="K71" s="125"/>
      <c r="L71" s="125"/>
      <c r="M71" s="125"/>
      <c r="O71" s="128" t="str">
        <f>$O$22</f>
        <v>Full Chart Title:</v>
      </c>
      <c r="P71" s="128" t="str">
        <f>P68&amp;" ("&amp;P69&amp;", "&amp;P70&amp;")"</f>
        <v>Augmentation Capex - Direct Escalated (Nominal, $Millions)</v>
      </c>
    </row>
    <row r="72" spans="3:31" ht="12.6" customHeight="1" x14ac:dyDescent="0.35">
      <c r="C72" s="125"/>
      <c r="D72" s="125"/>
      <c r="E72" s="125"/>
      <c r="F72" s="125"/>
      <c r="G72" s="125"/>
      <c r="H72" s="125"/>
      <c r="I72" s="125"/>
      <c r="J72" s="125"/>
      <c r="K72" s="125"/>
      <c r="L72" s="125"/>
      <c r="M72" s="125"/>
    </row>
    <row r="73" spans="3:31" ht="12.6" customHeight="1" x14ac:dyDescent="0.35">
      <c r="C73" s="125"/>
      <c r="D73" s="125"/>
      <c r="E73" s="125"/>
      <c r="F73" s="125"/>
      <c r="G73" s="125"/>
      <c r="H73" s="125"/>
      <c r="I73" s="125"/>
      <c r="J73" s="125"/>
      <c r="K73" s="125"/>
      <c r="L73" s="125"/>
      <c r="M73" s="125"/>
    </row>
    <row r="74" spans="3:31" ht="12.6" customHeight="1" x14ac:dyDescent="0.35">
      <c r="C74" s="125"/>
      <c r="D74" s="125"/>
      <c r="E74" s="125"/>
      <c r="F74" s="125"/>
      <c r="G74" s="125"/>
      <c r="H74" s="125"/>
      <c r="I74" s="125"/>
      <c r="J74" s="125"/>
      <c r="K74" s="125"/>
      <c r="L74" s="125"/>
      <c r="M74" s="125"/>
    </row>
    <row r="75" spans="3:31" ht="12.6" customHeight="1" x14ac:dyDescent="0.35">
      <c r="C75" s="125"/>
      <c r="D75" s="125"/>
      <c r="E75" s="125"/>
      <c r="F75" s="125"/>
      <c r="G75" s="125"/>
      <c r="H75" s="125"/>
      <c r="I75" s="125"/>
      <c r="J75" s="125"/>
      <c r="K75" s="125"/>
      <c r="L75" s="125"/>
      <c r="M75" s="125"/>
    </row>
    <row r="76" spans="3:31" ht="12.6" customHeight="1" x14ac:dyDescent="0.35">
      <c r="C76" s="125"/>
      <c r="D76" s="125"/>
      <c r="E76" s="125"/>
      <c r="F76" s="125"/>
      <c r="G76" s="125"/>
      <c r="H76" s="125"/>
      <c r="I76" s="125"/>
      <c r="J76" s="125"/>
      <c r="K76" s="125"/>
      <c r="L76" s="125"/>
      <c r="M76" s="125"/>
    </row>
    <row r="77" spans="3:31" ht="12.6" customHeight="1" x14ac:dyDescent="0.35">
      <c r="C77" s="125"/>
      <c r="D77" s="125"/>
      <c r="E77" s="125"/>
      <c r="F77" s="125"/>
      <c r="G77" s="125"/>
      <c r="H77" s="125"/>
      <c r="I77" s="125"/>
      <c r="J77" s="125"/>
      <c r="K77" s="125"/>
      <c r="L77" s="125"/>
      <c r="M77" s="125"/>
    </row>
    <row r="78" spans="3:31" ht="12.6" customHeight="1" x14ac:dyDescent="0.35">
      <c r="C78" s="125"/>
      <c r="D78" s="125"/>
      <c r="E78" s="125"/>
      <c r="F78" s="125"/>
      <c r="G78" s="125"/>
      <c r="H78" s="125"/>
      <c r="I78" s="125"/>
      <c r="J78" s="125"/>
      <c r="K78" s="125"/>
      <c r="L78" s="125"/>
      <c r="M78" s="125"/>
    </row>
    <row r="79" spans="3:31" ht="12.6" customHeight="1" x14ac:dyDescent="0.35">
      <c r="C79" s="125"/>
      <c r="D79" s="125"/>
      <c r="E79" s="125"/>
      <c r="F79" s="125"/>
      <c r="G79" s="125"/>
      <c r="H79" s="125"/>
      <c r="I79" s="125"/>
      <c r="J79" s="125"/>
      <c r="K79" s="125"/>
      <c r="L79" s="125"/>
      <c r="M79" s="125"/>
    </row>
    <row r="80" spans="3:31" ht="12.6" customHeight="1" x14ac:dyDescent="0.35">
      <c r="C80" s="125"/>
      <c r="D80" s="125"/>
      <c r="E80" s="125"/>
      <c r="F80" s="125"/>
      <c r="G80" s="125"/>
      <c r="H80" s="125"/>
      <c r="I80" s="125"/>
      <c r="J80" s="125"/>
      <c r="K80" s="125"/>
      <c r="L80" s="125"/>
      <c r="M80" s="125"/>
    </row>
    <row r="81" spans="3:31" ht="12.6" customHeight="1" x14ac:dyDescent="0.35">
      <c r="C81" s="125"/>
      <c r="D81" s="125"/>
      <c r="E81" s="125"/>
      <c r="F81" s="125"/>
      <c r="G81" s="125"/>
      <c r="H81" s="125"/>
      <c r="I81" s="125"/>
      <c r="J81" s="125"/>
      <c r="K81" s="125"/>
      <c r="L81" s="125"/>
      <c r="M81" s="125"/>
    </row>
    <row r="82" spans="3:31" x14ac:dyDescent="0.35">
      <c r="C82" s="125"/>
      <c r="D82" s="125"/>
      <c r="E82" s="125"/>
      <c r="F82" s="125"/>
      <c r="G82" s="125"/>
      <c r="H82" s="125"/>
      <c r="I82" s="125"/>
      <c r="J82" s="125"/>
      <c r="K82" s="125"/>
      <c r="L82" s="125"/>
      <c r="M82" s="125"/>
    </row>
    <row r="83" spans="3:31" x14ac:dyDescent="0.35">
      <c r="C83" s="125"/>
      <c r="D83" s="125"/>
      <c r="E83" s="125"/>
      <c r="F83" s="125"/>
      <c r="G83" s="125"/>
      <c r="H83" s="125"/>
      <c r="I83" s="125"/>
      <c r="J83" s="125"/>
      <c r="K83" s="125"/>
      <c r="L83" s="125"/>
      <c r="M83" s="125"/>
    </row>
    <row r="84" spans="3:31" s="162" customFormat="1" ht="14.4" x14ac:dyDescent="0.35">
      <c r="C84" s="162" t="str">
        <f>B57&amp;" - "&amp;P94</f>
        <v>Augmentation Capex - Direct Escalated - Real $2019</v>
      </c>
    </row>
    <row r="85" spans="3:31" x14ac:dyDescent="0.35">
      <c r="C85" s="125"/>
      <c r="D85" s="125"/>
      <c r="E85" s="125"/>
      <c r="F85" s="125"/>
      <c r="G85" s="125"/>
      <c r="H85" s="125"/>
      <c r="I85" s="125"/>
      <c r="J85" s="125"/>
      <c r="K85" s="125"/>
      <c r="L85" s="125"/>
      <c r="M85" s="125"/>
    </row>
    <row r="86" spans="3:31" ht="12.6" customHeight="1" x14ac:dyDescent="0.35">
      <c r="C86" s="125"/>
      <c r="D86" s="125"/>
      <c r="E86" s="125"/>
      <c r="F86" s="125"/>
      <c r="G86" s="125"/>
      <c r="H86" s="125"/>
      <c r="I86" s="125"/>
      <c r="J86" s="125"/>
      <c r="K86" s="125"/>
      <c r="L86" s="125"/>
      <c r="M86" s="125"/>
      <c r="O86" s="126" t="str">
        <f>O$10</f>
        <v>Period</v>
      </c>
      <c r="P86" s="127" t="str">
        <f t="shared" ref="P86:AE86" si="15">P$10</f>
        <v>RY09</v>
      </c>
      <c r="Q86" s="127" t="str">
        <f t="shared" si="15"/>
        <v>RY10</v>
      </c>
      <c r="R86" s="127" t="str">
        <f t="shared" si="15"/>
        <v>RY11</v>
      </c>
      <c r="S86" s="127" t="str">
        <f t="shared" si="15"/>
        <v>RY12</v>
      </c>
      <c r="T86" s="127" t="str">
        <f t="shared" si="15"/>
        <v>RY13</v>
      </c>
      <c r="U86" s="127" t="str">
        <f t="shared" si="15"/>
        <v>RY14</v>
      </c>
      <c r="V86" s="127" t="str">
        <f t="shared" si="15"/>
        <v>RY15</v>
      </c>
      <c r="W86" s="127" t="str">
        <f t="shared" si="15"/>
        <v>RY16</v>
      </c>
      <c r="X86" s="127" t="str">
        <f t="shared" si="15"/>
        <v>RY17</v>
      </c>
      <c r="Y86" s="127" t="str">
        <f t="shared" si="15"/>
        <v>RY18</v>
      </c>
      <c r="Z86" s="127" t="str">
        <f t="shared" si="15"/>
        <v>RY19</v>
      </c>
      <c r="AA86" s="127" t="str">
        <f t="shared" si="15"/>
        <v>RY20</v>
      </c>
      <c r="AB86" s="127" t="str">
        <f t="shared" si="15"/>
        <v>RY21</v>
      </c>
      <c r="AC86" s="127" t="str">
        <f t="shared" si="15"/>
        <v>RY22</v>
      </c>
      <c r="AD86" s="127" t="str">
        <f t="shared" si="15"/>
        <v>RY23</v>
      </c>
      <c r="AE86" s="127" t="str">
        <f t="shared" si="15"/>
        <v>RY24</v>
      </c>
    </row>
    <row r="87" spans="3:31" ht="12.6" customHeight="1" x14ac:dyDescent="0.35">
      <c r="C87" s="125"/>
      <c r="D87" s="125"/>
      <c r="E87" s="125"/>
      <c r="F87" s="125"/>
      <c r="G87" s="125"/>
      <c r="H87" s="125"/>
      <c r="I87" s="125"/>
      <c r="J87" s="125"/>
      <c r="K87" s="125"/>
      <c r="L87" s="125"/>
      <c r="M87" s="125"/>
      <c r="O87" s="128" t="str">
        <f>$O$11</f>
        <v>Actuals/Estimate</v>
      </c>
      <c r="P87" s="130">
        <f>P62/Input_Inflation!J$39</f>
        <v>39.74736576750599</v>
      </c>
      <c r="Q87" s="130">
        <f>Q62/Input_Inflation!K$39</f>
        <v>70.344665270105793</v>
      </c>
      <c r="R87" s="130">
        <f>R62/Input_Inflation!L$39</f>
        <v>62.206894012496164</v>
      </c>
      <c r="S87" s="130">
        <f>S62/Input_Inflation!M$39</f>
        <v>36.726270213980285</v>
      </c>
      <c r="T87" s="130">
        <f>T62/Input_Inflation!N$39</f>
        <v>70.560779371903706</v>
      </c>
      <c r="U87" s="130">
        <f>U62/Input_Inflation!O$39</f>
        <v>32.817982712070176</v>
      </c>
      <c r="V87" s="547">
        <f>'10'!N11</f>
        <v>25.611194169707776</v>
      </c>
      <c r="W87" s="548">
        <f>'10'!O11</f>
        <v>18.766645023359938</v>
      </c>
      <c r="X87" s="548">
        <f>'10'!P11</f>
        <v>13.514508554538208</v>
      </c>
      <c r="Y87" s="548">
        <f>'10'!Q11</f>
        <v>14.491704941884445</v>
      </c>
      <c r="Z87" s="549">
        <f>'10'!R11</f>
        <v>4.0324694346927989</v>
      </c>
      <c r="AA87" s="130" t="e">
        <f>NA()</f>
        <v>#N/A</v>
      </c>
      <c r="AB87" s="130" t="e">
        <f>NA()</f>
        <v>#N/A</v>
      </c>
      <c r="AC87" s="130" t="e">
        <f>NA()</f>
        <v>#N/A</v>
      </c>
      <c r="AD87" s="130" t="e">
        <f>NA()</f>
        <v>#N/A</v>
      </c>
      <c r="AE87" s="130" t="e">
        <f>NA()</f>
        <v>#N/A</v>
      </c>
    </row>
    <row r="88" spans="3:31" ht="12.6" customHeight="1" x14ac:dyDescent="0.35">
      <c r="C88" s="125"/>
      <c r="D88" s="125"/>
      <c r="E88" s="125"/>
      <c r="F88" s="125"/>
      <c r="G88" s="125"/>
      <c r="H88" s="125"/>
      <c r="I88" s="125"/>
      <c r="J88" s="125"/>
      <c r="K88" s="125"/>
      <c r="L88" s="125"/>
      <c r="M88" s="125"/>
      <c r="O88" s="128" t="str">
        <f>$O$14</f>
        <v>Forecast</v>
      </c>
      <c r="P88" s="130" t="e">
        <f>NA()</f>
        <v>#N/A</v>
      </c>
      <c r="Q88" s="130" t="e">
        <f>NA()</f>
        <v>#N/A</v>
      </c>
      <c r="R88" s="130" t="e">
        <f>NA()</f>
        <v>#N/A</v>
      </c>
      <c r="S88" s="130" t="e">
        <f>NA()</f>
        <v>#N/A</v>
      </c>
      <c r="T88" s="130" t="e">
        <f>NA()</f>
        <v>#N/A</v>
      </c>
      <c r="U88" s="130" t="e">
        <f>NA()</f>
        <v>#N/A</v>
      </c>
      <c r="V88" s="130" t="e">
        <f>NA()</f>
        <v>#N/A</v>
      </c>
      <c r="W88" s="130" t="e">
        <f>NA()</f>
        <v>#N/A</v>
      </c>
      <c r="X88" s="130" t="e">
        <f>NA()</f>
        <v>#N/A</v>
      </c>
      <c r="Y88" s="130" t="e">
        <f>NA()</f>
        <v>#N/A</v>
      </c>
      <c r="Z88" s="130" t="e">
        <f>NA()</f>
        <v>#N/A</v>
      </c>
      <c r="AA88" s="547">
        <f>'10'!E57</f>
        <v>7.3949044268918529</v>
      </c>
      <c r="AB88" s="548">
        <f>'10'!F57</f>
        <v>5.7559834187772951</v>
      </c>
      <c r="AC88" s="548">
        <f>'10'!G57</f>
        <v>15.456394555574914</v>
      </c>
      <c r="AD88" s="548">
        <f>'10'!H57</f>
        <v>17.585137907500812</v>
      </c>
      <c r="AE88" s="549">
        <f>'10'!I57</f>
        <v>14.397970489733808</v>
      </c>
    </row>
    <row r="89" spans="3:31" ht="12.6" customHeight="1" x14ac:dyDescent="0.35">
      <c r="C89" s="125"/>
      <c r="D89" s="125"/>
      <c r="E89" s="125"/>
      <c r="F89" s="125"/>
      <c r="G89" s="125"/>
      <c r="H89" s="125"/>
      <c r="I89" s="125"/>
      <c r="J89" s="125"/>
      <c r="K89" s="125"/>
      <c r="L89" s="125"/>
      <c r="M89" s="125"/>
      <c r="O89" s="128" t="str">
        <f>$O$15</f>
        <v>Avg: 10-14</v>
      </c>
      <c r="P89" s="130" t="e">
        <f>NA()</f>
        <v>#N/A</v>
      </c>
      <c r="Q89" s="130">
        <f t="shared" ref="Q89:T89" si="16">AVERAGE($Q87:$U87)</f>
        <v>54.531318316111218</v>
      </c>
      <c r="R89" s="130">
        <f t="shared" si="16"/>
        <v>54.531318316111218</v>
      </c>
      <c r="S89" s="130">
        <f t="shared" si="16"/>
        <v>54.531318316111218</v>
      </c>
      <c r="T89" s="130">
        <f t="shared" si="16"/>
        <v>54.531318316111218</v>
      </c>
      <c r="U89" s="130">
        <f>AVERAGE($Q87:$U87)</f>
        <v>54.531318316111218</v>
      </c>
      <c r="V89" s="130" t="e">
        <f>NA()</f>
        <v>#N/A</v>
      </c>
      <c r="W89" s="130" t="e">
        <f>NA()</f>
        <v>#N/A</v>
      </c>
      <c r="X89" s="130" t="e">
        <f>NA()</f>
        <v>#N/A</v>
      </c>
      <c r="Y89" s="130" t="e">
        <f>NA()</f>
        <v>#N/A</v>
      </c>
      <c r="Z89" s="130" t="e">
        <f>NA()</f>
        <v>#N/A</v>
      </c>
      <c r="AA89" s="130" t="e">
        <f>NA()</f>
        <v>#N/A</v>
      </c>
      <c r="AB89" s="130" t="e">
        <f>NA()</f>
        <v>#N/A</v>
      </c>
      <c r="AC89" s="130" t="e">
        <f>NA()</f>
        <v>#N/A</v>
      </c>
      <c r="AD89" s="130" t="e">
        <f>NA()</f>
        <v>#N/A</v>
      </c>
      <c r="AE89" s="130" t="e">
        <f>NA()</f>
        <v>#N/A</v>
      </c>
    </row>
    <row r="90" spans="3:31" ht="12.6" customHeight="1" x14ac:dyDescent="0.35">
      <c r="C90" s="125"/>
      <c r="D90" s="125"/>
      <c r="E90" s="125"/>
      <c r="F90" s="125"/>
      <c r="G90" s="125"/>
      <c r="H90" s="125"/>
      <c r="I90" s="125"/>
      <c r="J90" s="125"/>
      <c r="K90" s="125"/>
      <c r="L90" s="125"/>
      <c r="M90" s="125"/>
      <c r="O90" s="128" t="str">
        <f>$O$16</f>
        <v>Avg: 15-19</v>
      </c>
      <c r="P90" s="130" t="e">
        <f>NA()</f>
        <v>#N/A</v>
      </c>
      <c r="Q90" s="130" t="e">
        <f>NA()</f>
        <v>#N/A</v>
      </c>
      <c r="R90" s="130" t="e">
        <f>NA()</f>
        <v>#N/A</v>
      </c>
      <c r="S90" s="130" t="e">
        <f>NA()</f>
        <v>#N/A</v>
      </c>
      <c r="T90" s="130" t="e">
        <f>NA()</f>
        <v>#N/A</v>
      </c>
      <c r="U90" s="130" t="e">
        <f>NA()</f>
        <v>#N/A</v>
      </c>
      <c r="V90" s="130">
        <f t="shared" ref="V90:Y90" si="17">AVERAGE($V87:$Z87)</f>
        <v>15.283304424836635</v>
      </c>
      <c r="W90" s="130">
        <f t="shared" si="17"/>
        <v>15.283304424836635</v>
      </c>
      <c r="X90" s="130">
        <f t="shared" si="17"/>
        <v>15.283304424836635</v>
      </c>
      <c r="Y90" s="130">
        <f t="shared" si="17"/>
        <v>15.283304424836635</v>
      </c>
      <c r="Z90" s="130">
        <f>AVERAGE($V87:$Z87)</f>
        <v>15.283304424836635</v>
      </c>
      <c r="AA90" s="130" t="e">
        <f>NA()</f>
        <v>#N/A</v>
      </c>
      <c r="AB90" s="130" t="e">
        <f>NA()</f>
        <v>#N/A</v>
      </c>
      <c r="AC90" s="130" t="e">
        <f>NA()</f>
        <v>#N/A</v>
      </c>
      <c r="AD90" s="130" t="e">
        <f>NA()</f>
        <v>#N/A</v>
      </c>
      <c r="AE90" s="130" t="e">
        <f>NA()</f>
        <v>#N/A</v>
      </c>
    </row>
    <row r="91" spans="3:31" ht="12.6" customHeight="1" x14ac:dyDescent="0.35">
      <c r="C91" s="125"/>
      <c r="D91" s="125"/>
      <c r="E91" s="125"/>
      <c r="F91" s="125"/>
      <c r="G91" s="125"/>
      <c r="H91" s="125"/>
      <c r="I91" s="125"/>
      <c r="J91" s="125"/>
      <c r="K91" s="125"/>
      <c r="L91" s="125"/>
      <c r="M91" s="125"/>
      <c r="O91" s="128" t="str">
        <f>$O$17</f>
        <v>Avg: 20-24</v>
      </c>
      <c r="P91" s="130" t="e">
        <f>NA()</f>
        <v>#N/A</v>
      </c>
      <c r="Q91" s="130" t="e">
        <f>NA()</f>
        <v>#N/A</v>
      </c>
      <c r="R91" s="130" t="e">
        <f>NA()</f>
        <v>#N/A</v>
      </c>
      <c r="S91" s="130" t="e">
        <f>NA()</f>
        <v>#N/A</v>
      </c>
      <c r="T91" s="130" t="e">
        <f>NA()</f>
        <v>#N/A</v>
      </c>
      <c r="U91" s="130" t="e">
        <f>NA()</f>
        <v>#N/A</v>
      </c>
      <c r="V91" s="130" t="e">
        <f>NA()</f>
        <v>#N/A</v>
      </c>
      <c r="W91" s="130" t="e">
        <f>NA()</f>
        <v>#N/A</v>
      </c>
      <c r="X91" s="130" t="e">
        <f>NA()</f>
        <v>#N/A</v>
      </c>
      <c r="Y91" s="130" t="e">
        <f>NA()</f>
        <v>#N/A</v>
      </c>
      <c r="Z91" s="130" t="e">
        <f>NA()</f>
        <v>#N/A</v>
      </c>
      <c r="AA91" s="130">
        <f>AVERAGE($AA88:$AE88)</f>
        <v>12.118078159695736</v>
      </c>
      <c r="AB91" s="130">
        <f t="shared" ref="AB91:AE91" si="18">AVERAGE($AA88:$AE88)</f>
        <v>12.118078159695736</v>
      </c>
      <c r="AC91" s="130">
        <f t="shared" si="18"/>
        <v>12.118078159695736</v>
      </c>
      <c r="AD91" s="130">
        <f t="shared" si="18"/>
        <v>12.118078159695736</v>
      </c>
      <c r="AE91" s="130">
        <f t="shared" si="18"/>
        <v>12.118078159695736</v>
      </c>
    </row>
    <row r="92" spans="3:31" ht="12.6" customHeight="1" x14ac:dyDescent="0.35">
      <c r="C92" s="125"/>
      <c r="D92" s="125"/>
      <c r="E92" s="125"/>
      <c r="F92" s="125"/>
      <c r="G92" s="125"/>
      <c r="H92" s="125"/>
      <c r="I92" s="125"/>
      <c r="J92" s="125"/>
      <c r="K92" s="125"/>
      <c r="L92" s="125"/>
      <c r="M92" s="125"/>
    </row>
    <row r="93" spans="3:31" ht="12.6" customHeight="1" x14ac:dyDescent="0.35">
      <c r="C93" s="125"/>
      <c r="D93" s="125"/>
      <c r="E93" s="125"/>
      <c r="F93" s="125"/>
      <c r="G93" s="125"/>
      <c r="H93" s="125"/>
      <c r="I93" s="125"/>
      <c r="J93" s="125"/>
      <c r="K93" s="125"/>
      <c r="L93" s="125"/>
      <c r="M93" s="125"/>
      <c r="O93" s="128" t="str">
        <f>$O$19</f>
        <v>Chart Name:</v>
      </c>
      <c r="P93" s="128" t="str">
        <f>B57</f>
        <v>Augmentation Capex - Direct Escalated</v>
      </c>
    </row>
    <row r="94" spans="3:31" ht="12.6" customHeight="1" x14ac:dyDescent="0.35">
      <c r="C94" s="125"/>
      <c r="D94" s="125"/>
      <c r="E94" s="125"/>
      <c r="F94" s="125"/>
      <c r="G94" s="125"/>
      <c r="H94" s="125"/>
      <c r="I94" s="125"/>
      <c r="J94" s="125"/>
      <c r="K94" s="125"/>
      <c r="L94" s="125"/>
      <c r="M94" s="125"/>
      <c r="O94" s="128" t="str">
        <f>$O$20</f>
        <v>Dollar Basis:</v>
      </c>
      <c r="P94" s="128" t="str">
        <f>Real2019</f>
        <v>Real $2019</v>
      </c>
    </row>
    <row r="95" spans="3:31" ht="12.6" customHeight="1" x14ac:dyDescent="0.35">
      <c r="C95" s="125"/>
      <c r="D95" s="125"/>
      <c r="E95" s="125"/>
      <c r="F95" s="125"/>
      <c r="G95" s="125"/>
      <c r="H95" s="125"/>
      <c r="I95" s="125"/>
      <c r="J95" s="125"/>
      <c r="K95" s="125"/>
      <c r="L95" s="125"/>
      <c r="M95" s="125"/>
      <c r="O95" s="128" t="str">
        <f>$O$21</f>
        <v>Units:</v>
      </c>
      <c r="P95" s="128" t="str">
        <f>Millions</f>
        <v>$Millions</v>
      </c>
    </row>
    <row r="96" spans="3:31" ht="12.6" customHeight="1" x14ac:dyDescent="0.35">
      <c r="C96" s="125"/>
      <c r="D96" s="125"/>
      <c r="E96" s="125"/>
      <c r="F96" s="125"/>
      <c r="G96" s="125"/>
      <c r="H96" s="125"/>
      <c r="I96" s="125"/>
      <c r="J96" s="125"/>
      <c r="K96" s="125"/>
      <c r="L96" s="125"/>
      <c r="M96" s="125"/>
      <c r="O96" s="128" t="str">
        <f>$O$22</f>
        <v>Full Chart Title:</v>
      </c>
      <c r="P96" s="128" t="str">
        <f>P93&amp;" ("&amp;P94&amp;", "&amp;P95&amp;")"</f>
        <v>Augmentation Capex - Direct Escalated (Real $2019, $Millions)</v>
      </c>
    </row>
    <row r="97" spans="2:31" ht="12.6" customHeight="1" x14ac:dyDescent="0.35">
      <c r="C97" s="125"/>
      <c r="D97" s="125"/>
      <c r="E97" s="125"/>
      <c r="F97" s="125"/>
      <c r="G97" s="125"/>
      <c r="H97" s="125"/>
      <c r="I97" s="125"/>
      <c r="J97" s="125"/>
      <c r="K97" s="125"/>
      <c r="L97" s="125"/>
      <c r="M97" s="125"/>
    </row>
    <row r="98" spans="2:31" ht="12.6" customHeight="1" x14ac:dyDescent="0.35">
      <c r="C98" s="125"/>
      <c r="D98" s="125"/>
      <c r="E98" s="125"/>
      <c r="F98" s="125"/>
      <c r="G98" s="125"/>
      <c r="H98" s="125"/>
      <c r="I98" s="125"/>
      <c r="J98" s="125"/>
      <c r="K98" s="125"/>
      <c r="L98" s="125"/>
      <c r="M98" s="125"/>
    </row>
    <row r="99" spans="2:31" ht="12.6" customHeight="1" x14ac:dyDescent="0.35">
      <c r="C99" s="125"/>
      <c r="D99" s="125"/>
      <c r="E99" s="125"/>
      <c r="F99" s="125"/>
      <c r="G99" s="125"/>
      <c r="H99" s="125"/>
      <c r="I99" s="125"/>
      <c r="J99" s="125"/>
      <c r="K99" s="125"/>
      <c r="L99" s="125"/>
      <c r="M99" s="125"/>
    </row>
    <row r="100" spans="2:31" ht="12.6" customHeight="1" x14ac:dyDescent="0.35">
      <c r="C100" s="125"/>
      <c r="D100" s="125"/>
      <c r="E100" s="125"/>
      <c r="F100" s="125"/>
      <c r="G100" s="125"/>
      <c r="H100" s="125"/>
      <c r="I100" s="125"/>
      <c r="J100" s="125"/>
      <c r="K100" s="125"/>
      <c r="L100" s="125"/>
      <c r="M100" s="125"/>
    </row>
    <row r="101" spans="2:31" ht="12.6" customHeight="1" x14ac:dyDescent="0.35">
      <c r="C101" s="125"/>
      <c r="D101" s="125"/>
      <c r="E101" s="125"/>
      <c r="F101" s="125"/>
      <c r="G101" s="125"/>
      <c r="H101" s="125"/>
      <c r="I101" s="125"/>
      <c r="J101" s="125"/>
      <c r="K101" s="125"/>
      <c r="L101" s="125"/>
      <c r="M101" s="125"/>
    </row>
    <row r="102" spans="2:31" ht="12.6" customHeight="1" x14ac:dyDescent="0.35">
      <c r="C102" s="125"/>
      <c r="D102" s="125"/>
      <c r="E102" s="125"/>
      <c r="F102" s="125"/>
      <c r="G102" s="125"/>
      <c r="H102" s="125"/>
      <c r="I102" s="125"/>
      <c r="J102" s="125"/>
      <c r="K102" s="125"/>
      <c r="L102" s="125"/>
      <c r="M102" s="125"/>
    </row>
    <row r="103" spans="2:31" ht="12.6" customHeight="1" x14ac:dyDescent="0.35">
      <c r="C103" s="125"/>
      <c r="D103" s="125"/>
      <c r="E103" s="125"/>
      <c r="F103" s="125"/>
      <c r="G103" s="125"/>
      <c r="H103" s="125"/>
      <c r="I103" s="125"/>
      <c r="J103" s="125"/>
      <c r="K103" s="125"/>
      <c r="L103" s="125"/>
      <c r="M103" s="125"/>
    </row>
    <row r="104" spans="2:31" ht="12.6" customHeight="1" x14ac:dyDescent="0.35">
      <c r="C104" s="125"/>
      <c r="D104" s="125"/>
      <c r="E104" s="125"/>
      <c r="F104" s="125"/>
      <c r="G104" s="125"/>
      <c r="H104" s="125"/>
      <c r="I104" s="125"/>
      <c r="J104" s="125"/>
      <c r="K104" s="125"/>
      <c r="L104" s="125"/>
      <c r="M104" s="125"/>
    </row>
    <row r="105" spans="2:31" ht="12.6" customHeight="1" x14ac:dyDescent="0.35">
      <c r="C105" s="125"/>
      <c r="D105" s="125"/>
      <c r="E105" s="125"/>
      <c r="F105" s="125"/>
      <c r="G105" s="125"/>
      <c r="H105" s="125"/>
      <c r="I105" s="125"/>
      <c r="J105" s="125"/>
      <c r="K105" s="125"/>
      <c r="L105" s="125"/>
      <c r="M105" s="125"/>
    </row>
    <row r="106" spans="2:31" ht="12.6" customHeight="1" x14ac:dyDescent="0.35">
      <c r="C106" s="125"/>
      <c r="D106" s="125"/>
      <c r="E106" s="125"/>
      <c r="F106" s="125"/>
      <c r="G106" s="125"/>
      <c r="H106" s="125"/>
      <c r="I106" s="125"/>
      <c r="J106" s="125"/>
      <c r="K106" s="125"/>
      <c r="L106" s="125"/>
      <c r="M106" s="125"/>
    </row>
    <row r="107" spans="2:31" x14ac:dyDescent="0.35">
      <c r="C107" s="125"/>
      <c r="D107" s="125"/>
      <c r="E107" s="125"/>
      <c r="F107" s="125"/>
      <c r="G107" s="125"/>
      <c r="H107" s="125"/>
      <c r="I107" s="125"/>
      <c r="J107" s="125"/>
      <c r="K107" s="125"/>
      <c r="L107" s="125"/>
      <c r="M107" s="125"/>
    </row>
    <row r="108" spans="2:31" s="139" customFormat="1" ht="12.9" x14ac:dyDescent="0.35">
      <c r="B108" s="139" t="s">
        <v>216</v>
      </c>
    </row>
    <row r="109" spans="2:31" s="125" customFormat="1" ht="4.5" customHeight="1" x14ac:dyDescent="0.35"/>
    <row r="110" spans="2:31" s="162" customFormat="1" ht="14.4" x14ac:dyDescent="0.35">
      <c r="C110" s="162" t="str">
        <f>B108&amp;" - "&amp;P121</f>
        <v>Replacement Capex - Direct Escalated - Nominal</v>
      </c>
    </row>
    <row r="111" spans="2:31" x14ac:dyDescent="0.35">
      <c r="C111" s="125"/>
      <c r="D111" s="125"/>
      <c r="E111" s="125"/>
      <c r="F111" s="125"/>
      <c r="G111" s="125"/>
      <c r="H111" s="125"/>
      <c r="I111" s="125"/>
      <c r="J111" s="125"/>
      <c r="K111" s="125"/>
      <c r="L111" s="125"/>
      <c r="M111" s="125"/>
    </row>
    <row r="112" spans="2:31" ht="12.6" customHeight="1" x14ac:dyDescent="0.35">
      <c r="C112" s="125"/>
      <c r="D112" s="125"/>
      <c r="E112" s="125"/>
      <c r="F112" s="125"/>
      <c r="G112" s="125"/>
      <c r="H112" s="125"/>
      <c r="I112" s="125"/>
      <c r="J112" s="125"/>
      <c r="K112" s="125"/>
      <c r="L112" s="125"/>
      <c r="M112" s="125"/>
      <c r="O112" s="126" t="str">
        <f>O$10</f>
        <v>Period</v>
      </c>
      <c r="P112" s="127" t="str">
        <f t="shared" ref="P112:AE112" si="19">P$10</f>
        <v>RY09</v>
      </c>
      <c r="Q112" s="127" t="str">
        <f t="shared" si="19"/>
        <v>RY10</v>
      </c>
      <c r="R112" s="127" t="str">
        <f t="shared" si="19"/>
        <v>RY11</v>
      </c>
      <c r="S112" s="127" t="str">
        <f t="shared" si="19"/>
        <v>RY12</v>
      </c>
      <c r="T112" s="127" t="str">
        <f t="shared" si="19"/>
        <v>RY13</v>
      </c>
      <c r="U112" s="127" t="str">
        <f t="shared" si="19"/>
        <v>RY14</v>
      </c>
      <c r="V112" s="127" t="str">
        <f t="shared" si="19"/>
        <v>RY15</v>
      </c>
      <c r="W112" s="127" t="str">
        <f t="shared" si="19"/>
        <v>RY16</v>
      </c>
      <c r="X112" s="127" t="str">
        <f t="shared" si="19"/>
        <v>RY17</v>
      </c>
      <c r="Y112" s="127" t="str">
        <f t="shared" si="19"/>
        <v>RY18</v>
      </c>
      <c r="Z112" s="127" t="str">
        <f t="shared" si="19"/>
        <v>RY19</v>
      </c>
      <c r="AA112" s="127" t="str">
        <f t="shared" si="19"/>
        <v>RY20</v>
      </c>
      <c r="AB112" s="127" t="str">
        <f t="shared" si="19"/>
        <v>RY21</v>
      </c>
      <c r="AC112" s="127" t="str">
        <f t="shared" si="19"/>
        <v>RY22</v>
      </c>
      <c r="AD112" s="127" t="str">
        <f t="shared" si="19"/>
        <v>RY23</v>
      </c>
      <c r="AE112" s="127" t="str">
        <f t="shared" si="19"/>
        <v>RY24</v>
      </c>
    </row>
    <row r="113" spans="3:31" ht="12.6" customHeight="1" x14ac:dyDescent="0.35">
      <c r="C113" s="125"/>
      <c r="D113" s="125"/>
      <c r="E113" s="125"/>
      <c r="F113" s="125"/>
      <c r="G113" s="125"/>
      <c r="H113" s="125"/>
      <c r="I113" s="125"/>
      <c r="J113" s="125"/>
      <c r="K113" s="125"/>
      <c r="L113" s="125"/>
      <c r="M113" s="125"/>
      <c r="O113" s="128" t="str">
        <f>$O$11</f>
        <v>Actuals/Estimate</v>
      </c>
      <c r="P113" s="131">
        <v>3.4596350972662062</v>
      </c>
      <c r="Q113" s="131">
        <v>9.599747895790836</v>
      </c>
      <c r="R113" s="131">
        <v>24.94401889033405</v>
      </c>
      <c r="S113" s="131">
        <v>37.134981993758423</v>
      </c>
      <c r="T113" s="131">
        <v>35.820005765767469</v>
      </c>
      <c r="U113" s="131">
        <v>43.312650480417588</v>
      </c>
      <c r="V113" s="552">
        <f>V138*Input_Inflation!P$39</f>
        <v>44.435374798571019</v>
      </c>
      <c r="W113" s="552">
        <f>W138*Input_Inflation!Q$39</f>
        <v>42.463704349424525</v>
      </c>
      <c r="X113" s="552">
        <f>X138*Input_Inflation!R$39</f>
        <v>28.254530804505777</v>
      </c>
      <c r="Y113" s="552">
        <f>Y138*Input_Inflation!S$39</f>
        <v>20.593208094203423</v>
      </c>
      <c r="Z113" s="552">
        <f>Z138*Input_Inflation!T$39</f>
        <v>30.695913501469441</v>
      </c>
      <c r="AA113" s="552" t="e">
        <f>NA()</f>
        <v>#N/A</v>
      </c>
      <c r="AB113" s="552" t="e">
        <f>NA()</f>
        <v>#N/A</v>
      </c>
      <c r="AC113" s="552" t="e">
        <f>NA()</f>
        <v>#N/A</v>
      </c>
      <c r="AD113" s="552" t="e">
        <f>NA()</f>
        <v>#N/A</v>
      </c>
      <c r="AE113" s="552" t="e">
        <f>NA()</f>
        <v>#N/A</v>
      </c>
    </row>
    <row r="114" spans="3:31" ht="12.6" customHeight="1" x14ac:dyDescent="0.35">
      <c r="C114" s="125"/>
      <c r="D114" s="125"/>
      <c r="E114" s="125"/>
      <c r="F114" s="125"/>
      <c r="G114" s="125"/>
      <c r="H114" s="125"/>
      <c r="I114" s="125"/>
      <c r="J114" s="125"/>
      <c r="K114" s="125"/>
      <c r="L114" s="125"/>
      <c r="M114" s="125"/>
      <c r="O114" s="128" t="str">
        <f>$O$14</f>
        <v>Forecast</v>
      </c>
      <c r="P114" s="130" t="e">
        <f>NA()</f>
        <v>#N/A</v>
      </c>
      <c r="Q114" s="130" t="e">
        <f>NA()</f>
        <v>#N/A</v>
      </c>
      <c r="R114" s="130" t="e">
        <f>NA()</f>
        <v>#N/A</v>
      </c>
      <c r="S114" s="130" t="e">
        <f>NA()</f>
        <v>#N/A</v>
      </c>
      <c r="T114" s="130" t="e">
        <f>NA()</f>
        <v>#N/A</v>
      </c>
      <c r="U114" s="130" t="e">
        <f>NA()</f>
        <v>#N/A</v>
      </c>
      <c r="V114" s="130" t="e">
        <f>NA()</f>
        <v>#N/A</v>
      </c>
      <c r="W114" s="130" t="e">
        <f>NA()</f>
        <v>#N/A</v>
      </c>
      <c r="X114" s="130" t="e">
        <f>NA()</f>
        <v>#N/A</v>
      </c>
      <c r="Y114" s="552" t="e">
        <f>NA()</f>
        <v>#N/A</v>
      </c>
      <c r="Z114" s="552" t="e">
        <f>NA()</f>
        <v>#N/A</v>
      </c>
      <c r="AA114" s="552">
        <f>AA139*Input_Inflation!U$39</f>
        <v>35.342990673266456</v>
      </c>
      <c r="AB114" s="552">
        <f>AB139*Input_Inflation!V$39</f>
        <v>39.923872207823258</v>
      </c>
      <c r="AC114" s="552">
        <f>AC139*Input_Inflation!W$39</f>
        <v>35.508473228312937</v>
      </c>
      <c r="AD114" s="552">
        <f>AD139*Input_Inflation!X$39</f>
        <v>23.931894088521911</v>
      </c>
      <c r="AE114" s="552">
        <f>AE139*Input_Inflation!Y$39</f>
        <v>21.954210348948092</v>
      </c>
    </row>
    <row r="115" spans="3:31" ht="12.6" customHeight="1" x14ac:dyDescent="0.35">
      <c r="C115" s="125"/>
      <c r="D115" s="125"/>
      <c r="E115" s="125"/>
      <c r="F115" s="125"/>
      <c r="G115" s="125"/>
      <c r="H115" s="125"/>
      <c r="I115" s="125"/>
      <c r="J115" s="125"/>
      <c r="K115" s="125"/>
      <c r="L115" s="125"/>
      <c r="M115" s="125"/>
      <c r="O115" s="128" t="str">
        <f>$O$15</f>
        <v>Avg: 10-14</v>
      </c>
      <c r="P115" s="130" t="e">
        <f>NA()</f>
        <v>#N/A</v>
      </c>
      <c r="Q115" s="130">
        <f>AVERAGE($Q113:$U113)</f>
        <v>30.162281005213675</v>
      </c>
      <c r="R115" s="130">
        <f t="shared" ref="R115:U115" si="20">AVERAGE($Q113:$U113)</f>
        <v>30.162281005213675</v>
      </c>
      <c r="S115" s="130">
        <f t="shared" si="20"/>
        <v>30.162281005213675</v>
      </c>
      <c r="T115" s="130">
        <f t="shared" si="20"/>
        <v>30.162281005213675</v>
      </c>
      <c r="U115" s="130">
        <f t="shared" si="20"/>
        <v>30.162281005213675</v>
      </c>
      <c r="V115" s="130" t="e">
        <f>NA()</f>
        <v>#N/A</v>
      </c>
      <c r="W115" s="130" t="e">
        <f>NA()</f>
        <v>#N/A</v>
      </c>
      <c r="X115" s="130" t="e">
        <f>NA()</f>
        <v>#N/A</v>
      </c>
      <c r="Y115" s="130" t="e">
        <f>NA()</f>
        <v>#N/A</v>
      </c>
      <c r="Z115" s="130" t="e">
        <f>NA()</f>
        <v>#N/A</v>
      </c>
      <c r="AA115" s="130" t="e">
        <f>NA()</f>
        <v>#N/A</v>
      </c>
      <c r="AB115" s="130" t="e">
        <f>NA()</f>
        <v>#N/A</v>
      </c>
      <c r="AC115" s="130" t="e">
        <f>NA()</f>
        <v>#N/A</v>
      </c>
      <c r="AD115" s="130" t="e">
        <f>NA()</f>
        <v>#N/A</v>
      </c>
      <c r="AE115" s="130" t="e">
        <f>NA()</f>
        <v>#N/A</v>
      </c>
    </row>
    <row r="116" spans="3:31" ht="12.6" customHeight="1" x14ac:dyDescent="0.35">
      <c r="C116" s="125"/>
      <c r="D116" s="125"/>
      <c r="E116" s="125"/>
      <c r="F116" s="125"/>
      <c r="G116" s="125"/>
      <c r="H116" s="125"/>
      <c r="I116" s="125"/>
      <c r="J116" s="125"/>
      <c r="K116" s="125"/>
      <c r="L116" s="125"/>
      <c r="M116" s="125"/>
      <c r="O116" s="128" t="str">
        <f>$O$16</f>
        <v>Avg: 15-19</v>
      </c>
      <c r="P116" s="130" t="e">
        <f>NA()</f>
        <v>#N/A</v>
      </c>
      <c r="Q116" s="130" t="e">
        <f>NA()</f>
        <v>#N/A</v>
      </c>
      <c r="R116" s="130" t="e">
        <f>NA()</f>
        <v>#N/A</v>
      </c>
      <c r="S116" s="130" t="e">
        <f>NA()</f>
        <v>#N/A</v>
      </c>
      <c r="T116" s="130" t="e">
        <f>NA()</f>
        <v>#N/A</v>
      </c>
      <c r="U116" s="130" t="e">
        <f>NA()</f>
        <v>#N/A</v>
      </c>
      <c r="V116" s="130">
        <f>AVERAGE($V113:$Z113)</f>
        <v>33.288546309634839</v>
      </c>
      <c r="W116" s="130">
        <f t="shared" ref="W116:Z116" si="21">AVERAGE($V113:$Z113)</f>
        <v>33.288546309634839</v>
      </c>
      <c r="X116" s="130">
        <f t="shared" si="21"/>
        <v>33.288546309634839</v>
      </c>
      <c r="Y116" s="130">
        <f t="shared" si="21"/>
        <v>33.288546309634839</v>
      </c>
      <c r="Z116" s="130">
        <f t="shared" si="21"/>
        <v>33.288546309634839</v>
      </c>
      <c r="AA116" s="130" t="e">
        <f>NA()</f>
        <v>#N/A</v>
      </c>
      <c r="AB116" s="130" t="e">
        <f>NA()</f>
        <v>#N/A</v>
      </c>
      <c r="AC116" s="130" t="e">
        <f>NA()</f>
        <v>#N/A</v>
      </c>
      <c r="AD116" s="130" t="e">
        <f>NA()</f>
        <v>#N/A</v>
      </c>
      <c r="AE116" s="130" t="e">
        <f>NA()</f>
        <v>#N/A</v>
      </c>
    </row>
    <row r="117" spans="3:31" ht="12.6" customHeight="1" x14ac:dyDescent="0.35">
      <c r="C117" s="125"/>
      <c r="D117" s="125"/>
      <c r="E117" s="125"/>
      <c r="F117" s="125"/>
      <c r="G117" s="125"/>
      <c r="H117" s="125"/>
      <c r="I117" s="125"/>
      <c r="J117" s="125"/>
      <c r="K117" s="125"/>
      <c r="L117" s="125"/>
      <c r="M117" s="125"/>
      <c r="O117" s="128" t="str">
        <f>$O$17</f>
        <v>Avg: 20-24</v>
      </c>
      <c r="P117" s="130" t="e">
        <f>NA()</f>
        <v>#N/A</v>
      </c>
      <c r="Q117" s="130" t="e">
        <f>NA()</f>
        <v>#N/A</v>
      </c>
      <c r="R117" s="130" t="e">
        <f>NA()</f>
        <v>#N/A</v>
      </c>
      <c r="S117" s="130" t="e">
        <f>NA()</f>
        <v>#N/A</v>
      </c>
      <c r="T117" s="130" t="e">
        <f>NA()</f>
        <v>#N/A</v>
      </c>
      <c r="U117" s="130" t="e">
        <f>NA()</f>
        <v>#N/A</v>
      </c>
      <c r="V117" s="130" t="e">
        <f>NA()</f>
        <v>#N/A</v>
      </c>
      <c r="W117" s="130" t="e">
        <f>NA()</f>
        <v>#N/A</v>
      </c>
      <c r="X117" s="130" t="e">
        <f>NA()</f>
        <v>#N/A</v>
      </c>
      <c r="Y117" s="130" t="e">
        <f>NA()</f>
        <v>#N/A</v>
      </c>
      <c r="Z117" s="130" t="e">
        <f>NA()</f>
        <v>#N/A</v>
      </c>
      <c r="AA117" s="130">
        <f>AVERAGE($AA114:$AE114)</f>
        <v>31.332288109374531</v>
      </c>
      <c r="AB117" s="130">
        <f t="shared" ref="AB117:AE117" si="22">AVERAGE($AA114:$AE114)</f>
        <v>31.332288109374531</v>
      </c>
      <c r="AC117" s="130">
        <f t="shared" si="22"/>
        <v>31.332288109374531</v>
      </c>
      <c r="AD117" s="130">
        <f t="shared" si="22"/>
        <v>31.332288109374531</v>
      </c>
      <c r="AE117" s="130">
        <f t="shared" si="22"/>
        <v>31.332288109374531</v>
      </c>
    </row>
    <row r="118" spans="3:31" ht="12.6" customHeight="1" x14ac:dyDescent="0.35">
      <c r="C118" s="125"/>
      <c r="D118" s="125"/>
      <c r="E118" s="125"/>
      <c r="F118" s="125"/>
      <c r="G118" s="125"/>
      <c r="H118" s="125"/>
      <c r="I118" s="125"/>
      <c r="J118" s="125"/>
      <c r="K118" s="125"/>
      <c r="L118" s="125"/>
      <c r="M118" s="125"/>
    </row>
    <row r="119" spans="3:31" ht="12.6" customHeight="1" x14ac:dyDescent="0.35">
      <c r="C119" s="125"/>
      <c r="D119" s="125"/>
      <c r="E119" s="125"/>
      <c r="F119" s="125"/>
      <c r="G119" s="125"/>
      <c r="H119" s="125"/>
      <c r="I119" s="125"/>
      <c r="J119" s="125"/>
      <c r="K119" s="125"/>
      <c r="L119" s="125"/>
      <c r="M119" s="125"/>
    </row>
    <row r="120" spans="3:31" ht="12.6" customHeight="1" x14ac:dyDescent="0.35">
      <c r="C120" s="125"/>
      <c r="D120" s="125"/>
      <c r="E120" s="125"/>
      <c r="F120" s="125"/>
      <c r="G120" s="125"/>
      <c r="H120" s="125"/>
      <c r="I120" s="125"/>
      <c r="J120" s="125"/>
      <c r="K120" s="125"/>
      <c r="L120" s="125"/>
      <c r="M120" s="125"/>
      <c r="O120" s="128" t="str">
        <f>$O$19</f>
        <v>Chart Name:</v>
      </c>
      <c r="P120" s="128" t="str">
        <f>B108</f>
        <v>Replacement Capex - Direct Escalated</v>
      </c>
    </row>
    <row r="121" spans="3:31" ht="12.6" customHeight="1" x14ac:dyDescent="0.35">
      <c r="C121" s="125"/>
      <c r="D121" s="125"/>
      <c r="E121" s="125"/>
      <c r="F121" s="125"/>
      <c r="G121" s="125"/>
      <c r="H121" s="125"/>
      <c r="I121" s="125"/>
      <c r="J121" s="125"/>
      <c r="K121" s="125"/>
      <c r="L121" s="125"/>
      <c r="M121" s="125"/>
      <c r="O121" s="128" t="str">
        <f>$O$20</f>
        <v>Dollar Basis:</v>
      </c>
      <c r="P121" s="128" t="str">
        <f>Nominal</f>
        <v>Nominal</v>
      </c>
    </row>
    <row r="122" spans="3:31" ht="12.6" customHeight="1" x14ac:dyDescent="0.35">
      <c r="C122" s="125"/>
      <c r="D122" s="125"/>
      <c r="E122" s="125"/>
      <c r="F122" s="125"/>
      <c r="G122" s="125"/>
      <c r="H122" s="125"/>
      <c r="I122" s="125"/>
      <c r="J122" s="125"/>
      <c r="K122" s="125"/>
      <c r="L122" s="125"/>
      <c r="M122" s="125"/>
      <c r="O122" s="128" t="str">
        <f>$O$21</f>
        <v>Units:</v>
      </c>
      <c r="P122" s="128" t="str">
        <f>Millions</f>
        <v>$Millions</v>
      </c>
    </row>
    <row r="123" spans="3:31" ht="12.6" customHeight="1" x14ac:dyDescent="0.35">
      <c r="C123" s="125"/>
      <c r="D123" s="125"/>
      <c r="E123" s="125"/>
      <c r="F123" s="125"/>
      <c r="G123" s="125"/>
      <c r="H123" s="125"/>
      <c r="I123" s="125"/>
      <c r="J123" s="125"/>
      <c r="K123" s="125"/>
      <c r="L123" s="125"/>
      <c r="M123" s="125"/>
      <c r="O123" s="128" t="str">
        <f>$O$22</f>
        <v>Full Chart Title:</v>
      </c>
      <c r="P123" s="128" t="str">
        <f>P120&amp;" ("&amp;P121&amp;", "&amp;P122&amp;")"</f>
        <v>Replacement Capex - Direct Escalated (Nominal, $Millions)</v>
      </c>
    </row>
    <row r="124" spans="3:31" ht="12.6" customHeight="1" x14ac:dyDescent="0.35">
      <c r="C124" s="125"/>
      <c r="D124" s="125"/>
      <c r="E124" s="125"/>
      <c r="F124" s="125"/>
      <c r="G124" s="125"/>
      <c r="H124" s="125"/>
      <c r="I124" s="125"/>
      <c r="J124" s="125"/>
      <c r="K124" s="125"/>
      <c r="L124" s="125"/>
      <c r="M124" s="125"/>
    </row>
    <row r="125" spans="3:31" ht="12.6" customHeight="1" x14ac:dyDescent="0.35">
      <c r="C125" s="125"/>
      <c r="D125" s="125"/>
      <c r="E125" s="125"/>
      <c r="F125" s="125"/>
      <c r="G125" s="125"/>
      <c r="H125" s="125"/>
      <c r="I125" s="125"/>
      <c r="J125" s="125"/>
      <c r="K125" s="125"/>
      <c r="L125" s="125"/>
      <c r="M125" s="125"/>
    </row>
    <row r="126" spans="3:31" ht="12.6" customHeight="1" x14ac:dyDescent="0.35">
      <c r="C126" s="125"/>
      <c r="D126" s="125"/>
      <c r="E126" s="125"/>
      <c r="F126" s="125"/>
      <c r="G126" s="125"/>
      <c r="H126" s="125"/>
      <c r="I126" s="125"/>
      <c r="J126" s="125"/>
      <c r="K126" s="125"/>
      <c r="L126" s="125"/>
      <c r="M126" s="125"/>
    </row>
    <row r="127" spans="3:31" ht="12.6" customHeight="1" x14ac:dyDescent="0.35">
      <c r="C127" s="125"/>
      <c r="D127" s="125"/>
      <c r="E127" s="125"/>
      <c r="F127" s="125"/>
      <c r="G127" s="125"/>
      <c r="H127" s="125"/>
      <c r="I127" s="125"/>
      <c r="J127" s="125"/>
      <c r="K127" s="125"/>
      <c r="L127" s="125"/>
      <c r="M127" s="125"/>
    </row>
    <row r="128" spans="3:31" ht="12.6" customHeight="1" x14ac:dyDescent="0.35">
      <c r="C128" s="125"/>
      <c r="D128" s="125"/>
      <c r="E128" s="125"/>
      <c r="F128" s="125"/>
      <c r="G128" s="125"/>
      <c r="H128" s="125"/>
      <c r="I128" s="125"/>
      <c r="J128" s="125"/>
      <c r="K128" s="125"/>
      <c r="L128" s="125"/>
      <c r="M128" s="125"/>
    </row>
    <row r="129" spans="2:31" ht="12.6" customHeight="1" x14ac:dyDescent="0.35">
      <c r="C129" s="125"/>
      <c r="D129" s="125"/>
      <c r="E129" s="125"/>
      <c r="F129" s="125"/>
      <c r="G129" s="125"/>
      <c r="H129" s="125"/>
      <c r="I129" s="125"/>
      <c r="J129" s="125"/>
      <c r="K129" s="125"/>
      <c r="L129" s="125"/>
      <c r="M129" s="125"/>
    </row>
    <row r="130" spans="2:31" ht="12.6" customHeight="1" x14ac:dyDescent="0.35">
      <c r="C130" s="125"/>
      <c r="D130" s="125"/>
      <c r="E130" s="125"/>
      <c r="F130" s="125"/>
      <c r="G130" s="125"/>
      <c r="H130" s="125"/>
      <c r="I130" s="125"/>
      <c r="J130" s="125"/>
      <c r="K130" s="125"/>
      <c r="L130" s="125"/>
      <c r="M130" s="125"/>
    </row>
    <row r="131" spans="2:31" ht="12.6" customHeight="1" x14ac:dyDescent="0.35">
      <c r="C131" s="125"/>
      <c r="D131" s="125"/>
      <c r="E131" s="125"/>
      <c r="F131" s="125"/>
      <c r="G131" s="125"/>
      <c r="H131" s="125"/>
      <c r="I131" s="125"/>
      <c r="J131" s="125"/>
      <c r="K131" s="125"/>
      <c r="L131" s="125"/>
      <c r="M131" s="125"/>
    </row>
    <row r="132" spans="2:31" ht="12.6" customHeight="1" x14ac:dyDescent="0.35">
      <c r="C132" s="125"/>
      <c r="D132" s="125"/>
      <c r="E132" s="125"/>
      <c r="F132" s="125"/>
      <c r="G132" s="125"/>
      <c r="H132" s="125"/>
      <c r="I132" s="125"/>
      <c r="J132" s="125"/>
      <c r="K132" s="125"/>
      <c r="L132" s="125"/>
      <c r="M132" s="125"/>
    </row>
    <row r="133" spans="2:31" x14ac:dyDescent="0.35">
      <c r="C133" s="125"/>
      <c r="D133" s="125"/>
      <c r="E133" s="125"/>
      <c r="F133" s="125"/>
      <c r="G133" s="125"/>
      <c r="H133" s="125"/>
      <c r="I133" s="125"/>
      <c r="J133" s="125"/>
      <c r="K133" s="125"/>
      <c r="L133" s="125"/>
      <c r="M133" s="125"/>
    </row>
    <row r="134" spans="2:31" x14ac:dyDescent="0.35">
      <c r="C134" s="125"/>
      <c r="D134" s="125"/>
      <c r="E134" s="125"/>
      <c r="F134" s="125"/>
      <c r="G134" s="125"/>
      <c r="H134" s="125"/>
      <c r="I134" s="125"/>
      <c r="J134" s="125"/>
      <c r="K134" s="125"/>
      <c r="L134" s="125"/>
      <c r="M134" s="125"/>
    </row>
    <row r="135" spans="2:31" s="162" customFormat="1" ht="14.4" x14ac:dyDescent="0.35">
      <c r="C135" s="162" t="str">
        <f>B108&amp;" - "&amp;P146</f>
        <v>Replacement Capex - Direct Escalated - Real $2019</v>
      </c>
    </row>
    <row r="136" spans="2:31" x14ac:dyDescent="0.35">
      <c r="B136" s="125"/>
      <c r="C136" s="125"/>
      <c r="D136" s="125"/>
      <c r="E136" s="125"/>
      <c r="F136" s="125"/>
      <c r="G136" s="125"/>
      <c r="H136" s="125"/>
      <c r="I136" s="125"/>
      <c r="J136" s="125"/>
      <c r="K136" s="125"/>
      <c r="L136" s="125"/>
      <c r="M136" s="125"/>
    </row>
    <row r="137" spans="2:31" ht="12.6" customHeight="1" x14ac:dyDescent="0.35">
      <c r="B137" s="125"/>
      <c r="C137" s="125"/>
      <c r="D137" s="125"/>
      <c r="E137" s="125"/>
      <c r="F137" s="125"/>
      <c r="G137" s="125"/>
      <c r="H137" s="125"/>
      <c r="I137" s="125"/>
      <c r="J137" s="125"/>
      <c r="K137" s="125"/>
      <c r="L137" s="125"/>
      <c r="M137" s="125"/>
      <c r="O137" s="126" t="str">
        <f>O$10</f>
        <v>Period</v>
      </c>
      <c r="P137" s="127" t="str">
        <f t="shared" ref="P137:AE137" si="23">P$10</f>
        <v>RY09</v>
      </c>
      <c r="Q137" s="127" t="str">
        <f t="shared" si="23"/>
        <v>RY10</v>
      </c>
      <c r="R137" s="127" t="str">
        <f t="shared" si="23"/>
        <v>RY11</v>
      </c>
      <c r="S137" s="127" t="str">
        <f t="shared" si="23"/>
        <v>RY12</v>
      </c>
      <c r="T137" s="127" t="str">
        <f t="shared" si="23"/>
        <v>RY13</v>
      </c>
      <c r="U137" s="127" t="str">
        <f t="shared" si="23"/>
        <v>RY14</v>
      </c>
      <c r="V137" s="127" t="str">
        <f t="shared" si="23"/>
        <v>RY15</v>
      </c>
      <c r="W137" s="127" t="str">
        <f t="shared" si="23"/>
        <v>RY16</v>
      </c>
      <c r="X137" s="127" t="str">
        <f t="shared" si="23"/>
        <v>RY17</v>
      </c>
      <c r="Y137" s="127" t="str">
        <f t="shared" si="23"/>
        <v>RY18</v>
      </c>
      <c r="Z137" s="127" t="str">
        <f t="shared" si="23"/>
        <v>RY19</v>
      </c>
      <c r="AA137" s="127" t="str">
        <f t="shared" si="23"/>
        <v>RY20</v>
      </c>
      <c r="AB137" s="127" t="str">
        <f t="shared" si="23"/>
        <v>RY21</v>
      </c>
      <c r="AC137" s="127" t="str">
        <f t="shared" si="23"/>
        <v>RY22</v>
      </c>
      <c r="AD137" s="127" t="str">
        <f t="shared" si="23"/>
        <v>RY23</v>
      </c>
      <c r="AE137" s="127" t="str">
        <f t="shared" si="23"/>
        <v>RY24</v>
      </c>
    </row>
    <row r="138" spans="2:31" ht="12.6" customHeight="1" x14ac:dyDescent="0.35">
      <c r="B138" s="125"/>
      <c r="C138" s="125"/>
      <c r="D138" s="125"/>
      <c r="E138" s="125"/>
      <c r="F138" s="125"/>
      <c r="G138" s="125"/>
      <c r="H138" s="125"/>
      <c r="I138" s="125"/>
      <c r="J138" s="125"/>
      <c r="K138" s="125"/>
      <c r="L138" s="125"/>
      <c r="M138" s="125"/>
      <c r="O138" s="128" t="str">
        <f>$O$11</f>
        <v>Actuals/Estimate</v>
      </c>
      <c r="P138" s="130">
        <f>P113/Input_Inflation!J$39</f>
        <v>4.3299791964410979</v>
      </c>
      <c r="Q138" s="130">
        <f>Q113/Input_Inflation!K$39</f>
        <v>11.748443313091007</v>
      </c>
      <c r="R138" s="130">
        <f>R113/Input_Inflation!L$39</f>
        <v>29.541935489743636</v>
      </c>
      <c r="S138" s="130">
        <f>S113/Input_Inflation!M$39</f>
        <v>42.960728229977505</v>
      </c>
      <c r="T138" s="130">
        <f>T113/Input_Inflation!N$39</f>
        <v>40.707398343224504</v>
      </c>
      <c r="U138" s="130">
        <f>U113/Input_Inflation!O$39</f>
        <v>47.927120030309332</v>
      </c>
      <c r="V138" s="547">
        <f>'10'!N10</f>
        <v>48.082578000733719</v>
      </c>
      <c r="W138" s="548">
        <f>'10'!O10</f>
        <v>45.374289958075295</v>
      </c>
      <c r="X138" s="548">
        <f>'10'!P10</f>
        <v>29.751610932919064</v>
      </c>
      <c r="Y138" s="548">
        <f>'10'!Q10</f>
        <v>21.266078399811821</v>
      </c>
      <c r="Z138" s="549">
        <f>'10'!R10</f>
        <v>31.03932160289126</v>
      </c>
      <c r="AA138" s="130" t="e">
        <f>NA()</f>
        <v>#N/A</v>
      </c>
      <c r="AB138" s="130" t="e">
        <f>NA()</f>
        <v>#N/A</v>
      </c>
      <c r="AC138" s="130" t="e">
        <f>NA()</f>
        <v>#N/A</v>
      </c>
      <c r="AD138" s="130" t="e">
        <f>NA()</f>
        <v>#N/A</v>
      </c>
      <c r="AE138" s="130" t="e">
        <f>NA()</f>
        <v>#N/A</v>
      </c>
    </row>
    <row r="139" spans="2:31" ht="12.6" customHeight="1" x14ac:dyDescent="0.35">
      <c r="B139" s="125"/>
      <c r="C139" s="125"/>
      <c r="D139" s="125"/>
      <c r="E139" s="125"/>
      <c r="F139" s="125"/>
      <c r="G139" s="125"/>
      <c r="H139" s="125"/>
      <c r="I139" s="125"/>
      <c r="J139" s="125"/>
      <c r="K139" s="125"/>
      <c r="L139" s="125"/>
      <c r="M139" s="125"/>
      <c r="O139" s="128" t="str">
        <f>$O$14</f>
        <v>Forecast</v>
      </c>
      <c r="P139" s="130" t="e">
        <f>NA()</f>
        <v>#N/A</v>
      </c>
      <c r="Q139" s="130" t="e">
        <f>NA()</f>
        <v>#N/A</v>
      </c>
      <c r="R139" s="130" t="e">
        <f>NA()</f>
        <v>#N/A</v>
      </c>
      <c r="S139" s="130" t="e">
        <f>NA()</f>
        <v>#N/A</v>
      </c>
      <c r="T139" s="130" t="e">
        <f>NA()</f>
        <v>#N/A</v>
      </c>
      <c r="U139" s="130" t="e">
        <f>NA()</f>
        <v>#N/A</v>
      </c>
      <c r="V139" s="130" t="e">
        <f>NA()</f>
        <v>#N/A</v>
      </c>
      <c r="W139" s="130" t="e">
        <f>NA()</f>
        <v>#N/A</v>
      </c>
      <c r="X139" s="130" t="e">
        <f>NA()</f>
        <v>#N/A</v>
      </c>
      <c r="Y139" s="130" t="e">
        <f>NA()</f>
        <v>#N/A</v>
      </c>
      <c r="Z139" s="130" t="e">
        <f>NA()</f>
        <v>#N/A</v>
      </c>
      <c r="AA139" s="547">
        <f>'10'!E56</f>
        <v>34.922118004866356</v>
      </c>
      <c r="AB139" s="548">
        <f>'10'!F56</f>
        <v>38.514520475254891</v>
      </c>
      <c r="AC139" s="548">
        <f>'10'!G56</f>
        <v>33.444013978344806</v>
      </c>
      <c r="AD139" s="548">
        <f>'10'!H56</f>
        <v>22.006857340073573</v>
      </c>
      <c r="AE139" s="549">
        <f>'10'!I56</f>
        <v>19.710304596256083</v>
      </c>
    </row>
    <row r="140" spans="2:31" ht="12.6" customHeight="1" x14ac:dyDescent="0.35">
      <c r="B140" s="125"/>
      <c r="C140" s="125"/>
      <c r="D140" s="125"/>
      <c r="E140" s="125"/>
      <c r="F140" s="125"/>
      <c r="G140" s="125"/>
      <c r="H140" s="125"/>
      <c r="I140" s="125"/>
      <c r="J140" s="125"/>
      <c r="K140" s="125"/>
      <c r="L140" s="125"/>
      <c r="M140" s="125"/>
      <c r="O140" s="128" t="str">
        <f>$O$15</f>
        <v>Avg: 10-14</v>
      </c>
      <c r="P140" s="130" t="e">
        <f>NA()</f>
        <v>#N/A</v>
      </c>
      <c r="Q140" s="130">
        <f>AVERAGE($Q138:$U138)</f>
        <v>34.577125081269195</v>
      </c>
      <c r="R140" s="130">
        <f t="shared" ref="R140:U140" si="24">AVERAGE($Q138:$U138)</f>
        <v>34.577125081269195</v>
      </c>
      <c r="S140" s="130">
        <f t="shared" si="24"/>
        <v>34.577125081269195</v>
      </c>
      <c r="T140" s="130">
        <f t="shared" si="24"/>
        <v>34.577125081269195</v>
      </c>
      <c r="U140" s="130">
        <f t="shared" si="24"/>
        <v>34.577125081269195</v>
      </c>
      <c r="V140" s="130" t="e">
        <f>NA()</f>
        <v>#N/A</v>
      </c>
      <c r="W140" s="130" t="e">
        <f>NA()</f>
        <v>#N/A</v>
      </c>
      <c r="X140" s="130" t="e">
        <f>NA()</f>
        <v>#N/A</v>
      </c>
      <c r="Y140" s="130" t="e">
        <f>NA()</f>
        <v>#N/A</v>
      </c>
      <c r="Z140" s="130" t="e">
        <f>NA()</f>
        <v>#N/A</v>
      </c>
      <c r="AA140" s="130" t="e">
        <f>NA()</f>
        <v>#N/A</v>
      </c>
      <c r="AB140" s="130" t="e">
        <f>NA()</f>
        <v>#N/A</v>
      </c>
      <c r="AC140" s="130" t="e">
        <f>NA()</f>
        <v>#N/A</v>
      </c>
      <c r="AD140" s="130" t="e">
        <f>NA()</f>
        <v>#N/A</v>
      </c>
      <c r="AE140" s="130" t="e">
        <f>NA()</f>
        <v>#N/A</v>
      </c>
    </row>
    <row r="141" spans="2:31" ht="12.6" customHeight="1" x14ac:dyDescent="0.35">
      <c r="B141" s="125"/>
      <c r="C141" s="125"/>
      <c r="D141" s="125"/>
      <c r="E141" s="125"/>
      <c r="F141" s="125"/>
      <c r="G141" s="125"/>
      <c r="H141" s="125"/>
      <c r="I141" s="125"/>
      <c r="J141" s="125"/>
      <c r="K141" s="125"/>
      <c r="L141" s="125"/>
      <c r="M141" s="125"/>
      <c r="O141" s="128" t="str">
        <f>$O$16</f>
        <v>Avg: 15-19</v>
      </c>
      <c r="P141" s="130" t="e">
        <f>NA()</f>
        <v>#N/A</v>
      </c>
      <c r="Q141" s="130" t="e">
        <f>NA()</f>
        <v>#N/A</v>
      </c>
      <c r="R141" s="130" t="e">
        <f>NA()</f>
        <v>#N/A</v>
      </c>
      <c r="S141" s="130" t="e">
        <f>NA()</f>
        <v>#N/A</v>
      </c>
      <c r="T141" s="130" t="e">
        <f>NA()</f>
        <v>#N/A</v>
      </c>
      <c r="U141" s="130" t="e">
        <f>NA()</f>
        <v>#N/A</v>
      </c>
      <c r="V141" s="130">
        <f>AVERAGE($V138:$Z138)</f>
        <v>35.102775778886226</v>
      </c>
      <c r="W141" s="130">
        <f t="shared" ref="W141:Z141" si="25">AVERAGE($V138:$Z138)</f>
        <v>35.102775778886226</v>
      </c>
      <c r="X141" s="130">
        <f t="shared" si="25"/>
        <v>35.102775778886226</v>
      </c>
      <c r="Y141" s="130">
        <f t="shared" si="25"/>
        <v>35.102775778886226</v>
      </c>
      <c r="Z141" s="130">
        <f t="shared" si="25"/>
        <v>35.102775778886226</v>
      </c>
      <c r="AA141" s="130" t="e">
        <f>NA()</f>
        <v>#N/A</v>
      </c>
      <c r="AB141" s="130" t="e">
        <f>NA()</f>
        <v>#N/A</v>
      </c>
      <c r="AC141" s="130" t="e">
        <f>NA()</f>
        <v>#N/A</v>
      </c>
      <c r="AD141" s="130" t="e">
        <f>NA()</f>
        <v>#N/A</v>
      </c>
      <c r="AE141" s="130" t="e">
        <f>NA()</f>
        <v>#N/A</v>
      </c>
    </row>
    <row r="142" spans="2:31" ht="12.6" customHeight="1" x14ac:dyDescent="0.35">
      <c r="B142" s="125"/>
      <c r="C142" s="125"/>
      <c r="D142" s="125"/>
      <c r="E142" s="125"/>
      <c r="F142" s="125"/>
      <c r="G142" s="125"/>
      <c r="H142" s="125"/>
      <c r="I142" s="125"/>
      <c r="J142" s="125"/>
      <c r="K142" s="125"/>
      <c r="L142" s="125"/>
      <c r="M142" s="125"/>
      <c r="O142" s="128" t="str">
        <f>$O$17</f>
        <v>Avg: 20-24</v>
      </c>
      <c r="P142" s="130" t="e">
        <f>NA()</f>
        <v>#N/A</v>
      </c>
      <c r="Q142" s="130" t="e">
        <f>NA()</f>
        <v>#N/A</v>
      </c>
      <c r="R142" s="130" t="e">
        <f>NA()</f>
        <v>#N/A</v>
      </c>
      <c r="S142" s="130" t="e">
        <f>NA()</f>
        <v>#N/A</v>
      </c>
      <c r="T142" s="130" t="e">
        <f>NA()</f>
        <v>#N/A</v>
      </c>
      <c r="U142" s="130" t="e">
        <f>NA()</f>
        <v>#N/A</v>
      </c>
      <c r="V142" s="130" t="e">
        <f>NA()</f>
        <v>#N/A</v>
      </c>
      <c r="W142" s="130" t="e">
        <f>NA()</f>
        <v>#N/A</v>
      </c>
      <c r="X142" s="130" t="e">
        <f>NA()</f>
        <v>#N/A</v>
      </c>
      <c r="Y142" s="130" t="e">
        <f>NA()</f>
        <v>#N/A</v>
      </c>
      <c r="Z142" s="130" t="e">
        <f>NA()</f>
        <v>#N/A</v>
      </c>
      <c r="AA142" s="130">
        <f>AVERAGE($AA139:$AE139)</f>
        <v>29.719562878959142</v>
      </c>
      <c r="AB142" s="130">
        <f t="shared" ref="AB142:AE142" si="26">AVERAGE($AA139:$AE139)</f>
        <v>29.719562878959142</v>
      </c>
      <c r="AC142" s="130">
        <f t="shared" si="26"/>
        <v>29.719562878959142</v>
      </c>
      <c r="AD142" s="130">
        <f t="shared" si="26"/>
        <v>29.719562878959142</v>
      </c>
      <c r="AE142" s="130">
        <f t="shared" si="26"/>
        <v>29.719562878959142</v>
      </c>
    </row>
    <row r="143" spans="2:31" ht="12.6" customHeight="1" x14ac:dyDescent="0.35">
      <c r="B143" s="125"/>
      <c r="C143" s="125"/>
      <c r="D143" s="125"/>
      <c r="E143" s="125"/>
      <c r="F143" s="125"/>
      <c r="G143" s="125"/>
      <c r="H143" s="125"/>
      <c r="I143" s="125"/>
      <c r="J143" s="125"/>
      <c r="K143" s="125"/>
      <c r="L143" s="125"/>
      <c r="M143" s="125"/>
      <c r="O143" s="128"/>
      <c r="P143" s="130"/>
      <c r="Q143" s="130"/>
      <c r="R143" s="130"/>
      <c r="S143" s="130"/>
      <c r="T143" s="130"/>
      <c r="U143" s="130"/>
      <c r="V143" s="130"/>
      <c r="W143" s="130"/>
      <c r="X143" s="130"/>
      <c r="Y143" s="130"/>
      <c r="Z143" s="130"/>
      <c r="AA143" s="130"/>
      <c r="AB143" s="130"/>
      <c r="AC143" s="130"/>
      <c r="AD143" s="130"/>
      <c r="AE143" s="130"/>
    </row>
    <row r="144" spans="2:31" ht="12.6" customHeight="1" x14ac:dyDescent="0.35">
      <c r="B144" s="125"/>
      <c r="C144" s="125"/>
      <c r="D144" s="125"/>
      <c r="E144" s="125"/>
      <c r="F144" s="125"/>
      <c r="G144" s="125"/>
      <c r="H144" s="125"/>
      <c r="I144" s="125"/>
      <c r="J144" s="125"/>
      <c r="K144" s="125"/>
      <c r="L144" s="125"/>
      <c r="M144" s="125"/>
    </row>
    <row r="145" spans="2:16" ht="12.6" customHeight="1" x14ac:dyDescent="0.35">
      <c r="B145" s="125"/>
      <c r="C145" s="125"/>
      <c r="D145" s="125"/>
      <c r="E145" s="125"/>
      <c r="F145" s="125"/>
      <c r="G145" s="125"/>
      <c r="H145" s="125"/>
      <c r="I145" s="125"/>
      <c r="J145" s="125"/>
      <c r="K145" s="125"/>
      <c r="L145" s="125"/>
      <c r="M145" s="125"/>
      <c r="O145" s="128" t="str">
        <f>$O$19</f>
        <v>Chart Name:</v>
      </c>
      <c r="P145" s="128" t="str">
        <f>B108</f>
        <v>Replacement Capex - Direct Escalated</v>
      </c>
    </row>
    <row r="146" spans="2:16" ht="12.6" customHeight="1" x14ac:dyDescent="0.35">
      <c r="B146" s="125"/>
      <c r="C146" s="125"/>
      <c r="D146" s="125"/>
      <c r="E146" s="125"/>
      <c r="F146" s="125"/>
      <c r="G146" s="125"/>
      <c r="H146" s="125"/>
      <c r="I146" s="125"/>
      <c r="J146" s="125"/>
      <c r="K146" s="125"/>
      <c r="L146" s="125"/>
      <c r="M146" s="125"/>
      <c r="O146" s="128" t="str">
        <f>$O$20</f>
        <v>Dollar Basis:</v>
      </c>
      <c r="P146" s="128" t="str">
        <f>Real2019</f>
        <v>Real $2019</v>
      </c>
    </row>
    <row r="147" spans="2:16" ht="12.6" customHeight="1" x14ac:dyDescent="0.35">
      <c r="B147" s="125"/>
      <c r="C147" s="125"/>
      <c r="D147" s="125"/>
      <c r="E147" s="125"/>
      <c r="F147" s="125"/>
      <c r="G147" s="125"/>
      <c r="H147" s="125"/>
      <c r="I147" s="125"/>
      <c r="J147" s="125"/>
      <c r="K147" s="125"/>
      <c r="L147" s="125"/>
      <c r="M147" s="125"/>
      <c r="O147" s="128" t="str">
        <f>$O$21</f>
        <v>Units:</v>
      </c>
      <c r="P147" s="128" t="str">
        <f>Millions</f>
        <v>$Millions</v>
      </c>
    </row>
    <row r="148" spans="2:16" ht="12.6" customHeight="1" x14ac:dyDescent="0.35">
      <c r="B148" s="125"/>
      <c r="C148" s="125"/>
      <c r="D148" s="125"/>
      <c r="E148" s="125"/>
      <c r="F148" s="125"/>
      <c r="G148" s="125"/>
      <c r="H148" s="125"/>
      <c r="I148" s="125"/>
      <c r="J148" s="125"/>
      <c r="K148" s="125"/>
      <c r="L148" s="125"/>
      <c r="M148" s="125"/>
      <c r="O148" s="128" t="str">
        <f>$O$22</f>
        <v>Full Chart Title:</v>
      </c>
      <c r="P148" s="128" t="str">
        <f>P145&amp;" ("&amp;P146&amp;", "&amp;P147&amp;")"</f>
        <v>Replacement Capex - Direct Escalated (Real $2019, $Millions)</v>
      </c>
    </row>
    <row r="149" spans="2:16" ht="12.6" customHeight="1" x14ac:dyDescent="0.35">
      <c r="B149" s="125"/>
      <c r="C149" s="125"/>
      <c r="D149" s="125"/>
      <c r="E149" s="125"/>
      <c r="F149" s="125"/>
      <c r="G149" s="125"/>
      <c r="H149" s="125"/>
      <c r="I149" s="125"/>
      <c r="J149" s="125"/>
      <c r="K149" s="125"/>
      <c r="L149" s="125"/>
      <c r="M149" s="125"/>
    </row>
    <row r="150" spans="2:16" ht="12.6" customHeight="1" x14ac:dyDescent="0.35">
      <c r="B150" s="125"/>
      <c r="C150" s="125"/>
      <c r="D150" s="125"/>
      <c r="E150" s="125"/>
      <c r="F150" s="125"/>
      <c r="G150" s="125"/>
      <c r="H150" s="125"/>
      <c r="I150" s="125"/>
      <c r="J150" s="125"/>
      <c r="K150" s="125"/>
      <c r="L150" s="125"/>
      <c r="M150" s="125"/>
    </row>
    <row r="151" spans="2:16" ht="12.6" customHeight="1" x14ac:dyDescent="0.35">
      <c r="B151" s="125"/>
      <c r="C151" s="125"/>
      <c r="D151" s="125"/>
      <c r="E151" s="125"/>
      <c r="F151" s="125"/>
      <c r="G151" s="125"/>
      <c r="H151" s="125"/>
      <c r="I151" s="125"/>
      <c r="J151" s="125"/>
      <c r="K151" s="125"/>
      <c r="L151" s="125"/>
      <c r="M151" s="125"/>
    </row>
    <row r="152" spans="2:16" ht="12.6" customHeight="1" x14ac:dyDescent="0.35">
      <c r="B152" s="125"/>
      <c r="C152" s="125"/>
      <c r="D152" s="125"/>
      <c r="E152" s="125"/>
      <c r="F152" s="125"/>
      <c r="G152" s="125"/>
      <c r="H152" s="125"/>
      <c r="I152" s="125"/>
      <c r="J152" s="125"/>
      <c r="K152" s="125"/>
      <c r="L152" s="125"/>
      <c r="M152" s="125"/>
    </row>
    <row r="153" spans="2:16" ht="12.6" customHeight="1" x14ac:dyDescent="0.35">
      <c r="B153" s="125"/>
      <c r="C153" s="125"/>
      <c r="D153" s="125"/>
      <c r="E153" s="125"/>
      <c r="F153" s="125"/>
      <c r="G153" s="125"/>
      <c r="H153" s="125"/>
      <c r="I153" s="125"/>
      <c r="J153" s="125"/>
      <c r="K153" s="125"/>
      <c r="L153" s="125"/>
      <c r="M153" s="125"/>
    </row>
    <row r="154" spans="2:16" ht="12.6" customHeight="1" x14ac:dyDescent="0.35">
      <c r="B154" s="125"/>
      <c r="C154" s="125"/>
      <c r="D154" s="125"/>
      <c r="E154" s="125"/>
      <c r="F154" s="125"/>
      <c r="G154" s="125"/>
      <c r="H154" s="125"/>
      <c r="I154" s="125"/>
      <c r="J154" s="125"/>
      <c r="K154" s="125"/>
      <c r="L154" s="125"/>
      <c r="M154" s="125"/>
    </row>
    <row r="155" spans="2:16" ht="12.6" customHeight="1" x14ac:dyDescent="0.35">
      <c r="B155" s="125"/>
      <c r="C155" s="125"/>
      <c r="D155" s="125"/>
      <c r="E155" s="125"/>
      <c r="F155" s="125"/>
      <c r="G155" s="125"/>
      <c r="H155" s="125"/>
      <c r="I155" s="125"/>
      <c r="J155" s="125"/>
      <c r="K155" s="125"/>
      <c r="L155" s="125"/>
      <c r="M155" s="125"/>
    </row>
    <row r="156" spans="2:16" ht="12.6" customHeight="1" x14ac:dyDescent="0.35">
      <c r="B156" s="125"/>
      <c r="C156" s="125"/>
      <c r="D156" s="125"/>
      <c r="E156" s="125"/>
      <c r="F156" s="125"/>
      <c r="G156" s="125"/>
      <c r="H156" s="125"/>
      <c r="I156" s="125"/>
      <c r="J156" s="125"/>
      <c r="K156" s="125"/>
      <c r="L156" s="125"/>
      <c r="M156" s="125"/>
    </row>
    <row r="157" spans="2:16" ht="12.6" customHeight="1" x14ac:dyDescent="0.35">
      <c r="B157" s="125"/>
      <c r="C157" s="125"/>
      <c r="D157" s="125"/>
      <c r="E157" s="125"/>
      <c r="F157" s="125"/>
      <c r="G157" s="125"/>
      <c r="H157" s="125"/>
      <c r="I157" s="125"/>
      <c r="J157" s="125"/>
      <c r="K157" s="125"/>
      <c r="L157" s="125"/>
      <c r="M157" s="125"/>
    </row>
    <row r="158" spans="2:16" x14ac:dyDescent="0.35">
      <c r="B158" s="125"/>
      <c r="C158" s="125"/>
      <c r="D158" s="125"/>
      <c r="E158" s="125"/>
      <c r="F158" s="125"/>
      <c r="G158" s="125"/>
      <c r="H158" s="125"/>
      <c r="I158" s="125"/>
      <c r="J158" s="125"/>
      <c r="K158" s="125"/>
      <c r="L158" s="125"/>
      <c r="M158" s="125"/>
    </row>
    <row r="159" spans="2:16" s="139" customFormat="1" ht="12.9" x14ac:dyDescent="0.35">
      <c r="B159" s="139" t="s">
        <v>215</v>
      </c>
    </row>
    <row r="160" spans="2:16" s="125" customFormat="1" ht="4.5" customHeight="1" x14ac:dyDescent="0.35"/>
    <row r="161" spans="2:31" s="162" customFormat="1" ht="14.4" x14ac:dyDescent="0.35">
      <c r="C161" s="162" t="str">
        <f>B159&amp;" - "&amp;P171</f>
        <v>Connection Capex - Direct Escalated - Nominal</v>
      </c>
    </row>
    <row r="162" spans="2:31" x14ac:dyDescent="0.35">
      <c r="B162" s="125"/>
      <c r="C162" s="125"/>
      <c r="D162" s="125"/>
      <c r="E162" s="125"/>
      <c r="F162" s="125"/>
      <c r="G162" s="125"/>
      <c r="H162" s="125"/>
      <c r="I162" s="125"/>
      <c r="J162" s="125"/>
      <c r="K162" s="125"/>
      <c r="L162" s="125"/>
      <c r="M162" s="125"/>
    </row>
    <row r="163" spans="2:31" ht="12.6" customHeight="1" x14ac:dyDescent="0.35">
      <c r="B163" s="125"/>
      <c r="C163" s="125"/>
      <c r="D163" s="125"/>
      <c r="E163" s="125"/>
      <c r="F163" s="125"/>
      <c r="G163" s="125"/>
      <c r="H163" s="125"/>
      <c r="I163" s="125"/>
      <c r="J163" s="125"/>
      <c r="K163" s="125"/>
      <c r="L163" s="125"/>
      <c r="M163" s="125"/>
      <c r="O163" s="126" t="str">
        <f>O$10</f>
        <v>Period</v>
      </c>
      <c r="P163" s="127" t="str">
        <f t="shared" ref="P163:AE163" si="27">P$10</f>
        <v>RY09</v>
      </c>
      <c r="Q163" s="127" t="str">
        <f t="shared" si="27"/>
        <v>RY10</v>
      </c>
      <c r="R163" s="127" t="str">
        <f t="shared" si="27"/>
        <v>RY11</v>
      </c>
      <c r="S163" s="127" t="str">
        <f t="shared" si="27"/>
        <v>RY12</v>
      </c>
      <c r="T163" s="127" t="str">
        <f t="shared" si="27"/>
        <v>RY13</v>
      </c>
      <c r="U163" s="127" t="str">
        <f t="shared" si="27"/>
        <v>RY14</v>
      </c>
      <c r="V163" s="127" t="str">
        <f t="shared" si="27"/>
        <v>RY15</v>
      </c>
      <c r="W163" s="127" t="str">
        <f t="shared" si="27"/>
        <v>RY16</v>
      </c>
      <c r="X163" s="127" t="str">
        <f t="shared" si="27"/>
        <v>RY17</v>
      </c>
      <c r="Y163" s="127" t="str">
        <f t="shared" si="27"/>
        <v>RY18</v>
      </c>
      <c r="Z163" s="127" t="str">
        <f t="shared" si="27"/>
        <v>RY19</v>
      </c>
      <c r="AA163" s="127" t="str">
        <f t="shared" si="27"/>
        <v>RY20</v>
      </c>
      <c r="AB163" s="127" t="str">
        <f t="shared" si="27"/>
        <v>RY21</v>
      </c>
      <c r="AC163" s="127" t="str">
        <f t="shared" si="27"/>
        <v>RY22</v>
      </c>
      <c r="AD163" s="127" t="str">
        <f t="shared" si="27"/>
        <v>RY23</v>
      </c>
      <c r="AE163" s="127" t="str">
        <f t="shared" si="27"/>
        <v>RY24</v>
      </c>
    </row>
    <row r="164" spans="2:31" ht="12.6" customHeight="1" x14ac:dyDescent="0.35">
      <c r="B164" s="125"/>
      <c r="C164" s="125"/>
      <c r="D164" s="125"/>
      <c r="E164" s="125"/>
      <c r="F164" s="125"/>
      <c r="G164" s="125"/>
      <c r="H164" s="125"/>
      <c r="I164" s="125"/>
      <c r="J164" s="125"/>
      <c r="K164" s="125"/>
      <c r="L164" s="125"/>
      <c r="M164" s="125"/>
      <c r="O164" s="128" t="str">
        <f>$O$11</f>
        <v>Actuals/Estimate</v>
      </c>
      <c r="P164" s="621">
        <f>CAPEX_O!N101</f>
        <v>15.268753080864927</v>
      </c>
      <c r="Q164" s="552">
        <f>Q189*Input_Inflation!K$39</f>
        <v>8.8735375790668733</v>
      </c>
      <c r="R164" s="552">
        <f>R189*Input_Inflation!L$39</f>
        <v>11.369156470000004</v>
      </c>
      <c r="S164" s="552">
        <f>S189*Input_Inflation!M$39</f>
        <v>13.251996962085304</v>
      </c>
      <c r="T164" s="552">
        <f>T189*Input_Inflation!N$39</f>
        <v>14.875256458104268</v>
      </c>
      <c r="U164" s="552">
        <f>U189*Input_Inflation!O$39</f>
        <v>14.478044549731436</v>
      </c>
      <c r="V164" s="552">
        <f>V189*Input_Inflation!P$39</f>
        <v>16.666967323017374</v>
      </c>
      <c r="W164" s="552">
        <f>W189*Input_Inflation!Q$39</f>
        <v>13.786243152085314</v>
      </c>
      <c r="X164" s="552">
        <f>X189*Input_Inflation!R$39</f>
        <v>11.690115570963664</v>
      </c>
      <c r="Y164" s="552">
        <f>Y189*Input_Inflation!S$39</f>
        <v>10.720775529851359</v>
      </c>
      <c r="Z164" s="552">
        <f>Z189*Input_Inflation!T$39</f>
        <v>11.454206592581102</v>
      </c>
      <c r="AA164" s="552" t="e">
        <f>NA()</f>
        <v>#N/A</v>
      </c>
      <c r="AB164" s="552" t="e">
        <f>NA()</f>
        <v>#N/A</v>
      </c>
      <c r="AC164" s="552" t="e">
        <f>NA()</f>
        <v>#N/A</v>
      </c>
      <c r="AD164" s="552" t="e">
        <f>NA()</f>
        <v>#N/A</v>
      </c>
      <c r="AE164" s="552" t="e">
        <f>NA()</f>
        <v>#N/A</v>
      </c>
    </row>
    <row r="165" spans="2:31" ht="12.6" customHeight="1" x14ac:dyDescent="0.35">
      <c r="B165" s="125"/>
      <c r="C165" s="125"/>
      <c r="D165" s="125"/>
      <c r="E165" s="125"/>
      <c r="F165" s="125"/>
      <c r="G165" s="125"/>
      <c r="H165" s="125"/>
      <c r="I165" s="125"/>
      <c r="J165" s="125"/>
      <c r="K165" s="125"/>
      <c r="L165" s="125"/>
      <c r="M165" s="125"/>
      <c r="O165" s="128" t="str">
        <f>$O$14</f>
        <v>Forecast</v>
      </c>
      <c r="P165" s="130" t="e">
        <f>NA()</f>
        <v>#N/A</v>
      </c>
      <c r="Q165" s="130" t="e">
        <f>NA()</f>
        <v>#N/A</v>
      </c>
      <c r="R165" s="130" t="e">
        <f>NA()</f>
        <v>#N/A</v>
      </c>
      <c r="S165" s="130" t="e">
        <f>NA()</f>
        <v>#N/A</v>
      </c>
      <c r="T165" s="130" t="e">
        <f>NA()</f>
        <v>#N/A</v>
      </c>
      <c r="U165" s="130" t="e">
        <f>NA()</f>
        <v>#N/A</v>
      </c>
      <c r="V165" s="130" t="e">
        <f>NA()</f>
        <v>#N/A</v>
      </c>
      <c r="W165" s="130" t="e">
        <f>NA()</f>
        <v>#N/A</v>
      </c>
      <c r="X165" s="130" t="e">
        <f>NA()</f>
        <v>#N/A</v>
      </c>
      <c r="Y165" s="552" t="e">
        <f>NA()</f>
        <v>#N/A</v>
      </c>
      <c r="Z165" s="552" t="e">
        <f>NA()</f>
        <v>#N/A</v>
      </c>
      <c r="AA165" s="552">
        <f>AA190*Input_Inflation!U$39</f>
        <v>12.800322934530035</v>
      </c>
      <c r="AB165" s="552">
        <f>AB190*Input_Inflation!V$39</f>
        <v>13.86821677144531</v>
      </c>
      <c r="AC165" s="552">
        <f>AC190*Input_Inflation!W$39</f>
        <v>14.402326443845412</v>
      </c>
      <c r="AD165" s="552">
        <f>AD190*Input_Inflation!X$39</f>
        <v>12.498003578323639</v>
      </c>
      <c r="AE165" s="552">
        <f>AE190*Input_Inflation!Y$39</f>
        <v>12.909182276436612</v>
      </c>
    </row>
    <row r="166" spans="2:31" ht="12.6" customHeight="1" x14ac:dyDescent="0.35">
      <c r="B166" s="125"/>
      <c r="C166" s="125"/>
      <c r="D166" s="125"/>
      <c r="E166" s="125"/>
      <c r="F166" s="125"/>
      <c r="G166" s="125"/>
      <c r="H166" s="125"/>
      <c r="I166" s="125"/>
      <c r="J166" s="125"/>
      <c r="K166" s="125"/>
      <c r="L166" s="125"/>
      <c r="M166" s="125"/>
      <c r="O166" s="128" t="str">
        <f>$O$15</f>
        <v>Avg: 10-14</v>
      </c>
      <c r="P166" s="130" t="e">
        <f>NA()</f>
        <v>#N/A</v>
      </c>
      <c r="Q166" s="130">
        <f>AVERAGE($Q164:$U164)</f>
        <v>12.569598403797578</v>
      </c>
      <c r="R166" s="130">
        <f t="shared" ref="R166:U166" si="28">AVERAGE($Q164:$U164)</f>
        <v>12.569598403797578</v>
      </c>
      <c r="S166" s="130">
        <f t="shared" si="28"/>
        <v>12.569598403797578</v>
      </c>
      <c r="T166" s="130">
        <f t="shared" si="28"/>
        <v>12.569598403797578</v>
      </c>
      <c r="U166" s="130">
        <f t="shared" si="28"/>
        <v>12.569598403797578</v>
      </c>
      <c r="V166" s="130" t="e">
        <f>NA()</f>
        <v>#N/A</v>
      </c>
      <c r="W166" s="130" t="e">
        <f>NA()</f>
        <v>#N/A</v>
      </c>
      <c r="X166" s="130" t="e">
        <f>NA()</f>
        <v>#N/A</v>
      </c>
      <c r="Y166" s="552" t="e">
        <f>NA()</f>
        <v>#N/A</v>
      </c>
      <c r="Z166" s="552" t="e">
        <f>NA()</f>
        <v>#N/A</v>
      </c>
      <c r="AA166" s="552" t="e">
        <f>NA()</f>
        <v>#N/A</v>
      </c>
      <c r="AB166" s="552" t="e">
        <f>NA()</f>
        <v>#N/A</v>
      </c>
      <c r="AC166" s="552" t="e">
        <f>NA()</f>
        <v>#N/A</v>
      </c>
      <c r="AD166" s="552" t="e">
        <f>NA()</f>
        <v>#N/A</v>
      </c>
      <c r="AE166" s="552" t="e">
        <f>NA()</f>
        <v>#N/A</v>
      </c>
    </row>
    <row r="167" spans="2:31" ht="12.6" customHeight="1" x14ac:dyDescent="0.35">
      <c r="B167" s="125"/>
      <c r="C167" s="125"/>
      <c r="D167" s="125"/>
      <c r="E167" s="125"/>
      <c r="F167" s="125"/>
      <c r="G167" s="125"/>
      <c r="H167" s="125"/>
      <c r="I167" s="125"/>
      <c r="J167" s="125"/>
      <c r="K167" s="125"/>
      <c r="L167" s="125"/>
      <c r="M167" s="125"/>
      <c r="O167" s="128" t="str">
        <f>$O$16</f>
        <v>Avg: 15-19</v>
      </c>
      <c r="P167" s="130" t="e">
        <f>NA()</f>
        <v>#N/A</v>
      </c>
      <c r="Q167" s="130" t="e">
        <f>NA()</f>
        <v>#N/A</v>
      </c>
      <c r="R167" s="130" t="e">
        <f>NA()</f>
        <v>#N/A</v>
      </c>
      <c r="S167" s="130" t="e">
        <f>NA()</f>
        <v>#N/A</v>
      </c>
      <c r="T167" s="130" t="e">
        <f>NA()</f>
        <v>#N/A</v>
      </c>
      <c r="U167" s="130" t="e">
        <f>NA()</f>
        <v>#N/A</v>
      </c>
      <c r="V167" s="130">
        <f>AVERAGE($V164:$Z164)</f>
        <v>12.863661633699763</v>
      </c>
      <c r="W167" s="130">
        <f t="shared" ref="W167:Z167" si="29">AVERAGE($V164:$Z164)</f>
        <v>12.863661633699763</v>
      </c>
      <c r="X167" s="130">
        <f t="shared" si="29"/>
        <v>12.863661633699763</v>
      </c>
      <c r="Y167" s="130">
        <f t="shared" si="29"/>
        <v>12.863661633699763</v>
      </c>
      <c r="Z167" s="130">
        <f t="shared" si="29"/>
        <v>12.863661633699763</v>
      </c>
      <c r="AA167" s="130" t="e">
        <f>NA()</f>
        <v>#N/A</v>
      </c>
      <c r="AB167" s="130" t="e">
        <f>NA()</f>
        <v>#N/A</v>
      </c>
      <c r="AC167" s="130" t="e">
        <f>NA()</f>
        <v>#N/A</v>
      </c>
      <c r="AD167" s="130" t="e">
        <f>NA()</f>
        <v>#N/A</v>
      </c>
      <c r="AE167" s="130" t="e">
        <f>NA()</f>
        <v>#N/A</v>
      </c>
    </row>
    <row r="168" spans="2:31" ht="12.6" customHeight="1" x14ac:dyDescent="0.35">
      <c r="B168" s="125"/>
      <c r="C168" s="125"/>
      <c r="D168" s="125"/>
      <c r="E168" s="125"/>
      <c r="F168" s="125"/>
      <c r="G168" s="125"/>
      <c r="H168" s="125"/>
      <c r="I168" s="125"/>
      <c r="J168" s="125"/>
      <c r="K168" s="125"/>
      <c r="L168" s="125"/>
      <c r="M168" s="125"/>
      <c r="O168" s="128" t="str">
        <f>$O$17</f>
        <v>Avg: 20-24</v>
      </c>
      <c r="P168" s="130" t="e">
        <f>NA()</f>
        <v>#N/A</v>
      </c>
      <c r="Q168" s="130" t="e">
        <f>NA()</f>
        <v>#N/A</v>
      </c>
      <c r="R168" s="130" t="e">
        <f>NA()</f>
        <v>#N/A</v>
      </c>
      <c r="S168" s="130" t="e">
        <f>NA()</f>
        <v>#N/A</v>
      </c>
      <c r="T168" s="130" t="e">
        <f>NA()</f>
        <v>#N/A</v>
      </c>
      <c r="U168" s="130" t="e">
        <f>NA()</f>
        <v>#N/A</v>
      </c>
      <c r="V168" s="130" t="e">
        <f>NA()</f>
        <v>#N/A</v>
      </c>
      <c r="W168" s="130" t="e">
        <f>NA()</f>
        <v>#N/A</v>
      </c>
      <c r="X168" s="130" t="e">
        <f>NA()</f>
        <v>#N/A</v>
      </c>
      <c r="Y168" s="130" t="e">
        <f>NA()</f>
        <v>#N/A</v>
      </c>
      <c r="Z168" s="130" t="e">
        <f>NA()</f>
        <v>#N/A</v>
      </c>
      <c r="AA168" s="130">
        <f>AVERAGE($AA165:$AE165)</f>
        <v>13.295610400916203</v>
      </c>
      <c r="AB168" s="130">
        <f t="shared" ref="AB168:AE168" si="30">AVERAGE($AA165:$AE165)</f>
        <v>13.295610400916203</v>
      </c>
      <c r="AC168" s="130">
        <f t="shared" si="30"/>
        <v>13.295610400916203</v>
      </c>
      <c r="AD168" s="130">
        <f t="shared" si="30"/>
        <v>13.295610400916203</v>
      </c>
      <c r="AE168" s="130">
        <f t="shared" si="30"/>
        <v>13.295610400916203</v>
      </c>
    </row>
    <row r="169" spans="2:31" ht="12.6" customHeight="1" x14ac:dyDescent="0.35">
      <c r="B169" s="125"/>
      <c r="C169" s="125"/>
      <c r="D169" s="125"/>
      <c r="E169" s="125"/>
      <c r="F169" s="125"/>
      <c r="G169" s="125"/>
      <c r="H169" s="125"/>
      <c r="I169" s="125"/>
      <c r="J169" s="125"/>
      <c r="K169" s="125"/>
      <c r="L169" s="125"/>
      <c r="M169" s="125"/>
    </row>
    <row r="170" spans="2:31" ht="12.6" customHeight="1" x14ac:dyDescent="0.35">
      <c r="B170" s="125"/>
      <c r="C170" s="125"/>
      <c r="D170" s="125"/>
      <c r="E170" s="125"/>
      <c r="F170" s="125"/>
      <c r="G170" s="125"/>
      <c r="H170" s="125"/>
      <c r="I170" s="125"/>
      <c r="J170" s="125"/>
      <c r="K170" s="125"/>
      <c r="L170" s="125"/>
      <c r="M170" s="125"/>
      <c r="O170" s="128" t="str">
        <f>$O$19</f>
        <v>Chart Name:</v>
      </c>
      <c r="P170" s="128" t="str">
        <f>B159</f>
        <v>Connection Capex - Direct Escalated</v>
      </c>
    </row>
    <row r="171" spans="2:31" ht="12.6" customHeight="1" x14ac:dyDescent="0.35">
      <c r="B171" s="125"/>
      <c r="C171" s="125"/>
      <c r="D171" s="125"/>
      <c r="E171" s="125"/>
      <c r="F171" s="125"/>
      <c r="G171" s="125"/>
      <c r="H171" s="125"/>
      <c r="I171" s="125"/>
      <c r="J171" s="125"/>
      <c r="K171" s="125"/>
      <c r="L171" s="125"/>
      <c r="M171" s="125"/>
      <c r="O171" s="128" t="str">
        <f>$O$20</f>
        <v>Dollar Basis:</v>
      </c>
      <c r="P171" s="128" t="str">
        <f>Nominal</f>
        <v>Nominal</v>
      </c>
    </row>
    <row r="172" spans="2:31" ht="12.6" customHeight="1" x14ac:dyDescent="0.35">
      <c r="B172" s="125"/>
      <c r="C172" s="125"/>
      <c r="D172" s="125"/>
      <c r="E172" s="125"/>
      <c r="F172" s="125"/>
      <c r="G172" s="125"/>
      <c r="H172" s="125"/>
      <c r="I172" s="125"/>
      <c r="J172" s="125"/>
      <c r="K172" s="125"/>
      <c r="L172" s="125"/>
      <c r="M172" s="125"/>
      <c r="O172" s="128" t="str">
        <f>$O$21</f>
        <v>Units:</v>
      </c>
      <c r="P172" s="128" t="str">
        <f>Millions</f>
        <v>$Millions</v>
      </c>
    </row>
    <row r="173" spans="2:31" ht="12.6" customHeight="1" x14ac:dyDescent="0.35">
      <c r="B173" s="125"/>
      <c r="C173" s="125"/>
      <c r="D173" s="125"/>
      <c r="E173" s="125"/>
      <c r="F173" s="125"/>
      <c r="G173" s="125"/>
      <c r="H173" s="125"/>
      <c r="I173" s="125"/>
      <c r="J173" s="125"/>
      <c r="K173" s="125"/>
      <c r="L173" s="125"/>
      <c r="M173" s="125"/>
      <c r="O173" s="128" t="str">
        <f>$O$22</f>
        <v>Full Chart Title:</v>
      </c>
      <c r="P173" s="128" t="str">
        <f>P170&amp;" ("&amp;P171&amp;", "&amp;P172&amp;")"</f>
        <v>Connection Capex - Direct Escalated (Nominal, $Millions)</v>
      </c>
    </row>
    <row r="174" spans="2:31" ht="12.6" customHeight="1" x14ac:dyDescent="0.35">
      <c r="B174" s="125"/>
      <c r="C174" s="125"/>
      <c r="D174" s="125"/>
      <c r="E174" s="125"/>
      <c r="F174" s="125"/>
      <c r="G174" s="125"/>
      <c r="H174" s="125"/>
      <c r="I174" s="125"/>
      <c r="J174" s="125"/>
      <c r="K174" s="125"/>
      <c r="L174" s="125"/>
      <c r="M174" s="125"/>
    </row>
    <row r="175" spans="2:31" ht="12.6" customHeight="1" x14ac:dyDescent="0.35">
      <c r="B175" s="125"/>
      <c r="C175" s="125"/>
      <c r="D175" s="125"/>
      <c r="E175" s="125"/>
      <c r="F175" s="125"/>
      <c r="G175" s="125"/>
      <c r="H175" s="125"/>
      <c r="I175" s="125"/>
      <c r="J175" s="125"/>
      <c r="K175" s="125"/>
      <c r="L175" s="125"/>
      <c r="M175" s="125"/>
    </row>
    <row r="176" spans="2:31" ht="12.6" customHeight="1" x14ac:dyDescent="0.35">
      <c r="B176" s="125"/>
      <c r="C176" s="125"/>
      <c r="D176" s="125"/>
      <c r="E176" s="125"/>
      <c r="F176" s="125"/>
      <c r="G176" s="125"/>
      <c r="H176" s="125"/>
      <c r="I176" s="125"/>
      <c r="J176" s="125"/>
      <c r="K176" s="125"/>
      <c r="L176" s="125"/>
      <c r="M176" s="125"/>
    </row>
    <row r="177" spans="2:31" ht="12.6" customHeight="1" x14ac:dyDescent="0.35">
      <c r="B177" s="125"/>
      <c r="C177" s="125"/>
      <c r="D177" s="125"/>
      <c r="E177" s="125"/>
      <c r="F177" s="125"/>
      <c r="G177" s="125"/>
      <c r="H177" s="125"/>
      <c r="I177" s="125"/>
      <c r="J177" s="125"/>
      <c r="K177" s="125"/>
      <c r="L177" s="125"/>
      <c r="M177" s="125"/>
    </row>
    <row r="178" spans="2:31" ht="12.6" customHeight="1" x14ac:dyDescent="0.35">
      <c r="B178" s="125"/>
      <c r="C178" s="125"/>
      <c r="D178" s="125"/>
      <c r="E178" s="125"/>
      <c r="F178" s="125"/>
      <c r="G178" s="125"/>
      <c r="H178" s="125"/>
      <c r="I178" s="125"/>
      <c r="J178" s="125"/>
      <c r="K178" s="125"/>
      <c r="L178" s="125"/>
      <c r="M178" s="125"/>
    </row>
    <row r="179" spans="2:31" ht="12.6" customHeight="1" x14ac:dyDescent="0.35">
      <c r="B179" s="125"/>
      <c r="C179" s="125"/>
      <c r="D179" s="125"/>
      <c r="E179" s="125"/>
      <c r="F179" s="125"/>
      <c r="G179" s="125"/>
      <c r="H179" s="125"/>
      <c r="I179" s="125"/>
      <c r="J179" s="125"/>
      <c r="K179" s="125"/>
      <c r="L179" s="125"/>
      <c r="M179" s="125"/>
    </row>
    <row r="180" spans="2:31" ht="12.6" customHeight="1" x14ac:dyDescent="0.35">
      <c r="B180" s="125"/>
      <c r="C180" s="125"/>
      <c r="D180" s="125"/>
      <c r="E180" s="125"/>
      <c r="F180" s="125"/>
      <c r="G180" s="125"/>
      <c r="H180" s="125"/>
      <c r="I180" s="125"/>
      <c r="J180" s="125"/>
      <c r="K180" s="125"/>
      <c r="L180" s="125"/>
      <c r="M180" s="125"/>
    </row>
    <row r="181" spans="2:31" ht="12.6" customHeight="1" x14ac:dyDescent="0.35">
      <c r="B181" s="125"/>
      <c r="C181" s="125"/>
      <c r="D181" s="125"/>
      <c r="E181" s="125"/>
      <c r="F181" s="125"/>
      <c r="G181" s="125"/>
      <c r="H181" s="125"/>
      <c r="I181" s="125"/>
      <c r="J181" s="125"/>
      <c r="K181" s="125"/>
      <c r="L181" s="125"/>
      <c r="M181" s="125"/>
    </row>
    <row r="182" spans="2:31" ht="12.6" customHeight="1" x14ac:dyDescent="0.35">
      <c r="B182" s="125"/>
      <c r="C182" s="125"/>
      <c r="D182" s="125"/>
      <c r="E182" s="125"/>
      <c r="F182" s="125"/>
      <c r="G182" s="125"/>
      <c r="H182" s="125"/>
      <c r="I182" s="125"/>
      <c r="J182" s="125"/>
      <c r="K182" s="125"/>
      <c r="L182" s="125"/>
      <c r="M182" s="125"/>
    </row>
    <row r="183" spans="2:31" ht="12.6" customHeight="1" x14ac:dyDescent="0.35">
      <c r="B183" s="125"/>
      <c r="C183" s="125"/>
      <c r="D183" s="125"/>
      <c r="E183" s="125"/>
      <c r="F183" s="125"/>
      <c r="G183" s="125"/>
      <c r="H183" s="125"/>
      <c r="I183" s="125"/>
      <c r="J183" s="125"/>
      <c r="K183" s="125"/>
      <c r="L183" s="125"/>
      <c r="M183" s="125"/>
    </row>
    <row r="184" spans="2:31" x14ac:dyDescent="0.35">
      <c r="B184" s="125"/>
      <c r="C184" s="125"/>
      <c r="D184" s="125"/>
      <c r="E184" s="125"/>
      <c r="F184" s="125"/>
      <c r="G184" s="125"/>
      <c r="H184" s="125"/>
      <c r="I184" s="125"/>
      <c r="J184" s="125"/>
      <c r="K184" s="125"/>
      <c r="L184" s="125"/>
      <c r="M184" s="125"/>
    </row>
    <row r="185" spans="2:31" x14ac:dyDescent="0.35">
      <c r="B185" s="125"/>
      <c r="C185" s="125"/>
      <c r="D185" s="125"/>
      <c r="E185" s="125"/>
      <c r="F185" s="125"/>
      <c r="G185" s="125"/>
      <c r="H185" s="125"/>
      <c r="I185" s="125"/>
      <c r="J185" s="125"/>
      <c r="K185" s="125"/>
      <c r="L185" s="125"/>
      <c r="M185" s="125"/>
    </row>
    <row r="186" spans="2:31" s="162" customFormat="1" ht="14.4" x14ac:dyDescent="0.35">
      <c r="C186" s="162" t="str">
        <f>B159&amp;" - "&amp;P196</f>
        <v>Connection Capex - Direct Escalated - Real $2019</v>
      </c>
    </row>
    <row r="187" spans="2:31" x14ac:dyDescent="0.35">
      <c r="B187" s="125"/>
      <c r="C187" s="125"/>
      <c r="D187" s="125"/>
      <c r="E187" s="125"/>
      <c r="F187" s="125"/>
      <c r="G187" s="125"/>
      <c r="H187" s="125"/>
      <c r="I187" s="125"/>
      <c r="J187" s="125"/>
      <c r="K187" s="125"/>
      <c r="L187" s="125"/>
      <c r="M187" s="125"/>
    </row>
    <row r="188" spans="2:31" ht="12.6" customHeight="1" x14ac:dyDescent="0.35">
      <c r="B188" s="125"/>
      <c r="C188" s="125"/>
      <c r="D188" s="125"/>
      <c r="E188" s="125"/>
      <c r="F188" s="125"/>
      <c r="G188" s="125"/>
      <c r="H188" s="125"/>
      <c r="I188" s="125"/>
      <c r="J188" s="125"/>
      <c r="K188" s="125"/>
      <c r="L188" s="125"/>
      <c r="M188" s="125"/>
      <c r="O188" s="126" t="str">
        <f>O$10</f>
        <v>Period</v>
      </c>
      <c r="P188" s="127" t="str">
        <f t="shared" ref="P188:AE188" si="31">P$10</f>
        <v>RY09</v>
      </c>
      <c r="Q188" s="127" t="str">
        <f t="shared" si="31"/>
        <v>RY10</v>
      </c>
      <c r="R188" s="127" t="str">
        <f t="shared" si="31"/>
        <v>RY11</v>
      </c>
      <c r="S188" s="127" t="str">
        <f t="shared" si="31"/>
        <v>RY12</v>
      </c>
      <c r="T188" s="127" t="str">
        <f t="shared" si="31"/>
        <v>RY13</v>
      </c>
      <c r="U188" s="127" t="str">
        <f t="shared" si="31"/>
        <v>RY14</v>
      </c>
      <c r="V188" s="127" t="str">
        <f t="shared" si="31"/>
        <v>RY15</v>
      </c>
      <c r="W188" s="127" t="str">
        <f t="shared" si="31"/>
        <v>RY16</v>
      </c>
      <c r="X188" s="127" t="str">
        <f t="shared" si="31"/>
        <v>RY17</v>
      </c>
      <c r="Y188" s="127" t="str">
        <f t="shared" si="31"/>
        <v>RY18</v>
      </c>
      <c r="Z188" s="127" t="str">
        <f t="shared" si="31"/>
        <v>RY19</v>
      </c>
      <c r="AA188" s="127" t="str">
        <f t="shared" si="31"/>
        <v>RY20</v>
      </c>
      <c r="AB188" s="127" t="str">
        <f t="shared" si="31"/>
        <v>RY21</v>
      </c>
      <c r="AC188" s="127" t="str">
        <f t="shared" si="31"/>
        <v>RY22</v>
      </c>
      <c r="AD188" s="127" t="str">
        <f t="shared" si="31"/>
        <v>RY23</v>
      </c>
      <c r="AE188" s="127" t="str">
        <f t="shared" si="31"/>
        <v>RY24</v>
      </c>
    </row>
    <row r="189" spans="2:31" ht="12.6" customHeight="1" x14ac:dyDescent="0.35">
      <c r="B189" s="125"/>
      <c r="C189" s="125"/>
      <c r="D189" s="125"/>
      <c r="E189" s="125"/>
      <c r="F189" s="125"/>
      <c r="G189" s="125"/>
      <c r="H189" s="125"/>
      <c r="I189" s="125"/>
      <c r="J189" s="125"/>
      <c r="K189" s="125"/>
      <c r="L189" s="125"/>
      <c r="M189" s="125"/>
      <c r="O189" s="128" t="str">
        <f>$O$11</f>
        <v>Actuals/Estimate</v>
      </c>
      <c r="P189" s="130">
        <f>P164/Input_Inflation!J$39</f>
        <v>19.109929613092337</v>
      </c>
      <c r="Q189" s="547">
        <f>CAPEX_O!D98</f>
        <v>10.859686563223205</v>
      </c>
      <c r="R189" s="548">
        <f>CAPEX_O!E98</f>
        <v>13.464826517578205</v>
      </c>
      <c r="S189" s="548">
        <f>CAPEX_O!F98</f>
        <v>15.330973907253373</v>
      </c>
      <c r="T189" s="548">
        <f>CAPEX_O!G98</f>
        <v>16.904882541263301</v>
      </c>
      <c r="U189" s="549">
        <f>CAPEX_O!H98</f>
        <v>16.020515282316069</v>
      </c>
      <c r="V189" s="547">
        <f>'10'!N12</f>
        <v>18.034972361039578</v>
      </c>
      <c r="W189" s="548">
        <f>'10'!O12</f>
        <v>14.731192292311784</v>
      </c>
      <c r="X189" s="548">
        <f>'10'!P12</f>
        <v>12.309522059828577</v>
      </c>
      <c r="Y189" s="548">
        <f>'10'!Q12</f>
        <v>11.071070222845824</v>
      </c>
      <c r="Z189" s="549">
        <f>'10'!R12</f>
        <v>11.582349621752176</v>
      </c>
      <c r="AA189" s="130" t="e">
        <f>NA()</f>
        <v>#N/A</v>
      </c>
      <c r="AB189" s="130" t="e">
        <f>NA()</f>
        <v>#N/A</v>
      </c>
      <c r="AC189" s="130" t="e">
        <f>NA()</f>
        <v>#N/A</v>
      </c>
      <c r="AD189" s="130" t="e">
        <f>NA()</f>
        <v>#N/A</v>
      </c>
      <c r="AE189" s="130" t="e">
        <f>NA()</f>
        <v>#N/A</v>
      </c>
    </row>
    <row r="190" spans="2:31" ht="12.6" customHeight="1" x14ac:dyDescent="0.35">
      <c r="B190" s="125"/>
      <c r="C190" s="125"/>
      <c r="D190" s="125"/>
      <c r="E190" s="125"/>
      <c r="F190" s="125"/>
      <c r="G190" s="125"/>
      <c r="H190" s="125"/>
      <c r="I190" s="125"/>
      <c r="J190" s="125"/>
      <c r="K190" s="125"/>
      <c r="L190" s="125"/>
      <c r="M190" s="125"/>
      <c r="O190" s="128" t="str">
        <f>$O$14</f>
        <v>Forecast</v>
      </c>
      <c r="P190" s="130" t="e">
        <f>NA()</f>
        <v>#N/A</v>
      </c>
      <c r="Q190" s="130" t="e">
        <f>NA()</f>
        <v>#N/A</v>
      </c>
      <c r="R190" s="130" t="e">
        <f>NA()</f>
        <v>#N/A</v>
      </c>
      <c r="S190" s="130" t="e">
        <f>NA()</f>
        <v>#N/A</v>
      </c>
      <c r="T190" s="130" t="e">
        <f>NA()</f>
        <v>#N/A</v>
      </c>
      <c r="U190" s="130" t="e">
        <f>NA()</f>
        <v>#N/A</v>
      </c>
      <c r="V190" s="130" t="e">
        <f>NA()</f>
        <v>#N/A</v>
      </c>
      <c r="W190" s="130" t="e">
        <f>NA()</f>
        <v>#N/A</v>
      </c>
      <c r="X190" s="130" t="e">
        <f>NA()</f>
        <v>#N/A</v>
      </c>
      <c r="Y190" s="130" t="e">
        <f>NA()</f>
        <v>#N/A</v>
      </c>
      <c r="Z190" s="130" t="e">
        <f>NA()</f>
        <v>#N/A</v>
      </c>
      <c r="AA190" s="547">
        <f>'10'!E58</f>
        <v>12.647893670135225</v>
      </c>
      <c r="AB190" s="548">
        <f>'10'!F58</f>
        <v>13.378655156962429</v>
      </c>
      <c r="AC190" s="548">
        <f>'10'!G58</f>
        <v>13.564976556766927</v>
      </c>
      <c r="AD190" s="548">
        <f>'10'!H58</f>
        <v>11.49268757276556</v>
      </c>
      <c r="AE190" s="549">
        <f>'10'!I58</f>
        <v>11.589754799327023</v>
      </c>
    </row>
    <row r="191" spans="2:31" ht="12.6" customHeight="1" x14ac:dyDescent="0.35">
      <c r="B191" s="125"/>
      <c r="C191" s="125"/>
      <c r="D191" s="125"/>
      <c r="E191" s="125"/>
      <c r="F191" s="125"/>
      <c r="G191" s="125"/>
      <c r="H191" s="125"/>
      <c r="I191" s="125"/>
      <c r="J191" s="125"/>
      <c r="K191" s="125"/>
      <c r="L191" s="125"/>
      <c r="M191" s="125"/>
      <c r="O191" s="128" t="str">
        <f>$O$15</f>
        <v>Avg: 10-14</v>
      </c>
      <c r="P191" s="130" t="e">
        <f>NA()</f>
        <v>#N/A</v>
      </c>
      <c r="Q191" s="130">
        <f>AVERAGE($Q189:$U189)</f>
        <v>14.51617696232683</v>
      </c>
      <c r="R191" s="130">
        <f t="shared" ref="R191:U191" si="32">AVERAGE($Q189:$U189)</f>
        <v>14.51617696232683</v>
      </c>
      <c r="S191" s="130">
        <f t="shared" si="32"/>
        <v>14.51617696232683</v>
      </c>
      <c r="T191" s="130">
        <f t="shared" si="32"/>
        <v>14.51617696232683</v>
      </c>
      <c r="U191" s="130">
        <f t="shared" si="32"/>
        <v>14.51617696232683</v>
      </c>
      <c r="V191" s="130" t="e">
        <f>NA()</f>
        <v>#N/A</v>
      </c>
      <c r="W191" s="130" t="e">
        <f>NA()</f>
        <v>#N/A</v>
      </c>
      <c r="X191" s="130" t="e">
        <f>NA()</f>
        <v>#N/A</v>
      </c>
      <c r="Y191" s="130" t="e">
        <f>NA()</f>
        <v>#N/A</v>
      </c>
      <c r="Z191" s="130" t="e">
        <f>NA()</f>
        <v>#N/A</v>
      </c>
      <c r="AA191" s="130" t="e">
        <f>NA()</f>
        <v>#N/A</v>
      </c>
      <c r="AB191" s="130" t="e">
        <f>NA()</f>
        <v>#N/A</v>
      </c>
      <c r="AC191" s="130" t="e">
        <f>NA()</f>
        <v>#N/A</v>
      </c>
      <c r="AD191" s="130" t="e">
        <f>NA()</f>
        <v>#N/A</v>
      </c>
      <c r="AE191" s="130" t="e">
        <f>NA()</f>
        <v>#N/A</v>
      </c>
    </row>
    <row r="192" spans="2:31" ht="12.6" customHeight="1" x14ac:dyDescent="0.35">
      <c r="B192" s="125"/>
      <c r="C192" s="125"/>
      <c r="D192" s="125"/>
      <c r="E192" s="125"/>
      <c r="F192" s="125"/>
      <c r="G192" s="125"/>
      <c r="H192" s="125"/>
      <c r="I192" s="125"/>
      <c r="J192" s="125"/>
      <c r="K192" s="125"/>
      <c r="L192" s="125"/>
      <c r="M192" s="125"/>
      <c r="O192" s="128" t="str">
        <f>$O$16</f>
        <v>Avg: 15-19</v>
      </c>
      <c r="P192" s="130" t="e">
        <f>NA()</f>
        <v>#N/A</v>
      </c>
      <c r="Q192" s="130" t="e">
        <f>NA()</f>
        <v>#N/A</v>
      </c>
      <c r="R192" s="130" t="e">
        <f>NA()</f>
        <v>#N/A</v>
      </c>
      <c r="S192" s="130" t="e">
        <f>NA()</f>
        <v>#N/A</v>
      </c>
      <c r="T192" s="130" t="e">
        <f>NA()</f>
        <v>#N/A</v>
      </c>
      <c r="U192" s="130" t="e">
        <f>NA()</f>
        <v>#N/A</v>
      </c>
      <c r="V192" s="130">
        <f>AVERAGE($V189:$Z189)</f>
        <v>13.545821311555589</v>
      </c>
      <c r="W192" s="130">
        <f t="shared" ref="W192:Z192" si="33">AVERAGE($V189:$Z189)</f>
        <v>13.545821311555589</v>
      </c>
      <c r="X192" s="130">
        <f t="shared" si="33"/>
        <v>13.545821311555589</v>
      </c>
      <c r="Y192" s="130">
        <f t="shared" si="33"/>
        <v>13.545821311555589</v>
      </c>
      <c r="Z192" s="130">
        <f t="shared" si="33"/>
        <v>13.545821311555589</v>
      </c>
      <c r="AA192" s="130" t="e">
        <f>NA()</f>
        <v>#N/A</v>
      </c>
      <c r="AB192" s="130" t="e">
        <f>NA()</f>
        <v>#N/A</v>
      </c>
      <c r="AC192" s="130" t="e">
        <f>NA()</f>
        <v>#N/A</v>
      </c>
      <c r="AD192" s="130" t="e">
        <f>NA()</f>
        <v>#N/A</v>
      </c>
      <c r="AE192" s="130" t="e">
        <f>NA()</f>
        <v>#N/A</v>
      </c>
    </row>
    <row r="193" spans="2:31" ht="12.6" customHeight="1" x14ac:dyDescent="0.35">
      <c r="B193" s="125"/>
      <c r="C193" s="125"/>
      <c r="D193" s="125"/>
      <c r="E193" s="125"/>
      <c r="F193" s="125"/>
      <c r="G193" s="125"/>
      <c r="H193" s="125"/>
      <c r="I193" s="125"/>
      <c r="J193" s="125"/>
      <c r="K193" s="125"/>
      <c r="L193" s="125"/>
      <c r="M193" s="125"/>
      <c r="O193" s="128" t="str">
        <f>$O$17</f>
        <v>Avg: 20-24</v>
      </c>
      <c r="P193" s="130" t="e">
        <f>NA()</f>
        <v>#N/A</v>
      </c>
      <c r="Q193" s="130" t="e">
        <f>NA()</f>
        <v>#N/A</v>
      </c>
      <c r="R193" s="130" t="e">
        <f>NA()</f>
        <v>#N/A</v>
      </c>
      <c r="S193" s="130" t="e">
        <f>NA()</f>
        <v>#N/A</v>
      </c>
      <c r="T193" s="130" t="e">
        <f>NA()</f>
        <v>#N/A</v>
      </c>
      <c r="U193" s="130" t="e">
        <f>NA()</f>
        <v>#N/A</v>
      </c>
      <c r="V193" s="130" t="e">
        <f>NA()</f>
        <v>#N/A</v>
      </c>
      <c r="W193" s="130" t="e">
        <f>NA()</f>
        <v>#N/A</v>
      </c>
      <c r="X193" s="130" t="e">
        <f>NA()</f>
        <v>#N/A</v>
      </c>
      <c r="Y193" s="130" t="e">
        <f>NA()</f>
        <v>#N/A</v>
      </c>
      <c r="Z193" s="130" t="e">
        <f>NA()</f>
        <v>#N/A</v>
      </c>
      <c r="AA193" s="130">
        <f>AVERAGE($AA190:$AE190)</f>
        <v>12.534793551191434</v>
      </c>
      <c r="AB193" s="130">
        <f t="shared" ref="AB193:AE193" si="34">AVERAGE($AA190:$AE190)</f>
        <v>12.534793551191434</v>
      </c>
      <c r="AC193" s="130">
        <f t="shared" si="34"/>
        <v>12.534793551191434</v>
      </c>
      <c r="AD193" s="130">
        <f t="shared" si="34"/>
        <v>12.534793551191434</v>
      </c>
      <c r="AE193" s="130">
        <f t="shared" si="34"/>
        <v>12.534793551191434</v>
      </c>
    </row>
    <row r="194" spans="2:31" ht="12.6" customHeight="1" x14ac:dyDescent="0.35">
      <c r="B194" s="125"/>
      <c r="C194" s="125"/>
      <c r="D194" s="125"/>
      <c r="E194" s="125"/>
      <c r="F194" s="125"/>
      <c r="G194" s="125"/>
      <c r="H194" s="125"/>
      <c r="I194" s="125"/>
      <c r="J194" s="125"/>
      <c r="K194" s="125"/>
      <c r="L194" s="125"/>
      <c r="M194" s="125"/>
    </row>
    <row r="195" spans="2:31" ht="12.6" customHeight="1" x14ac:dyDescent="0.35">
      <c r="B195" s="125"/>
      <c r="C195" s="125"/>
      <c r="D195" s="125"/>
      <c r="E195" s="125"/>
      <c r="F195" s="125"/>
      <c r="G195" s="125"/>
      <c r="H195" s="125"/>
      <c r="I195" s="125"/>
      <c r="J195" s="125"/>
      <c r="K195" s="125"/>
      <c r="L195" s="125"/>
      <c r="M195" s="125"/>
      <c r="O195" s="128" t="str">
        <f>$O$19</f>
        <v>Chart Name:</v>
      </c>
      <c r="P195" s="128" t="str">
        <f>B159</f>
        <v>Connection Capex - Direct Escalated</v>
      </c>
    </row>
    <row r="196" spans="2:31" ht="12.6" customHeight="1" x14ac:dyDescent="0.35">
      <c r="B196" s="125"/>
      <c r="C196" s="125"/>
      <c r="D196" s="125"/>
      <c r="E196" s="125"/>
      <c r="F196" s="125"/>
      <c r="G196" s="125"/>
      <c r="H196" s="125"/>
      <c r="I196" s="125"/>
      <c r="J196" s="125"/>
      <c r="K196" s="125"/>
      <c r="L196" s="125"/>
      <c r="M196" s="125"/>
      <c r="O196" s="128" t="str">
        <f>$O$20</f>
        <v>Dollar Basis:</v>
      </c>
      <c r="P196" s="128" t="str">
        <f>Real2019</f>
        <v>Real $2019</v>
      </c>
    </row>
    <row r="197" spans="2:31" ht="12.6" customHeight="1" x14ac:dyDescent="0.35">
      <c r="B197" s="125"/>
      <c r="C197" s="125"/>
      <c r="D197" s="125"/>
      <c r="E197" s="125"/>
      <c r="F197" s="125"/>
      <c r="G197" s="125"/>
      <c r="H197" s="125"/>
      <c r="I197" s="125"/>
      <c r="J197" s="125"/>
      <c r="K197" s="125"/>
      <c r="L197" s="125"/>
      <c r="M197" s="125"/>
      <c r="O197" s="128" t="str">
        <f>$O$21</f>
        <v>Units:</v>
      </c>
      <c r="P197" s="128" t="str">
        <f>Millions</f>
        <v>$Millions</v>
      </c>
    </row>
    <row r="198" spans="2:31" ht="12.6" customHeight="1" x14ac:dyDescent="0.35">
      <c r="B198" s="125"/>
      <c r="C198" s="125"/>
      <c r="D198" s="125"/>
      <c r="E198" s="125"/>
      <c r="F198" s="125"/>
      <c r="G198" s="125"/>
      <c r="H198" s="125"/>
      <c r="I198" s="125"/>
      <c r="J198" s="125"/>
      <c r="K198" s="125"/>
      <c r="L198" s="125"/>
      <c r="M198" s="125"/>
      <c r="O198" s="128" t="str">
        <f>$O$22</f>
        <v>Full Chart Title:</v>
      </c>
      <c r="P198" s="128" t="str">
        <f>P195&amp;" ("&amp;P196&amp;", "&amp;P197&amp;")"</f>
        <v>Connection Capex - Direct Escalated (Real $2019, $Millions)</v>
      </c>
    </row>
    <row r="199" spans="2:31" ht="12.6" customHeight="1" x14ac:dyDescent="0.35">
      <c r="B199" s="125"/>
      <c r="C199" s="125"/>
      <c r="D199" s="125"/>
      <c r="E199" s="125"/>
      <c r="F199" s="125"/>
      <c r="G199" s="125"/>
      <c r="H199" s="125"/>
      <c r="I199" s="125"/>
      <c r="J199" s="125"/>
      <c r="K199" s="125"/>
      <c r="L199" s="125"/>
      <c r="M199" s="125"/>
    </row>
    <row r="200" spans="2:31" ht="12.6" customHeight="1" x14ac:dyDescent="0.35">
      <c r="B200" s="125"/>
      <c r="C200" s="125"/>
      <c r="D200" s="125"/>
      <c r="E200" s="125"/>
      <c r="F200" s="125"/>
      <c r="G200" s="125"/>
      <c r="H200" s="125"/>
      <c r="I200" s="125"/>
      <c r="J200" s="125"/>
      <c r="K200" s="125"/>
      <c r="L200" s="125"/>
      <c r="M200" s="125"/>
    </row>
    <row r="201" spans="2:31" ht="12.6" customHeight="1" x14ac:dyDescent="0.35">
      <c r="B201" s="125"/>
      <c r="C201" s="125"/>
      <c r="D201" s="125"/>
      <c r="E201" s="125"/>
      <c r="F201" s="125"/>
      <c r="G201" s="125"/>
      <c r="H201" s="125"/>
      <c r="I201" s="125"/>
      <c r="J201" s="125"/>
      <c r="K201" s="125"/>
      <c r="L201" s="125"/>
      <c r="M201" s="125"/>
    </row>
    <row r="202" spans="2:31" ht="12.6" customHeight="1" x14ac:dyDescent="0.35">
      <c r="B202" s="125"/>
      <c r="C202" s="125"/>
      <c r="D202" s="125"/>
      <c r="E202" s="125"/>
      <c r="F202" s="125"/>
      <c r="G202" s="125"/>
      <c r="H202" s="125"/>
      <c r="I202" s="125"/>
      <c r="J202" s="125"/>
      <c r="K202" s="125"/>
      <c r="L202" s="125"/>
      <c r="M202" s="125"/>
    </row>
    <row r="203" spans="2:31" ht="12.6" customHeight="1" x14ac:dyDescent="0.35">
      <c r="B203" s="125"/>
      <c r="C203" s="125"/>
      <c r="D203" s="125"/>
      <c r="E203" s="125"/>
      <c r="F203" s="125"/>
      <c r="G203" s="125"/>
      <c r="H203" s="125"/>
      <c r="I203" s="125"/>
      <c r="J203" s="125"/>
      <c r="K203" s="125"/>
      <c r="L203" s="125"/>
      <c r="M203" s="125"/>
    </row>
    <row r="204" spans="2:31" ht="12.6" customHeight="1" x14ac:dyDescent="0.35">
      <c r="B204" s="125"/>
      <c r="C204" s="125"/>
      <c r="D204" s="125"/>
      <c r="E204" s="125"/>
      <c r="F204" s="125"/>
      <c r="G204" s="125"/>
      <c r="H204" s="125"/>
      <c r="I204" s="125"/>
      <c r="J204" s="125"/>
      <c r="K204" s="125"/>
      <c r="L204" s="125"/>
      <c r="M204" s="125"/>
    </row>
    <row r="205" spans="2:31" ht="12.6" customHeight="1" x14ac:dyDescent="0.35">
      <c r="B205" s="125"/>
      <c r="C205" s="125"/>
      <c r="D205" s="125"/>
      <c r="E205" s="125"/>
      <c r="F205" s="125"/>
      <c r="G205" s="125"/>
      <c r="H205" s="125"/>
      <c r="I205" s="125"/>
      <c r="J205" s="125"/>
      <c r="K205" s="125"/>
      <c r="L205" s="125"/>
      <c r="M205" s="125"/>
    </row>
    <row r="206" spans="2:31" ht="12.6" customHeight="1" x14ac:dyDescent="0.35">
      <c r="B206" s="125"/>
      <c r="C206" s="125"/>
      <c r="D206" s="125"/>
      <c r="E206" s="125"/>
      <c r="F206" s="125"/>
      <c r="G206" s="125"/>
      <c r="H206" s="125"/>
      <c r="I206" s="125"/>
      <c r="J206" s="125"/>
      <c r="K206" s="125"/>
      <c r="L206" s="125"/>
      <c r="M206" s="125"/>
    </row>
    <row r="207" spans="2:31" ht="12.6" customHeight="1" x14ac:dyDescent="0.35">
      <c r="B207" s="125"/>
      <c r="C207" s="125"/>
      <c r="D207" s="125"/>
      <c r="E207" s="125"/>
      <c r="F207" s="125"/>
      <c r="G207" s="125"/>
      <c r="H207" s="125"/>
      <c r="I207" s="125"/>
      <c r="J207" s="125"/>
      <c r="K207" s="125"/>
      <c r="L207" s="125"/>
      <c r="M207" s="125"/>
    </row>
    <row r="208" spans="2:31" ht="12.6" customHeight="1" x14ac:dyDescent="0.35">
      <c r="B208" s="125"/>
      <c r="C208" s="125"/>
      <c r="D208" s="125"/>
      <c r="E208" s="125"/>
      <c r="F208" s="125"/>
      <c r="G208" s="125"/>
      <c r="H208" s="125"/>
      <c r="I208" s="125"/>
      <c r="J208" s="125"/>
      <c r="K208" s="125"/>
      <c r="L208" s="125"/>
      <c r="M208" s="125"/>
    </row>
    <row r="209" spans="2:31" x14ac:dyDescent="0.35">
      <c r="B209" s="125"/>
      <c r="C209" s="125"/>
      <c r="D209" s="125"/>
      <c r="E209" s="125"/>
      <c r="F209" s="125"/>
      <c r="G209" s="125"/>
      <c r="H209" s="125"/>
      <c r="I209" s="125"/>
      <c r="J209" s="125"/>
      <c r="K209" s="125"/>
      <c r="L209" s="125"/>
      <c r="M209" s="125"/>
    </row>
    <row r="210" spans="2:31" s="139" customFormat="1" ht="12.9" x14ac:dyDescent="0.35">
      <c r="B210" s="139" t="s">
        <v>218</v>
      </c>
    </row>
    <row r="211" spans="2:31" s="125" customFormat="1" ht="4.5" customHeight="1" x14ac:dyDescent="0.35"/>
    <row r="212" spans="2:31" s="162" customFormat="1" ht="14.4" x14ac:dyDescent="0.35">
      <c r="C212" s="162" t="str">
        <f>B210&amp;" - "&amp;P222</f>
        <v>Non Network IT Capex - Direct Escalated - Nominal</v>
      </c>
    </row>
    <row r="213" spans="2:31" x14ac:dyDescent="0.35">
      <c r="C213" s="125"/>
      <c r="D213" s="125"/>
      <c r="E213" s="125"/>
      <c r="F213" s="125"/>
      <c r="G213" s="125"/>
      <c r="H213" s="125"/>
      <c r="I213" s="125"/>
      <c r="J213" s="125"/>
      <c r="K213" s="125"/>
      <c r="L213" s="125"/>
      <c r="M213" s="125"/>
    </row>
    <row r="214" spans="2:31" ht="12.6" customHeight="1" x14ac:dyDescent="0.35">
      <c r="C214" s="125"/>
      <c r="D214" s="125"/>
      <c r="E214" s="125"/>
      <c r="F214" s="125"/>
      <c r="G214" s="125"/>
      <c r="H214" s="125"/>
      <c r="I214" s="125"/>
      <c r="J214" s="125"/>
      <c r="K214" s="125"/>
      <c r="L214" s="125"/>
      <c r="M214" s="125"/>
      <c r="O214" s="126" t="str">
        <f>O$10</f>
        <v>Period</v>
      </c>
      <c r="P214" s="127" t="str">
        <f t="shared" ref="P214:AE214" si="35">P$10</f>
        <v>RY09</v>
      </c>
      <c r="Q214" s="127" t="str">
        <f t="shared" si="35"/>
        <v>RY10</v>
      </c>
      <c r="R214" s="127" t="str">
        <f t="shared" si="35"/>
        <v>RY11</v>
      </c>
      <c r="S214" s="127" t="str">
        <f t="shared" si="35"/>
        <v>RY12</v>
      </c>
      <c r="T214" s="127" t="str">
        <f t="shared" si="35"/>
        <v>RY13</v>
      </c>
      <c r="U214" s="127" t="str">
        <f t="shared" si="35"/>
        <v>RY14</v>
      </c>
      <c r="V214" s="127" t="str">
        <f t="shared" si="35"/>
        <v>RY15</v>
      </c>
      <c r="W214" s="127" t="str">
        <f t="shared" si="35"/>
        <v>RY16</v>
      </c>
      <c r="X214" s="127" t="str">
        <f t="shared" si="35"/>
        <v>RY17</v>
      </c>
      <c r="Y214" s="127" t="str">
        <f t="shared" si="35"/>
        <v>RY18</v>
      </c>
      <c r="Z214" s="127" t="str">
        <f t="shared" si="35"/>
        <v>RY19</v>
      </c>
      <c r="AA214" s="127" t="str">
        <f t="shared" si="35"/>
        <v>RY20</v>
      </c>
      <c r="AB214" s="127" t="str">
        <f t="shared" si="35"/>
        <v>RY21</v>
      </c>
      <c r="AC214" s="127" t="str">
        <f t="shared" si="35"/>
        <v>RY22</v>
      </c>
      <c r="AD214" s="127" t="str">
        <f t="shared" si="35"/>
        <v>RY23</v>
      </c>
      <c r="AE214" s="127" t="str">
        <f t="shared" si="35"/>
        <v>RY24</v>
      </c>
    </row>
    <row r="215" spans="2:31" ht="12.6" customHeight="1" x14ac:dyDescent="0.35">
      <c r="C215" s="125"/>
      <c r="D215" s="125"/>
      <c r="E215" s="125"/>
      <c r="F215" s="125"/>
      <c r="G215" s="125"/>
      <c r="H215" s="125"/>
      <c r="I215" s="125"/>
      <c r="J215" s="125"/>
      <c r="K215" s="125"/>
      <c r="L215" s="125"/>
      <c r="M215" s="125"/>
      <c r="O215" s="128" t="str">
        <f>$O$11</f>
        <v>Actuals/Estimate</v>
      </c>
      <c r="P215" s="130">
        <f t="shared" ref="P215" si="36">P228/Million</f>
        <v>0</v>
      </c>
      <c r="Q215" s="130">
        <f>Q228</f>
        <v>5.4709260000000003E-2</v>
      </c>
      <c r="R215" s="130">
        <f t="shared" ref="R215:T215" si="37">R228</f>
        <v>3.65478755</v>
      </c>
      <c r="S215" s="130">
        <f t="shared" si="37"/>
        <v>2.7270793900000001</v>
      </c>
      <c r="T215" s="130">
        <f t="shared" si="37"/>
        <v>2.4689446099999999</v>
      </c>
      <c r="U215" s="130">
        <f>U229</f>
        <v>0.606936146939832</v>
      </c>
      <c r="V215" s="130">
        <f t="shared" ref="V215:X215" si="38">V229</f>
        <v>0.41995391153095207</v>
      </c>
      <c r="W215" s="130">
        <f t="shared" si="38"/>
        <v>0.89492849489630399</v>
      </c>
      <c r="X215" s="130">
        <f t="shared" si="38"/>
        <v>2.7367044091650485</v>
      </c>
      <c r="Y215" s="130">
        <f>Y230</f>
        <v>4.4524210543727776</v>
      </c>
      <c r="Z215" s="130">
        <f>Z230</f>
        <v>4.7595063195971949</v>
      </c>
      <c r="AA215" s="552" t="e">
        <f>NA()</f>
        <v>#N/A</v>
      </c>
      <c r="AB215" s="552" t="e">
        <f>NA()</f>
        <v>#N/A</v>
      </c>
      <c r="AC215" s="552" t="e">
        <f>NA()</f>
        <v>#N/A</v>
      </c>
      <c r="AD215" s="552" t="e">
        <f>NA()</f>
        <v>#N/A</v>
      </c>
      <c r="AE215" s="552" t="e">
        <f>NA()</f>
        <v>#N/A</v>
      </c>
    </row>
    <row r="216" spans="2:31" ht="12.6" customHeight="1" x14ac:dyDescent="0.35">
      <c r="C216" s="125"/>
      <c r="D216" s="125"/>
      <c r="E216" s="125"/>
      <c r="F216" s="125"/>
      <c r="G216" s="125"/>
      <c r="H216" s="125"/>
      <c r="I216" s="125"/>
      <c r="J216" s="125"/>
      <c r="K216" s="125"/>
      <c r="L216" s="125"/>
      <c r="M216" s="125"/>
      <c r="O216" s="128" t="str">
        <f>$O$14</f>
        <v>Forecast</v>
      </c>
      <c r="P216" s="130" t="e">
        <f>NA()</f>
        <v>#N/A</v>
      </c>
      <c r="Q216" s="130" t="e">
        <f>NA()</f>
        <v>#N/A</v>
      </c>
      <c r="R216" s="130" t="e">
        <f>NA()</f>
        <v>#N/A</v>
      </c>
      <c r="S216" s="130" t="e">
        <f>NA()</f>
        <v>#N/A</v>
      </c>
      <c r="T216" s="130" t="e">
        <f>NA()</f>
        <v>#N/A</v>
      </c>
      <c r="U216" s="130" t="e">
        <f>NA()</f>
        <v>#N/A</v>
      </c>
      <c r="V216" s="130" t="e">
        <f>NA()</f>
        <v>#N/A</v>
      </c>
      <c r="W216" s="130" t="e">
        <f>NA()</f>
        <v>#N/A</v>
      </c>
      <c r="X216" s="130" t="e">
        <f>NA()</f>
        <v>#N/A</v>
      </c>
      <c r="Y216" s="130" t="e">
        <f>NA()</f>
        <v>#N/A</v>
      </c>
      <c r="Z216" s="130" t="e">
        <f>NA()</f>
        <v>#N/A</v>
      </c>
      <c r="AA216" s="552">
        <f>AA241*Input_Inflation!U$39</f>
        <v>10.891146204585748</v>
      </c>
      <c r="AB216" s="552">
        <f>AB241*Input_Inflation!V$39</f>
        <v>9.7759487708203281</v>
      </c>
      <c r="AC216" s="552">
        <f>AC241*Input_Inflation!W$39</f>
        <v>7.8140010753351978</v>
      </c>
      <c r="AD216" s="552">
        <f>AD241*Input_Inflation!X$39</f>
        <v>5.3196166174428292</v>
      </c>
      <c r="AE216" s="552">
        <f>AE241*Input_Inflation!Y$39</f>
        <v>5.6265357396241056</v>
      </c>
    </row>
    <row r="217" spans="2:31" ht="12.6" customHeight="1" x14ac:dyDescent="0.35">
      <c r="C217" s="125"/>
      <c r="D217" s="125"/>
      <c r="E217" s="125"/>
      <c r="F217" s="125"/>
      <c r="G217" s="125"/>
      <c r="H217" s="125"/>
      <c r="I217" s="125"/>
      <c r="J217" s="125"/>
      <c r="K217" s="125"/>
      <c r="L217" s="125"/>
      <c r="M217" s="125"/>
      <c r="O217" s="128" t="str">
        <f>$O$15</f>
        <v>Avg: 10-14</v>
      </c>
      <c r="P217" s="130" t="e">
        <f>NA()</f>
        <v>#N/A</v>
      </c>
      <c r="Q217" s="130">
        <f>AVERAGE($Q215:$U215)</f>
        <v>1.9024913913879664</v>
      </c>
      <c r="R217" s="130">
        <f t="shared" ref="R217:U217" si="39">AVERAGE($Q215:$U215)</f>
        <v>1.9024913913879664</v>
      </c>
      <c r="S217" s="130">
        <f t="shared" si="39"/>
        <v>1.9024913913879664</v>
      </c>
      <c r="T217" s="130">
        <f t="shared" si="39"/>
        <v>1.9024913913879664</v>
      </c>
      <c r="U217" s="130">
        <f t="shared" si="39"/>
        <v>1.9024913913879664</v>
      </c>
      <c r="V217" s="130" t="e">
        <f>NA()</f>
        <v>#N/A</v>
      </c>
      <c r="W217" s="130" t="e">
        <f>NA()</f>
        <v>#N/A</v>
      </c>
      <c r="X217" s="130" t="e">
        <f>NA()</f>
        <v>#N/A</v>
      </c>
      <c r="Y217" s="130" t="e">
        <f>NA()</f>
        <v>#N/A</v>
      </c>
      <c r="Z217" s="130" t="e">
        <f>NA()</f>
        <v>#N/A</v>
      </c>
      <c r="AA217" s="552" t="e">
        <f>NA()</f>
        <v>#N/A</v>
      </c>
      <c r="AB217" s="552" t="e">
        <f>NA()</f>
        <v>#N/A</v>
      </c>
      <c r="AC217" s="552" t="e">
        <f>NA()</f>
        <v>#N/A</v>
      </c>
      <c r="AD217" s="552" t="e">
        <f>NA()</f>
        <v>#N/A</v>
      </c>
      <c r="AE217" s="552" t="e">
        <f>NA()</f>
        <v>#N/A</v>
      </c>
    </row>
    <row r="218" spans="2:31" ht="12.6" customHeight="1" x14ac:dyDescent="0.35">
      <c r="C218" s="125"/>
      <c r="D218" s="125"/>
      <c r="E218" s="125"/>
      <c r="F218" s="125"/>
      <c r="G218" s="125"/>
      <c r="H218" s="125"/>
      <c r="I218" s="125"/>
      <c r="J218" s="125"/>
      <c r="K218" s="125"/>
      <c r="L218" s="125"/>
      <c r="M218" s="125"/>
      <c r="O218" s="128" t="str">
        <f>$O$16</f>
        <v>Avg: 15-19</v>
      </c>
      <c r="P218" s="130" t="e">
        <f>NA()</f>
        <v>#N/A</v>
      </c>
      <c r="Q218" s="130" t="e">
        <f>NA()</f>
        <v>#N/A</v>
      </c>
      <c r="R218" s="130" t="e">
        <f>NA()</f>
        <v>#N/A</v>
      </c>
      <c r="S218" s="130" t="e">
        <f>NA()</f>
        <v>#N/A</v>
      </c>
      <c r="T218" s="130" t="e">
        <f>NA()</f>
        <v>#N/A</v>
      </c>
      <c r="U218" s="130" t="e">
        <f>NA()</f>
        <v>#N/A</v>
      </c>
      <c r="V218" s="130">
        <f>AVERAGE($V215:$Z215)</f>
        <v>2.6527028379124555</v>
      </c>
      <c r="W218" s="130">
        <f t="shared" ref="W218:Z218" si="40">AVERAGE($V215:$Z215)</f>
        <v>2.6527028379124555</v>
      </c>
      <c r="X218" s="130">
        <f t="shared" si="40"/>
        <v>2.6527028379124555</v>
      </c>
      <c r="Y218" s="130">
        <f t="shared" si="40"/>
        <v>2.6527028379124555</v>
      </c>
      <c r="Z218" s="130">
        <f t="shared" si="40"/>
        <v>2.6527028379124555</v>
      </c>
      <c r="AA218" s="130" t="e">
        <f>NA()</f>
        <v>#N/A</v>
      </c>
      <c r="AB218" s="130" t="e">
        <f>NA()</f>
        <v>#N/A</v>
      </c>
      <c r="AC218" s="130" t="e">
        <f>NA()</f>
        <v>#N/A</v>
      </c>
      <c r="AD218" s="130" t="e">
        <f>NA()</f>
        <v>#N/A</v>
      </c>
      <c r="AE218" s="130" t="e">
        <f>NA()</f>
        <v>#N/A</v>
      </c>
    </row>
    <row r="219" spans="2:31" ht="12.6" customHeight="1" x14ac:dyDescent="0.35">
      <c r="C219" s="125"/>
      <c r="D219" s="125"/>
      <c r="E219" s="125"/>
      <c r="F219" s="125"/>
      <c r="G219" s="125"/>
      <c r="H219" s="125"/>
      <c r="I219" s="125"/>
      <c r="J219" s="125"/>
      <c r="K219" s="125"/>
      <c r="L219" s="125"/>
      <c r="M219" s="125"/>
      <c r="O219" s="128" t="str">
        <f>$O$17</f>
        <v>Avg: 20-24</v>
      </c>
      <c r="P219" s="130" t="e">
        <f>NA()</f>
        <v>#N/A</v>
      </c>
      <c r="Q219" s="130" t="e">
        <f>NA()</f>
        <v>#N/A</v>
      </c>
      <c r="R219" s="130" t="e">
        <f>NA()</f>
        <v>#N/A</v>
      </c>
      <c r="S219" s="130" t="e">
        <f>NA()</f>
        <v>#N/A</v>
      </c>
      <c r="T219" s="130" t="e">
        <f>NA()</f>
        <v>#N/A</v>
      </c>
      <c r="U219" s="130" t="e">
        <f>NA()</f>
        <v>#N/A</v>
      </c>
      <c r="V219" s="130" t="e">
        <f>NA()</f>
        <v>#N/A</v>
      </c>
      <c r="W219" s="130" t="e">
        <f>NA()</f>
        <v>#N/A</v>
      </c>
      <c r="X219" s="130" t="e">
        <f>NA()</f>
        <v>#N/A</v>
      </c>
      <c r="Y219" s="130" t="e">
        <f>NA()</f>
        <v>#N/A</v>
      </c>
      <c r="Z219" s="130" t="e">
        <f>NA()</f>
        <v>#N/A</v>
      </c>
      <c r="AA219" s="130">
        <f>AVERAGE($AA216:$AE216)</f>
        <v>7.8854496815616413</v>
      </c>
      <c r="AB219" s="130">
        <f t="shared" ref="AB219:AE219" si="41">AVERAGE($AA216:$AE216)</f>
        <v>7.8854496815616413</v>
      </c>
      <c r="AC219" s="130">
        <f t="shared" si="41"/>
        <v>7.8854496815616413</v>
      </c>
      <c r="AD219" s="130">
        <f t="shared" si="41"/>
        <v>7.8854496815616413</v>
      </c>
      <c r="AE219" s="130">
        <f t="shared" si="41"/>
        <v>7.8854496815616413</v>
      </c>
    </row>
    <row r="220" spans="2:31" ht="12.6" customHeight="1" x14ac:dyDescent="0.35">
      <c r="C220" s="125"/>
      <c r="D220" s="125"/>
      <c r="E220" s="125"/>
      <c r="F220" s="125"/>
      <c r="G220" s="125"/>
      <c r="H220" s="125"/>
      <c r="I220" s="125"/>
      <c r="J220" s="125"/>
      <c r="K220" s="125"/>
      <c r="L220" s="125"/>
      <c r="M220" s="125"/>
    </row>
    <row r="221" spans="2:31" ht="12.6" customHeight="1" x14ac:dyDescent="0.35">
      <c r="C221" s="125"/>
      <c r="D221" s="125"/>
      <c r="E221" s="125"/>
      <c r="F221" s="125"/>
      <c r="G221" s="125"/>
      <c r="H221" s="125"/>
      <c r="I221" s="125"/>
      <c r="J221" s="125"/>
      <c r="K221" s="125"/>
      <c r="L221" s="125"/>
      <c r="M221" s="125"/>
      <c r="O221" s="128" t="str">
        <f>$O$19</f>
        <v>Chart Name:</v>
      </c>
      <c r="P221" s="128" t="str">
        <f>B210</f>
        <v>Non Network IT Capex - Direct Escalated</v>
      </c>
    </row>
    <row r="222" spans="2:31" ht="12.6" customHeight="1" x14ac:dyDescent="0.35">
      <c r="C222" s="125"/>
      <c r="D222" s="125"/>
      <c r="E222" s="125"/>
      <c r="F222" s="125"/>
      <c r="G222" s="125"/>
      <c r="H222" s="125"/>
      <c r="I222" s="125"/>
      <c r="J222" s="125"/>
      <c r="K222" s="125"/>
      <c r="L222" s="125"/>
      <c r="M222" s="125"/>
      <c r="O222" s="128" t="str">
        <f>$O$20</f>
        <v>Dollar Basis:</v>
      </c>
      <c r="P222" s="128" t="str">
        <f>Nominal</f>
        <v>Nominal</v>
      </c>
    </row>
    <row r="223" spans="2:31" ht="12.6" customHeight="1" x14ac:dyDescent="0.35">
      <c r="C223" s="125"/>
      <c r="D223" s="125"/>
      <c r="E223" s="125"/>
      <c r="F223" s="125"/>
      <c r="G223" s="125"/>
      <c r="H223" s="125"/>
      <c r="I223" s="125"/>
      <c r="J223" s="125"/>
      <c r="K223" s="125"/>
      <c r="L223" s="125"/>
      <c r="M223" s="125"/>
      <c r="O223" s="128" t="str">
        <f>$O$21</f>
        <v>Units:</v>
      </c>
      <c r="P223" s="128" t="str">
        <f>Millions</f>
        <v>$Millions</v>
      </c>
    </row>
    <row r="224" spans="2:31" ht="12.6" customHeight="1" x14ac:dyDescent="0.35">
      <c r="C224" s="125"/>
      <c r="D224" s="125"/>
      <c r="E224" s="125"/>
      <c r="F224" s="125"/>
      <c r="G224" s="125"/>
      <c r="H224" s="125"/>
      <c r="I224" s="125"/>
      <c r="J224" s="125"/>
      <c r="K224" s="125"/>
      <c r="L224" s="125"/>
      <c r="M224" s="125"/>
      <c r="O224" s="128" t="str">
        <f>$O$22</f>
        <v>Full Chart Title:</v>
      </c>
      <c r="P224" s="128" t="str">
        <f>P221&amp;" ("&amp;P222&amp;", "&amp;P223&amp;")"</f>
        <v>Non Network IT Capex - Direct Escalated (Nominal, $Millions)</v>
      </c>
    </row>
    <row r="225" spans="3:31" ht="12.6" customHeight="1" x14ac:dyDescent="0.35">
      <c r="C225" s="125"/>
      <c r="D225" s="125"/>
      <c r="E225" s="125"/>
      <c r="F225" s="125"/>
      <c r="G225" s="125"/>
      <c r="H225" s="125"/>
      <c r="I225" s="125"/>
      <c r="J225" s="125"/>
      <c r="K225" s="125"/>
      <c r="L225" s="125"/>
      <c r="M225" s="125"/>
    </row>
    <row r="226" spans="3:31" ht="12.6" customHeight="1" x14ac:dyDescent="0.35">
      <c r="C226" s="125"/>
      <c r="D226" s="125"/>
      <c r="E226" s="125"/>
      <c r="F226" s="125"/>
      <c r="G226" s="125"/>
      <c r="H226" s="125"/>
      <c r="I226" s="125"/>
      <c r="J226" s="125"/>
      <c r="K226" s="125"/>
      <c r="L226" s="125"/>
      <c r="M226" s="125"/>
      <c r="O226" s="126" t="str">
        <f>O$10</f>
        <v>Period</v>
      </c>
      <c r="P226" s="127" t="str">
        <f t="shared" ref="P226:AE226" si="42">P$10</f>
        <v>RY09</v>
      </c>
      <c r="Q226" s="127" t="str">
        <f t="shared" si="42"/>
        <v>RY10</v>
      </c>
      <c r="R226" s="127" t="str">
        <f t="shared" si="42"/>
        <v>RY11</v>
      </c>
      <c r="S226" s="127" t="str">
        <f t="shared" si="42"/>
        <v>RY12</v>
      </c>
      <c r="T226" s="127" t="str">
        <f t="shared" si="42"/>
        <v>RY13</v>
      </c>
      <c r="U226" s="127" t="str">
        <f t="shared" si="42"/>
        <v>RY14</v>
      </c>
      <c r="V226" s="127" t="str">
        <f t="shared" si="42"/>
        <v>RY15</v>
      </c>
      <c r="W226" s="127" t="str">
        <f t="shared" si="42"/>
        <v>RY16</v>
      </c>
      <c r="X226" s="127" t="str">
        <f t="shared" si="42"/>
        <v>RY17</v>
      </c>
      <c r="Y226" s="127" t="str">
        <f t="shared" si="42"/>
        <v>RY18</v>
      </c>
      <c r="Z226" s="127" t="str">
        <f t="shared" si="42"/>
        <v>RY19</v>
      </c>
      <c r="AA226" s="127" t="str">
        <f t="shared" si="42"/>
        <v>RY20</v>
      </c>
      <c r="AB226" s="127" t="str">
        <f t="shared" si="42"/>
        <v>RY21</v>
      </c>
      <c r="AC226" s="127" t="str">
        <f t="shared" si="42"/>
        <v>RY22</v>
      </c>
      <c r="AD226" s="127" t="str">
        <f t="shared" si="42"/>
        <v>RY23</v>
      </c>
      <c r="AE226" s="127" t="str">
        <f t="shared" si="42"/>
        <v>RY24</v>
      </c>
    </row>
    <row r="227" spans="3:31" ht="12.6" customHeight="1" x14ac:dyDescent="0.35">
      <c r="C227" s="125"/>
      <c r="D227" s="125"/>
      <c r="E227" s="125"/>
      <c r="F227" s="125"/>
      <c r="G227" s="125"/>
      <c r="H227" s="125"/>
      <c r="I227" s="125"/>
      <c r="J227" s="125"/>
      <c r="K227" s="125"/>
      <c r="L227" s="125"/>
      <c r="M227" s="125"/>
    </row>
    <row r="228" spans="3:31" ht="12.6" customHeight="1" x14ac:dyDescent="0.35">
      <c r="C228" s="125"/>
      <c r="D228" s="125"/>
      <c r="E228" s="125"/>
      <c r="F228" s="125"/>
      <c r="G228" s="125"/>
      <c r="H228" s="125"/>
      <c r="I228" s="125"/>
      <c r="J228" s="125"/>
      <c r="K228" s="125"/>
      <c r="L228" s="125"/>
      <c r="M228" s="125"/>
      <c r="O228" s="555" t="s">
        <v>1737</v>
      </c>
      <c r="P228" s="554">
        <v>0</v>
      </c>
      <c r="Q228" s="554">
        <v>5.4709260000000003E-2</v>
      </c>
      <c r="R228" s="554">
        <v>3.65478755</v>
      </c>
      <c r="S228" s="554">
        <v>2.7270793900000001</v>
      </c>
      <c r="T228" s="554">
        <v>2.4689446099999999</v>
      </c>
      <c r="U228" s="135"/>
      <c r="V228" s="135"/>
      <c r="W228" s="135"/>
      <c r="X228" s="135"/>
      <c r="Y228" s="135"/>
      <c r="Z228" s="135"/>
      <c r="AA228" s="135"/>
      <c r="AB228" s="135"/>
      <c r="AC228" s="135"/>
      <c r="AD228" s="135"/>
      <c r="AE228" s="135"/>
    </row>
    <row r="229" spans="3:31" ht="12.6" customHeight="1" x14ac:dyDescent="0.35">
      <c r="C229" s="125"/>
      <c r="D229" s="125"/>
      <c r="E229" s="125"/>
      <c r="F229" s="125"/>
      <c r="G229" s="125"/>
      <c r="H229" s="125"/>
      <c r="I229" s="125"/>
      <c r="J229" s="125"/>
      <c r="K229" s="125"/>
      <c r="L229" s="125"/>
      <c r="M229" s="125"/>
      <c r="O229" s="555" t="s">
        <v>1651</v>
      </c>
      <c r="P229" s="135"/>
      <c r="Q229" s="135"/>
      <c r="R229" s="135"/>
      <c r="S229" s="135"/>
      <c r="T229" s="135"/>
      <c r="U229" s="554">
        <v>0.606936146939832</v>
      </c>
      <c r="V229" s="554">
        <v>0.41995391153095207</v>
      </c>
      <c r="W229" s="554">
        <v>0.89492849489630399</v>
      </c>
      <c r="X229" s="554">
        <v>2.7367044091650485</v>
      </c>
      <c r="Y229" s="135"/>
      <c r="Z229" s="135"/>
      <c r="AA229" s="135"/>
      <c r="AB229" s="135"/>
      <c r="AC229" s="135"/>
      <c r="AD229" s="135"/>
      <c r="AE229" s="135"/>
    </row>
    <row r="230" spans="3:31" ht="12.6" customHeight="1" x14ac:dyDescent="0.35">
      <c r="C230" s="125"/>
      <c r="D230" s="125"/>
      <c r="E230" s="125"/>
      <c r="F230" s="125"/>
      <c r="G230" s="125"/>
      <c r="H230" s="125"/>
      <c r="I230" s="125"/>
      <c r="J230" s="125"/>
      <c r="K230" s="125"/>
      <c r="L230" s="125"/>
      <c r="M230" s="125"/>
      <c r="O230" s="555" t="s">
        <v>1650</v>
      </c>
      <c r="P230" s="135"/>
      <c r="Q230" s="135"/>
      <c r="R230" s="135"/>
      <c r="S230" s="135"/>
      <c r="T230" s="135"/>
      <c r="U230" s="135"/>
      <c r="V230" s="135"/>
      <c r="W230" s="135"/>
      <c r="X230" s="135"/>
      <c r="Y230" s="554">
        <f>'[4]Total by category'!S$29*Input_Inflation!S39</f>
        <v>4.4524210543727776</v>
      </c>
      <c r="Z230" s="554">
        <f>'[4]Total by category'!T$29*Input_Inflation!T39</f>
        <v>4.7595063195971949</v>
      </c>
      <c r="AA230" s="135"/>
      <c r="AB230" s="135"/>
      <c r="AC230" s="135"/>
      <c r="AD230" s="135"/>
      <c r="AE230" s="135"/>
    </row>
    <row r="231" spans="3:31" ht="12.6" customHeight="1" x14ac:dyDescent="0.35">
      <c r="C231" s="125"/>
      <c r="D231" s="125"/>
      <c r="E231" s="125"/>
      <c r="F231" s="125"/>
      <c r="G231" s="125"/>
      <c r="H231" s="125"/>
      <c r="I231" s="125"/>
      <c r="J231" s="125"/>
      <c r="K231" s="125"/>
      <c r="L231" s="125"/>
      <c r="M231" s="125"/>
      <c r="O231" s="555"/>
    </row>
    <row r="232" spans="3:31" ht="12.6" customHeight="1" x14ac:dyDescent="0.35">
      <c r="C232" s="125"/>
      <c r="D232" s="125"/>
      <c r="E232" s="125"/>
      <c r="F232" s="125"/>
      <c r="G232" s="125"/>
      <c r="H232" s="125"/>
      <c r="I232" s="125"/>
      <c r="J232" s="125"/>
      <c r="K232" s="125"/>
      <c r="L232" s="125"/>
      <c r="M232" s="125"/>
    </row>
    <row r="233" spans="3:31" ht="12.6" customHeight="1" x14ac:dyDescent="0.35">
      <c r="C233" s="125"/>
      <c r="D233" s="125"/>
      <c r="E233" s="125"/>
      <c r="F233" s="125"/>
      <c r="G233" s="125"/>
      <c r="H233" s="125"/>
      <c r="I233" s="125"/>
      <c r="J233" s="125"/>
      <c r="K233" s="125"/>
      <c r="L233" s="125"/>
      <c r="M233" s="125"/>
    </row>
    <row r="234" spans="3:31" ht="12.6" customHeight="1" x14ac:dyDescent="0.35">
      <c r="C234" s="125"/>
      <c r="D234" s="125"/>
      <c r="E234" s="125"/>
      <c r="F234" s="125"/>
      <c r="G234" s="125"/>
      <c r="H234" s="125"/>
      <c r="I234" s="125"/>
      <c r="J234" s="125"/>
      <c r="K234" s="125"/>
      <c r="L234" s="125"/>
      <c r="M234" s="125"/>
    </row>
    <row r="235" spans="3:31" x14ac:dyDescent="0.35">
      <c r="C235" s="125"/>
      <c r="D235" s="125"/>
      <c r="E235" s="125"/>
      <c r="F235" s="125"/>
      <c r="G235" s="125"/>
      <c r="H235" s="125"/>
      <c r="I235" s="125"/>
      <c r="J235" s="125"/>
      <c r="K235" s="125"/>
      <c r="L235" s="125"/>
      <c r="M235" s="125"/>
    </row>
    <row r="236" spans="3:31" x14ac:dyDescent="0.35">
      <c r="C236" s="125"/>
      <c r="D236" s="125"/>
      <c r="E236" s="125"/>
      <c r="F236" s="125"/>
      <c r="G236" s="125"/>
      <c r="H236" s="125"/>
      <c r="I236" s="125"/>
      <c r="J236" s="125"/>
      <c r="K236" s="125"/>
      <c r="L236" s="125"/>
      <c r="M236" s="125"/>
    </row>
    <row r="237" spans="3:31" s="162" customFormat="1" ht="14.4" x14ac:dyDescent="0.35">
      <c r="C237" s="162" t="str">
        <f>B210&amp;" - "&amp;P247</f>
        <v>Non Network IT Capex - Direct Escalated - Real $2019</v>
      </c>
    </row>
    <row r="238" spans="3:31" x14ac:dyDescent="0.35">
      <c r="C238" s="125"/>
      <c r="D238" s="125"/>
      <c r="E238" s="125"/>
      <c r="F238" s="125"/>
      <c r="G238" s="125"/>
      <c r="H238" s="125"/>
      <c r="I238" s="125"/>
      <c r="J238" s="125"/>
      <c r="K238" s="125"/>
      <c r="L238" s="125"/>
      <c r="M238" s="125"/>
    </row>
    <row r="239" spans="3:31" ht="12.6" customHeight="1" x14ac:dyDescent="0.35">
      <c r="C239" s="125"/>
      <c r="D239" s="125"/>
      <c r="E239" s="125"/>
      <c r="F239" s="125"/>
      <c r="G239" s="125"/>
      <c r="H239" s="125"/>
      <c r="I239" s="125"/>
      <c r="J239" s="125"/>
      <c r="K239" s="125"/>
      <c r="L239" s="125"/>
      <c r="M239" s="125"/>
      <c r="O239" s="126" t="str">
        <f>O$10</f>
        <v>Period</v>
      </c>
      <c r="P239" s="127" t="str">
        <f t="shared" ref="P239:AE239" si="43">P$10</f>
        <v>RY09</v>
      </c>
      <c r="Q239" s="127" t="str">
        <f t="shared" si="43"/>
        <v>RY10</v>
      </c>
      <c r="R239" s="127" t="str">
        <f t="shared" si="43"/>
        <v>RY11</v>
      </c>
      <c r="S239" s="127" t="str">
        <f t="shared" si="43"/>
        <v>RY12</v>
      </c>
      <c r="T239" s="127" t="str">
        <f t="shared" si="43"/>
        <v>RY13</v>
      </c>
      <c r="U239" s="127" t="str">
        <f t="shared" si="43"/>
        <v>RY14</v>
      </c>
      <c r="V239" s="127" t="str">
        <f t="shared" si="43"/>
        <v>RY15</v>
      </c>
      <c r="W239" s="127" t="str">
        <f t="shared" si="43"/>
        <v>RY16</v>
      </c>
      <c r="X239" s="127" t="str">
        <f t="shared" si="43"/>
        <v>RY17</v>
      </c>
      <c r="Y239" s="127" t="str">
        <f t="shared" si="43"/>
        <v>RY18</v>
      </c>
      <c r="Z239" s="127" t="str">
        <f t="shared" si="43"/>
        <v>RY19</v>
      </c>
      <c r="AA239" s="127" t="str">
        <f t="shared" si="43"/>
        <v>RY20</v>
      </c>
      <c r="AB239" s="127" t="str">
        <f t="shared" si="43"/>
        <v>RY21</v>
      </c>
      <c r="AC239" s="127" t="str">
        <f t="shared" si="43"/>
        <v>RY22</v>
      </c>
      <c r="AD239" s="127" t="str">
        <f t="shared" si="43"/>
        <v>RY23</v>
      </c>
      <c r="AE239" s="127" t="str">
        <f t="shared" si="43"/>
        <v>RY24</v>
      </c>
    </row>
    <row r="240" spans="3:31" ht="12.6" customHeight="1" x14ac:dyDescent="0.35">
      <c r="C240" s="125"/>
      <c r="D240" s="125"/>
      <c r="E240" s="125"/>
      <c r="F240" s="125"/>
      <c r="G240" s="125"/>
      <c r="H240" s="125"/>
      <c r="I240" s="125"/>
      <c r="J240" s="125"/>
      <c r="K240" s="125"/>
      <c r="L240" s="125"/>
      <c r="M240" s="125"/>
      <c r="O240" s="128" t="str">
        <f>$O$11</f>
        <v>Actuals/Estimate</v>
      </c>
      <c r="P240" s="130">
        <f>P215/Input_Inflation!J$39</f>
        <v>0</v>
      </c>
      <c r="Q240" s="130">
        <f>Q215/Input_Inflation!K$39</f>
        <v>6.6954741602431131E-2</v>
      </c>
      <c r="R240" s="130">
        <f>R215/Input_Inflation!L$39</f>
        <v>4.3284724288216845</v>
      </c>
      <c r="S240" s="130">
        <f>S215/Input_Inflation!M$39</f>
        <v>3.1549043582424359</v>
      </c>
      <c r="T240" s="130">
        <f>T215/Input_Inflation!N$39</f>
        <v>2.8058150627847529</v>
      </c>
      <c r="U240" s="130">
        <f>U215/Input_Inflation!O$39</f>
        <v>0.67159828000529098</v>
      </c>
      <c r="V240" s="130">
        <f>V215/Input_Inflation!P$39</f>
        <v>0.45442323372840304</v>
      </c>
      <c r="W240" s="130">
        <f>W215/Input_Inflation!Q$39</f>
        <v>0.95626949276551076</v>
      </c>
      <c r="X240" s="130">
        <f>X215/Input_Inflation!R$39</f>
        <v>2.8817100302687852</v>
      </c>
      <c r="Y240" s="130">
        <f>Y215/Input_Inflation!S$39</f>
        <v>4.5979011515897028</v>
      </c>
      <c r="Z240" s="130">
        <f>Z215/Input_Inflation!T$39</f>
        <v>4.8127529196320751</v>
      </c>
      <c r="AA240" s="130" t="e">
        <f>NA()</f>
        <v>#N/A</v>
      </c>
      <c r="AB240" s="130" t="e">
        <f>NA()</f>
        <v>#N/A</v>
      </c>
      <c r="AC240" s="130" t="e">
        <f>NA()</f>
        <v>#N/A</v>
      </c>
      <c r="AD240" s="130" t="e">
        <f>NA()</f>
        <v>#N/A</v>
      </c>
      <c r="AE240" s="130" t="e">
        <f>NA()</f>
        <v>#N/A</v>
      </c>
    </row>
    <row r="241" spans="3:31" ht="12.6" customHeight="1" x14ac:dyDescent="0.35">
      <c r="C241" s="125"/>
      <c r="D241" s="125"/>
      <c r="E241" s="125"/>
      <c r="F241" s="125"/>
      <c r="G241" s="125"/>
      <c r="H241" s="125"/>
      <c r="I241" s="125"/>
      <c r="J241" s="125"/>
      <c r="K241" s="125"/>
      <c r="L241" s="125"/>
      <c r="M241" s="125"/>
      <c r="O241" s="128" t="str">
        <f>$O$14</f>
        <v>Forecast</v>
      </c>
      <c r="P241" s="130" t="e">
        <f>NA()</f>
        <v>#N/A</v>
      </c>
      <c r="Q241" s="130" t="e">
        <f>NA()</f>
        <v>#N/A</v>
      </c>
      <c r="R241" s="130" t="e">
        <f>NA()</f>
        <v>#N/A</v>
      </c>
      <c r="S241" s="130" t="e">
        <f>NA()</f>
        <v>#N/A</v>
      </c>
      <c r="T241" s="130" t="e">
        <f>NA()</f>
        <v>#N/A</v>
      </c>
      <c r="U241" s="130" t="e">
        <f>NA()</f>
        <v>#N/A</v>
      </c>
      <c r="V241" s="130" t="e">
        <f>NA()</f>
        <v>#N/A</v>
      </c>
      <c r="W241" s="130" t="e">
        <f>NA()</f>
        <v>#N/A</v>
      </c>
      <c r="X241" s="130" t="e">
        <f>NA()</f>
        <v>#N/A</v>
      </c>
      <c r="Y241" s="130" t="e">
        <f>NA()</f>
        <v>#N/A</v>
      </c>
      <c r="Z241" s="130" t="e">
        <f>NA()</f>
        <v>#N/A</v>
      </c>
      <c r="AA241" s="547">
        <f>'10'!E59</f>
        <v>10.761451866960643</v>
      </c>
      <c r="AB241" s="548">
        <f>'10'!F59</f>
        <v>9.4308482188013425</v>
      </c>
      <c r="AC241" s="548">
        <f>'10'!G59</f>
        <v>7.3596957973945534</v>
      </c>
      <c r="AD241" s="548">
        <f>'10'!H59</f>
        <v>4.8917166176201921</v>
      </c>
      <c r="AE241" s="549">
        <f>'10'!I59</f>
        <v>5.0514562576843405</v>
      </c>
    </row>
    <row r="242" spans="3:31" ht="12.6" customHeight="1" x14ac:dyDescent="0.35">
      <c r="C242" s="125"/>
      <c r="D242" s="125"/>
      <c r="E242" s="125"/>
      <c r="F242" s="125"/>
      <c r="G242" s="125"/>
      <c r="H242" s="125"/>
      <c r="I242" s="125"/>
      <c r="J242" s="125"/>
      <c r="K242" s="125"/>
      <c r="L242" s="125"/>
      <c r="M242" s="125"/>
      <c r="O242" s="128" t="str">
        <f>$O$15</f>
        <v>Avg: 10-14</v>
      </c>
      <c r="P242" s="130" t="e">
        <f>NA()</f>
        <v>#N/A</v>
      </c>
      <c r="Q242" s="130">
        <f>AVERAGE($Q240:$U240)</f>
        <v>2.205548974291319</v>
      </c>
      <c r="R242" s="130">
        <f t="shared" ref="R242:U242" si="44">AVERAGE($Q240:$U240)</f>
        <v>2.205548974291319</v>
      </c>
      <c r="S242" s="130">
        <f t="shared" si="44"/>
        <v>2.205548974291319</v>
      </c>
      <c r="T242" s="130">
        <f t="shared" si="44"/>
        <v>2.205548974291319</v>
      </c>
      <c r="U242" s="130">
        <f t="shared" si="44"/>
        <v>2.205548974291319</v>
      </c>
      <c r="V242" s="130" t="e">
        <f>NA()</f>
        <v>#N/A</v>
      </c>
      <c r="W242" s="130" t="e">
        <f>NA()</f>
        <v>#N/A</v>
      </c>
      <c r="X242" s="130" t="e">
        <f>NA()</f>
        <v>#N/A</v>
      </c>
      <c r="Y242" s="130" t="e">
        <f>NA()</f>
        <v>#N/A</v>
      </c>
      <c r="Z242" s="130" t="e">
        <f>NA()</f>
        <v>#N/A</v>
      </c>
      <c r="AA242" s="130" t="e">
        <f>NA()</f>
        <v>#N/A</v>
      </c>
      <c r="AB242" s="130" t="e">
        <f>NA()</f>
        <v>#N/A</v>
      </c>
      <c r="AC242" s="130" t="e">
        <f>NA()</f>
        <v>#N/A</v>
      </c>
      <c r="AD242" s="130" t="e">
        <f>NA()</f>
        <v>#N/A</v>
      </c>
      <c r="AE242" s="130" t="e">
        <f>NA()</f>
        <v>#N/A</v>
      </c>
    </row>
    <row r="243" spans="3:31" ht="12.6" customHeight="1" x14ac:dyDescent="0.35">
      <c r="C243" s="125"/>
      <c r="D243" s="125"/>
      <c r="E243" s="125"/>
      <c r="F243" s="125"/>
      <c r="G243" s="125"/>
      <c r="H243" s="125"/>
      <c r="I243" s="125"/>
      <c r="J243" s="125"/>
      <c r="K243" s="125"/>
      <c r="L243" s="125"/>
      <c r="M243" s="125"/>
      <c r="O243" s="128" t="str">
        <f>$O$16</f>
        <v>Avg: 15-19</v>
      </c>
      <c r="P243" s="130" t="e">
        <f>NA()</f>
        <v>#N/A</v>
      </c>
      <c r="Q243" s="130" t="e">
        <f>NA()</f>
        <v>#N/A</v>
      </c>
      <c r="R243" s="130" t="e">
        <f>NA()</f>
        <v>#N/A</v>
      </c>
      <c r="S243" s="130" t="e">
        <f>NA()</f>
        <v>#N/A</v>
      </c>
      <c r="T243" s="130" t="e">
        <f>NA()</f>
        <v>#N/A</v>
      </c>
      <c r="U243" s="130" t="e">
        <f>NA()</f>
        <v>#N/A</v>
      </c>
      <c r="V243" s="130">
        <f>AVERAGE($V240:$Z240)</f>
        <v>2.7406113655968953</v>
      </c>
      <c r="W243" s="130">
        <f t="shared" ref="W243:Z243" si="45">AVERAGE($V240:$Z240)</f>
        <v>2.7406113655968953</v>
      </c>
      <c r="X243" s="130">
        <f t="shared" si="45"/>
        <v>2.7406113655968953</v>
      </c>
      <c r="Y243" s="130">
        <f t="shared" si="45"/>
        <v>2.7406113655968953</v>
      </c>
      <c r="Z243" s="130">
        <f t="shared" si="45"/>
        <v>2.7406113655968953</v>
      </c>
      <c r="AA243" s="130" t="e">
        <f>NA()</f>
        <v>#N/A</v>
      </c>
      <c r="AB243" s="130" t="e">
        <f>NA()</f>
        <v>#N/A</v>
      </c>
      <c r="AC243" s="130" t="e">
        <f>NA()</f>
        <v>#N/A</v>
      </c>
      <c r="AD243" s="130" t="e">
        <f>NA()</f>
        <v>#N/A</v>
      </c>
      <c r="AE243" s="130" t="e">
        <f>NA()</f>
        <v>#N/A</v>
      </c>
    </row>
    <row r="244" spans="3:31" ht="12.6" customHeight="1" x14ac:dyDescent="0.35">
      <c r="C244" s="125"/>
      <c r="D244" s="125"/>
      <c r="E244" s="125"/>
      <c r="F244" s="125"/>
      <c r="G244" s="125"/>
      <c r="H244" s="125"/>
      <c r="I244" s="125"/>
      <c r="J244" s="125"/>
      <c r="K244" s="125"/>
      <c r="L244" s="125"/>
      <c r="M244" s="125"/>
      <c r="O244" s="128" t="str">
        <f>$O$17</f>
        <v>Avg: 20-24</v>
      </c>
      <c r="P244" s="130" t="e">
        <f>NA()</f>
        <v>#N/A</v>
      </c>
      <c r="Q244" s="130" t="e">
        <f>NA()</f>
        <v>#N/A</v>
      </c>
      <c r="R244" s="130" t="e">
        <f>NA()</f>
        <v>#N/A</v>
      </c>
      <c r="S244" s="130" t="e">
        <f>NA()</f>
        <v>#N/A</v>
      </c>
      <c r="T244" s="130" t="e">
        <f>NA()</f>
        <v>#N/A</v>
      </c>
      <c r="U244" s="130" t="e">
        <f>NA()</f>
        <v>#N/A</v>
      </c>
      <c r="V244" s="130" t="e">
        <f>NA()</f>
        <v>#N/A</v>
      </c>
      <c r="W244" s="130" t="e">
        <f>NA()</f>
        <v>#N/A</v>
      </c>
      <c r="X244" s="130" t="e">
        <f>NA()</f>
        <v>#N/A</v>
      </c>
      <c r="Y244" s="130" t="e">
        <f>NA()</f>
        <v>#N/A</v>
      </c>
      <c r="Z244" s="130" t="e">
        <f>NA()</f>
        <v>#N/A</v>
      </c>
      <c r="AA244" s="130">
        <f>AVERAGE($AA241:$AE241)</f>
        <v>7.499033751692215</v>
      </c>
      <c r="AB244" s="130">
        <f t="shared" ref="AB244:AE244" si="46">AVERAGE($AA241:$AE241)</f>
        <v>7.499033751692215</v>
      </c>
      <c r="AC244" s="130">
        <f t="shared" si="46"/>
        <v>7.499033751692215</v>
      </c>
      <c r="AD244" s="130">
        <f t="shared" si="46"/>
        <v>7.499033751692215</v>
      </c>
      <c r="AE244" s="130">
        <f t="shared" si="46"/>
        <v>7.499033751692215</v>
      </c>
    </row>
    <row r="245" spans="3:31" ht="12.6" customHeight="1" x14ac:dyDescent="0.35">
      <c r="C245" s="125"/>
      <c r="D245" s="125"/>
      <c r="E245" s="125"/>
      <c r="F245" s="125"/>
      <c r="G245" s="125"/>
      <c r="H245" s="125"/>
      <c r="I245" s="125"/>
      <c r="J245" s="125"/>
      <c r="K245" s="125"/>
      <c r="L245" s="125"/>
      <c r="M245" s="125"/>
    </row>
    <row r="246" spans="3:31" ht="12.6" customHeight="1" x14ac:dyDescent="0.35">
      <c r="C246" s="125"/>
      <c r="D246" s="125"/>
      <c r="E246" s="125"/>
      <c r="F246" s="125"/>
      <c r="G246" s="125"/>
      <c r="H246" s="125"/>
      <c r="I246" s="125"/>
      <c r="J246" s="125"/>
      <c r="K246" s="125"/>
      <c r="L246" s="125"/>
      <c r="M246" s="125"/>
      <c r="O246" s="128" t="str">
        <f>$O$19</f>
        <v>Chart Name:</v>
      </c>
      <c r="P246" s="128" t="str">
        <f>B210</f>
        <v>Non Network IT Capex - Direct Escalated</v>
      </c>
    </row>
    <row r="247" spans="3:31" ht="12.6" customHeight="1" x14ac:dyDescent="0.35">
      <c r="C247" s="125"/>
      <c r="D247" s="125"/>
      <c r="E247" s="125"/>
      <c r="F247" s="125"/>
      <c r="G247" s="125"/>
      <c r="H247" s="125"/>
      <c r="I247" s="125"/>
      <c r="J247" s="125"/>
      <c r="K247" s="125"/>
      <c r="L247" s="125"/>
      <c r="M247" s="125"/>
      <c r="O247" s="128" t="str">
        <f>$O$20</f>
        <v>Dollar Basis:</v>
      </c>
      <c r="P247" s="128" t="str">
        <f>Real2019</f>
        <v>Real $2019</v>
      </c>
    </row>
    <row r="248" spans="3:31" ht="12.6" customHeight="1" x14ac:dyDescent="0.35">
      <c r="C248" s="125"/>
      <c r="D248" s="125"/>
      <c r="E248" s="125"/>
      <c r="F248" s="125"/>
      <c r="G248" s="125"/>
      <c r="H248" s="125"/>
      <c r="I248" s="125"/>
      <c r="J248" s="125"/>
      <c r="K248" s="125"/>
      <c r="L248" s="125"/>
      <c r="M248" s="125"/>
      <c r="O248" s="128" t="str">
        <f>$O$21</f>
        <v>Units:</v>
      </c>
      <c r="P248" s="128" t="str">
        <f>Millions</f>
        <v>$Millions</v>
      </c>
    </row>
    <row r="249" spans="3:31" ht="12.6" customHeight="1" x14ac:dyDescent="0.35">
      <c r="C249" s="125"/>
      <c r="D249" s="125"/>
      <c r="E249" s="125"/>
      <c r="F249" s="125"/>
      <c r="G249" s="125"/>
      <c r="H249" s="125"/>
      <c r="I249" s="125"/>
      <c r="J249" s="125"/>
      <c r="K249" s="125"/>
      <c r="L249" s="125"/>
      <c r="M249" s="125"/>
      <c r="O249" s="128" t="str">
        <f>$O$22</f>
        <v>Full Chart Title:</v>
      </c>
      <c r="P249" s="128" t="str">
        <f>P246&amp;" ("&amp;P247&amp;", "&amp;P248&amp;")"</f>
        <v>Non Network IT Capex - Direct Escalated (Real $2019, $Millions)</v>
      </c>
    </row>
    <row r="250" spans="3:31" ht="12.6" customHeight="1" x14ac:dyDescent="0.35">
      <c r="C250" s="125"/>
      <c r="D250" s="125"/>
      <c r="E250" s="125"/>
      <c r="F250" s="125"/>
      <c r="G250" s="125"/>
      <c r="H250" s="125"/>
      <c r="I250" s="125"/>
      <c r="J250" s="125"/>
      <c r="K250" s="125"/>
      <c r="L250" s="125"/>
      <c r="M250" s="125"/>
    </row>
    <row r="251" spans="3:31" ht="12.6" customHeight="1" x14ac:dyDescent="0.35">
      <c r="C251" s="125"/>
      <c r="D251" s="125"/>
      <c r="E251" s="125"/>
      <c r="F251" s="125"/>
      <c r="G251" s="125"/>
      <c r="H251" s="125"/>
      <c r="I251" s="125"/>
      <c r="J251" s="125"/>
      <c r="K251" s="125"/>
      <c r="L251" s="125"/>
      <c r="M251" s="125"/>
    </row>
    <row r="252" spans="3:31" ht="12.6" customHeight="1" x14ac:dyDescent="0.35">
      <c r="C252" s="125"/>
      <c r="D252" s="125"/>
      <c r="E252" s="125"/>
      <c r="F252" s="125"/>
      <c r="G252" s="125"/>
      <c r="H252" s="125"/>
      <c r="I252" s="125"/>
      <c r="J252" s="125"/>
      <c r="K252" s="125"/>
      <c r="L252" s="125"/>
      <c r="M252" s="125"/>
    </row>
    <row r="253" spans="3:31" ht="12.6" customHeight="1" x14ac:dyDescent="0.35">
      <c r="C253" s="125"/>
      <c r="D253" s="125"/>
      <c r="E253" s="125"/>
      <c r="F253" s="125"/>
      <c r="G253" s="125"/>
      <c r="H253" s="125"/>
      <c r="I253" s="125"/>
      <c r="J253" s="125"/>
      <c r="K253" s="125"/>
      <c r="L253" s="125"/>
      <c r="M253" s="125"/>
    </row>
    <row r="254" spans="3:31" ht="12.6" customHeight="1" x14ac:dyDescent="0.35">
      <c r="C254" s="125"/>
      <c r="D254" s="125"/>
      <c r="E254" s="125"/>
      <c r="F254" s="125"/>
      <c r="G254" s="125"/>
      <c r="H254" s="125"/>
      <c r="I254" s="125"/>
      <c r="J254" s="125"/>
      <c r="K254" s="125"/>
      <c r="L254" s="125"/>
      <c r="M254" s="125"/>
    </row>
    <row r="255" spans="3:31" ht="12.6" customHeight="1" x14ac:dyDescent="0.35">
      <c r="C255" s="125"/>
      <c r="D255" s="125"/>
      <c r="E255" s="125"/>
      <c r="F255" s="125"/>
      <c r="G255" s="125"/>
      <c r="H255" s="125"/>
      <c r="I255" s="125"/>
      <c r="J255" s="125"/>
      <c r="K255" s="125"/>
      <c r="L255" s="125"/>
      <c r="M255" s="125"/>
    </row>
    <row r="256" spans="3:31" ht="12.6" customHeight="1" x14ac:dyDescent="0.35">
      <c r="C256" s="125"/>
      <c r="D256" s="125"/>
      <c r="E256" s="125"/>
      <c r="F256" s="125"/>
      <c r="G256" s="125"/>
      <c r="H256" s="125"/>
      <c r="I256" s="125"/>
      <c r="J256" s="125"/>
      <c r="K256" s="125"/>
      <c r="L256" s="125"/>
      <c r="M256" s="125"/>
    </row>
    <row r="257" spans="2:32" ht="12.6" customHeight="1" x14ac:dyDescent="0.35">
      <c r="C257" s="125"/>
      <c r="D257" s="125"/>
      <c r="E257" s="125"/>
      <c r="F257" s="125"/>
      <c r="G257" s="125"/>
      <c r="H257" s="125"/>
      <c r="I257" s="125"/>
      <c r="J257" s="125"/>
      <c r="K257" s="125"/>
      <c r="L257" s="125"/>
      <c r="M257" s="125"/>
    </row>
    <row r="258" spans="2:32" ht="12.6" customHeight="1" x14ac:dyDescent="0.35">
      <c r="C258" s="125"/>
      <c r="D258" s="125"/>
      <c r="E258" s="125"/>
      <c r="F258" s="125"/>
      <c r="G258" s="125"/>
      <c r="H258" s="125"/>
      <c r="I258" s="125"/>
      <c r="J258" s="125"/>
      <c r="K258" s="125"/>
      <c r="L258" s="125"/>
      <c r="M258" s="125"/>
    </row>
    <row r="259" spans="2:32" ht="12.6" customHeight="1" x14ac:dyDescent="0.35">
      <c r="C259" s="125"/>
      <c r="D259" s="125"/>
      <c r="E259" s="125"/>
      <c r="F259" s="125"/>
      <c r="G259" s="125"/>
      <c r="H259" s="125"/>
      <c r="I259" s="125"/>
      <c r="J259" s="125"/>
      <c r="K259" s="125"/>
      <c r="L259" s="125"/>
      <c r="M259" s="125"/>
    </row>
    <row r="260" spans="2:32" x14ac:dyDescent="0.35">
      <c r="C260" s="125"/>
      <c r="D260" s="125"/>
      <c r="E260" s="125"/>
      <c r="F260" s="125"/>
      <c r="G260" s="125"/>
      <c r="H260" s="125"/>
      <c r="I260" s="125"/>
      <c r="J260" s="125"/>
      <c r="K260" s="125"/>
      <c r="L260" s="125"/>
      <c r="M260" s="125"/>
    </row>
    <row r="261" spans="2:32" s="139" customFormat="1" ht="12.9" x14ac:dyDescent="0.35">
      <c r="B261" s="139" t="s">
        <v>219</v>
      </c>
    </row>
    <row r="262" spans="2:32" s="125" customFormat="1" ht="4.5" customHeight="1" x14ac:dyDescent="0.35"/>
    <row r="263" spans="2:32" s="162" customFormat="1" ht="14.4" x14ac:dyDescent="0.35">
      <c r="C263" s="162" t="str">
        <f>B261&amp;" - "&amp;P273</f>
        <v>Non Network Other Capex - Direct Escalated - Nominal</v>
      </c>
    </row>
    <row r="264" spans="2:32" x14ac:dyDescent="0.35">
      <c r="C264" s="125"/>
      <c r="D264" s="125"/>
      <c r="E264" s="125"/>
      <c r="F264" s="125"/>
      <c r="G264" s="125"/>
      <c r="H264" s="125"/>
      <c r="I264" s="125"/>
      <c r="J264" s="125"/>
      <c r="K264" s="125"/>
      <c r="L264" s="125"/>
      <c r="M264" s="125"/>
    </row>
    <row r="265" spans="2:32" ht="12.6" customHeight="1" x14ac:dyDescent="0.35">
      <c r="C265" s="125"/>
      <c r="D265" s="125"/>
      <c r="E265" s="125"/>
      <c r="F265" s="125"/>
      <c r="G265" s="125"/>
      <c r="H265" s="125"/>
      <c r="I265" s="125"/>
      <c r="J265" s="125"/>
      <c r="K265" s="125"/>
      <c r="L265" s="125"/>
      <c r="M265" s="125"/>
      <c r="O265" s="126" t="str">
        <f>O$10</f>
        <v>Period</v>
      </c>
      <c r="P265" s="127" t="str">
        <f t="shared" ref="P265:AE265" si="47">P$10</f>
        <v>RY09</v>
      </c>
      <c r="Q265" s="127" t="str">
        <f t="shared" si="47"/>
        <v>RY10</v>
      </c>
      <c r="R265" s="127" t="str">
        <f t="shared" si="47"/>
        <v>RY11</v>
      </c>
      <c r="S265" s="127" t="str">
        <f t="shared" si="47"/>
        <v>RY12</v>
      </c>
      <c r="T265" s="127" t="str">
        <f t="shared" si="47"/>
        <v>RY13</v>
      </c>
      <c r="U265" s="127" t="str">
        <f t="shared" si="47"/>
        <v>RY14</v>
      </c>
      <c r="V265" s="127" t="str">
        <f t="shared" si="47"/>
        <v>RY15</v>
      </c>
      <c r="W265" s="127" t="str">
        <f t="shared" si="47"/>
        <v>RY16</v>
      </c>
      <c r="X265" s="127" t="str">
        <f t="shared" si="47"/>
        <v>RY17</v>
      </c>
      <c r="Y265" s="127" t="str">
        <f t="shared" si="47"/>
        <v>RY18</v>
      </c>
      <c r="Z265" s="127" t="str">
        <f t="shared" si="47"/>
        <v>RY19</v>
      </c>
      <c r="AA265" s="127" t="str">
        <f t="shared" si="47"/>
        <v>RY20</v>
      </c>
      <c r="AB265" s="127" t="str">
        <f t="shared" si="47"/>
        <v>RY21</v>
      </c>
      <c r="AC265" s="127" t="str">
        <f t="shared" si="47"/>
        <v>RY22</v>
      </c>
      <c r="AD265" s="127" t="str">
        <f t="shared" si="47"/>
        <v>RY23</v>
      </c>
      <c r="AE265" s="127" t="str">
        <f t="shared" si="47"/>
        <v>RY24</v>
      </c>
    </row>
    <row r="266" spans="2:32" ht="12.6" customHeight="1" x14ac:dyDescent="0.35">
      <c r="C266" s="125"/>
      <c r="D266" s="125"/>
      <c r="E266" s="125"/>
      <c r="F266" s="125"/>
      <c r="G266" s="125"/>
      <c r="H266" s="125"/>
      <c r="I266" s="125"/>
      <c r="J266" s="125"/>
      <c r="K266" s="125"/>
      <c r="L266" s="125"/>
      <c r="M266" s="125"/>
      <c r="O266" s="128" t="str">
        <f>$O$11</f>
        <v>Actuals/Estimate</v>
      </c>
      <c r="P266" s="134">
        <f t="shared" ref="P266:Z266" si="48">P286</f>
        <v>0</v>
      </c>
      <c r="Q266" s="134">
        <f t="shared" si="48"/>
        <v>0</v>
      </c>
      <c r="R266" s="134">
        <f t="shared" si="48"/>
        <v>0</v>
      </c>
      <c r="S266" s="134">
        <f t="shared" si="48"/>
        <v>0</v>
      </c>
      <c r="T266" s="134">
        <f t="shared" si="48"/>
        <v>0</v>
      </c>
      <c r="U266" s="134">
        <f t="shared" si="48"/>
        <v>0</v>
      </c>
      <c r="V266" s="134">
        <f t="shared" si="48"/>
        <v>0</v>
      </c>
      <c r="W266" s="134">
        <f t="shared" si="48"/>
        <v>0</v>
      </c>
      <c r="X266" s="134">
        <f t="shared" si="48"/>
        <v>0</v>
      </c>
      <c r="Y266" s="134">
        <f t="shared" si="48"/>
        <v>0</v>
      </c>
      <c r="Z266" s="134">
        <f t="shared" si="48"/>
        <v>0</v>
      </c>
      <c r="AA266" s="130" t="e">
        <f>NA()</f>
        <v>#N/A</v>
      </c>
      <c r="AB266" s="130" t="e">
        <f>NA()</f>
        <v>#N/A</v>
      </c>
      <c r="AC266" s="130" t="e">
        <f>NA()</f>
        <v>#N/A</v>
      </c>
      <c r="AD266" s="130" t="e">
        <f>NA()</f>
        <v>#N/A</v>
      </c>
      <c r="AE266" s="130" t="e">
        <f>NA()</f>
        <v>#N/A</v>
      </c>
    </row>
    <row r="267" spans="2:32" ht="12.6" customHeight="1" x14ac:dyDescent="0.35">
      <c r="C267" s="125"/>
      <c r="D267" s="125"/>
      <c r="E267" s="125"/>
      <c r="F267" s="125"/>
      <c r="G267" s="125"/>
      <c r="H267" s="125"/>
      <c r="I267" s="125"/>
      <c r="J267" s="125"/>
      <c r="K267" s="125"/>
      <c r="L267" s="125"/>
      <c r="M267" s="125"/>
      <c r="O267" s="128" t="str">
        <f>$O$14</f>
        <v>Forecast</v>
      </c>
      <c r="P267" s="130" t="e">
        <f>NA()</f>
        <v>#N/A</v>
      </c>
      <c r="Q267" s="130" t="e">
        <f>NA()</f>
        <v>#N/A</v>
      </c>
      <c r="R267" s="130" t="e">
        <f>NA()</f>
        <v>#N/A</v>
      </c>
      <c r="S267" s="130" t="e">
        <f>NA()</f>
        <v>#N/A</v>
      </c>
      <c r="T267" s="130" t="e">
        <f>NA()</f>
        <v>#N/A</v>
      </c>
      <c r="U267" s="130" t="e">
        <f>NA()</f>
        <v>#N/A</v>
      </c>
      <c r="V267" s="130" t="e">
        <f>NA()</f>
        <v>#N/A</v>
      </c>
      <c r="W267" s="130" t="e">
        <f>NA()</f>
        <v>#N/A</v>
      </c>
      <c r="X267" s="130" t="e">
        <f>NA()</f>
        <v>#N/A</v>
      </c>
      <c r="Y267" s="130" t="e">
        <f>NA()</f>
        <v>#N/A</v>
      </c>
      <c r="Z267" s="130" t="e">
        <f>NA()</f>
        <v>#N/A</v>
      </c>
      <c r="AA267" s="552">
        <f>AA304*Input_Inflation!U$39</f>
        <v>28.225351033897695</v>
      </c>
      <c r="AB267" s="552">
        <f>AB304*Input_Inflation!V$39</f>
        <v>5.770579626935727</v>
      </c>
      <c r="AC267" s="552">
        <f>AC304*Input_Inflation!W$39</f>
        <v>26.502637249763332</v>
      </c>
      <c r="AD267" s="552">
        <f>AD304*Input_Inflation!X$39</f>
        <v>6.1548308947395665</v>
      </c>
      <c r="AE267" s="552">
        <f>AE304*Input_Inflation!Y$39</f>
        <v>5.95805951713964</v>
      </c>
      <c r="AF267" s="553"/>
    </row>
    <row r="268" spans="2:32" ht="12.6" customHeight="1" x14ac:dyDescent="0.35">
      <c r="C268" s="125"/>
      <c r="D268" s="125"/>
      <c r="E268" s="125"/>
      <c r="F268" s="125"/>
      <c r="G268" s="125"/>
      <c r="H268" s="125"/>
      <c r="I268" s="125"/>
      <c r="J268" s="125"/>
      <c r="K268" s="125"/>
      <c r="L268" s="125"/>
      <c r="M268" s="125"/>
      <c r="O268" s="128" t="str">
        <f>$O$15</f>
        <v>Avg: 10-14</v>
      </c>
      <c r="P268" s="130" t="e">
        <f>NA()</f>
        <v>#N/A</v>
      </c>
      <c r="Q268" s="130">
        <f>AVERAGE($Q266:$U266)</f>
        <v>0</v>
      </c>
      <c r="R268" s="130">
        <f t="shared" ref="R268:U268" si="49">AVERAGE($Q266:$U266)</f>
        <v>0</v>
      </c>
      <c r="S268" s="130">
        <f t="shared" si="49"/>
        <v>0</v>
      </c>
      <c r="T268" s="130">
        <f t="shared" si="49"/>
        <v>0</v>
      </c>
      <c r="U268" s="130">
        <f t="shared" si="49"/>
        <v>0</v>
      </c>
      <c r="V268" s="130" t="e">
        <f>NA()</f>
        <v>#N/A</v>
      </c>
      <c r="W268" s="130" t="e">
        <f>NA()</f>
        <v>#N/A</v>
      </c>
      <c r="X268" s="130" t="e">
        <f>NA()</f>
        <v>#N/A</v>
      </c>
      <c r="Y268" s="130" t="e">
        <f>NA()</f>
        <v>#N/A</v>
      </c>
      <c r="Z268" s="130" t="e">
        <f>NA()</f>
        <v>#N/A</v>
      </c>
      <c r="AA268" s="552" t="e">
        <f>NA()</f>
        <v>#N/A</v>
      </c>
      <c r="AB268" s="552" t="e">
        <f>NA()</f>
        <v>#N/A</v>
      </c>
      <c r="AC268" s="552" t="e">
        <f>NA()</f>
        <v>#N/A</v>
      </c>
      <c r="AD268" s="552" t="e">
        <f>NA()</f>
        <v>#N/A</v>
      </c>
      <c r="AE268" s="552" t="e">
        <f>NA()</f>
        <v>#N/A</v>
      </c>
      <c r="AF268" s="553"/>
    </row>
    <row r="269" spans="2:32" ht="12.6" customHeight="1" x14ac:dyDescent="0.35">
      <c r="C269" s="125"/>
      <c r="D269" s="125"/>
      <c r="E269" s="125"/>
      <c r="F269" s="125"/>
      <c r="G269" s="125"/>
      <c r="H269" s="125"/>
      <c r="I269" s="125"/>
      <c r="J269" s="125"/>
      <c r="K269" s="125"/>
      <c r="L269" s="125"/>
      <c r="M269" s="125"/>
      <c r="O269" s="128" t="str">
        <f>$O$16</f>
        <v>Avg: 15-19</v>
      </c>
      <c r="P269" s="130" t="e">
        <f>NA()</f>
        <v>#N/A</v>
      </c>
      <c r="Q269" s="130" t="e">
        <f>NA()</f>
        <v>#N/A</v>
      </c>
      <c r="R269" s="130" t="e">
        <f>NA()</f>
        <v>#N/A</v>
      </c>
      <c r="S269" s="130" t="e">
        <f>NA()</f>
        <v>#N/A</v>
      </c>
      <c r="T269" s="130" t="e">
        <f>NA()</f>
        <v>#N/A</v>
      </c>
      <c r="U269" s="130" t="e">
        <f>NA()</f>
        <v>#N/A</v>
      </c>
      <c r="V269" s="130">
        <f>AVERAGE($V266:$Z266)</f>
        <v>0</v>
      </c>
      <c r="W269" s="130">
        <f t="shared" ref="W269:Z269" si="50">AVERAGE($V266:$Z266)</f>
        <v>0</v>
      </c>
      <c r="X269" s="130">
        <f t="shared" si="50"/>
        <v>0</v>
      </c>
      <c r="Y269" s="130">
        <f t="shared" si="50"/>
        <v>0</v>
      </c>
      <c r="Z269" s="130">
        <f t="shared" si="50"/>
        <v>0</v>
      </c>
      <c r="AA269" s="130" t="e">
        <f>NA()</f>
        <v>#N/A</v>
      </c>
      <c r="AB269" s="130" t="e">
        <f>NA()</f>
        <v>#N/A</v>
      </c>
      <c r="AC269" s="130" t="e">
        <f>NA()</f>
        <v>#N/A</v>
      </c>
      <c r="AD269" s="130" t="e">
        <f>NA()</f>
        <v>#N/A</v>
      </c>
      <c r="AE269" s="130" t="e">
        <f>NA()</f>
        <v>#N/A</v>
      </c>
    </row>
    <row r="270" spans="2:32" ht="12.6" customHeight="1" x14ac:dyDescent="0.35">
      <c r="C270" s="125"/>
      <c r="D270" s="125"/>
      <c r="E270" s="125"/>
      <c r="F270" s="125"/>
      <c r="G270" s="125"/>
      <c r="H270" s="125"/>
      <c r="I270" s="125"/>
      <c r="J270" s="125"/>
      <c r="K270" s="125"/>
      <c r="L270" s="125"/>
      <c r="M270" s="125"/>
      <c r="O270" s="128" t="str">
        <f>$O$17</f>
        <v>Avg: 20-24</v>
      </c>
      <c r="P270" s="130" t="e">
        <f>NA()</f>
        <v>#N/A</v>
      </c>
      <c r="Q270" s="130" t="e">
        <f>NA()</f>
        <v>#N/A</v>
      </c>
      <c r="R270" s="130" t="e">
        <f>NA()</f>
        <v>#N/A</v>
      </c>
      <c r="S270" s="130" t="e">
        <f>NA()</f>
        <v>#N/A</v>
      </c>
      <c r="T270" s="130" t="e">
        <f>NA()</f>
        <v>#N/A</v>
      </c>
      <c r="U270" s="130" t="e">
        <f>NA()</f>
        <v>#N/A</v>
      </c>
      <c r="V270" s="130" t="e">
        <f>NA()</f>
        <v>#N/A</v>
      </c>
      <c r="W270" s="130" t="e">
        <f>NA()</f>
        <v>#N/A</v>
      </c>
      <c r="X270" s="130" t="e">
        <f>NA()</f>
        <v>#N/A</v>
      </c>
      <c r="Y270" s="130" t="e">
        <f>NA()</f>
        <v>#N/A</v>
      </c>
      <c r="Z270" s="130" t="e">
        <f>NA()</f>
        <v>#N/A</v>
      </c>
      <c r="AA270" s="130">
        <f>AVERAGE($AA267:$AE267)</f>
        <v>14.522291664495194</v>
      </c>
      <c r="AB270" s="130">
        <f t="shared" ref="AB270:AE270" si="51">AVERAGE($AA267:$AE267)</f>
        <v>14.522291664495194</v>
      </c>
      <c r="AC270" s="130">
        <f t="shared" si="51"/>
        <v>14.522291664495194</v>
      </c>
      <c r="AD270" s="130">
        <f t="shared" si="51"/>
        <v>14.522291664495194</v>
      </c>
      <c r="AE270" s="130">
        <f t="shared" si="51"/>
        <v>14.522291664495194</v>
      </c>
    </row>
    <row r="271" spans="2:32" ht="12.6" customHeight="1" x14ac:dyDescent="0.35">
      <c r="C271" s="125"/>
      <c r="D271" s="125"/>
      <c r="E271" s="125"/>
      <c r="F271" s="125"/>
      <c r="G271" s="125"/>
      <c r="H271" s="125"/>
      <c r="I271" s="125"/>
      <c r="J271" s="125"/>
      <c r="K271" s="125"/>
      <c r="L271" s="125"/>
      <c r="M271" s="125"/>
    </row>
    <row r="272" spans="2:32" ht="12.6" customHeight="1" x14ac:dyDescent="0.35">
      <c r="C272" s="125"/>
      <c r="D272" s="125"/>
      <c r="E272" s="125"/>
      <c r="F272" s="125"/>
      <c r="G272" s="125"/>
      <c r="H272" s="125"/>
      <c r="I272" s="125"/>
      <c r="J272" s="125"/>
      <c r="K272" s="125"/>
      <c r="L272" s="125"/>
      <c r="M272" s="125"/>
      <c r="O272" s="128" t="str">
        <f>$O$19</f>
        <v>Chart Name:</v>
      </c>
      <c r="P272" s="128" t="str">
        <f>B261</f>
        <v>Non Network Other Capex - Direct Escalated</v>
      </c>
    </row>
    <row r="273" spans="3:31" ht="12.6" customHeight="1" x14ac:dyDescent="0.35">
      <c r="C273" s="125"/>
      <c r="D273" s="125"/>
      <c r="E273" s="125"/>
      <c r="F273" s="125"/>
      <c r="G273" s="125"/>
      <c r="H273" s="125"/>
      <c r="I273" s="125"/>
      <c r="J273" s="125"/>
      <c r="K273" s="125"/>
      <c r="L273" s="125"/>
      <c r="M273" s="125"/>
      <c r="O273" s="128" t="str">
        <f>$O$20</f>
        <v>Dollar Basis:</v>
      </c>
      <c r="P273" s="128" t="str">
        <f>Nominal</f>
        <v>Nominal</v>
      </c>
    </row>
    <row r="274" spans="3:31" ht="12.6" customHeight="1" x14ac:dyDescent="0.35">
      <c r="C274" s="125"/>
      <c r="D274" s="125"/>
      <c r="E274" s="125"/>
      <c r="F274" s="125"/>
      <c r="G274" s="125"/>
      <c r="H274" s="125"/>
      <c r="I274" s="125"/>
      <c r="J274" s="125"/>
      <c r="K274" s="125"/>
      <c r="L274" s="125"/>
      <c r="M274" s="125"/>
      <c r="O274" s="128" t="str">
        <f>$O$21</f>
        <v>Units:</v>
      </c>
      <c r="P274" s="128" t="str">
        <f>Millions</f>
        <v>$Millions</v>
      </c>
    </row>
    <row r="275" spans="3:31" ht="12.6" customHeight="1" x14ac:dyDescent="0.35">
      <c r="C275" s="125"/>
      <c r="D275" s="125"/>
      <c r="E275" s="125"/>
      <c r="F275" s="125"/>
      <c r="G275" s="125"/>
      <c r="H275" s="125"/>
      <c r="I275" s="125"/>
      <c r="J275" s="125"/>
      <c r="K275" s="125"/>
      <c r="L275" s="125"/>
      <c r="M275" s="125"/>
      <c r="O275" s="128" t="str">
        <f>$O$22</f>
        <v>Full Chart Title:</v>
      </c>
      <c r="P275" s="128" t="str">
        <f>P272&amp;" ("&amp;P273&amp;", "&amp;P274&amp;")"</f>
        <v>Non Network Other Capex - Direct Escalated (Nominal, $Millions)</v>
      </c>
    </row>
    <row r="276" spans="3:31" ht="12.6" customHeight="1" x14ac:dyDescent="0.35">
      <c r="C276" s="125"/>
      <c r="D276" s="125"/>
      <c r="E276" s="125"/>
      <c r="F276" s="125"/>
      <c r="G276" s="125"/>
      <c r="H276" s="125"/>
      <c r="I276" s="125"/>
      <c r="J276" s="125"/>
      <c r="K276" s="125"/>
      <c r="L276" s="125"/>
      <c r="M276" s="125"/>
    </row>
    <row r="277" spans="3:31" ht="12.6" customHeight="1" x14ac:dyDescent="0.35">
      <c r="C277" s="125"/>
      <c r="D277" s="125"/>
      <c r="E277" s="125"/>
      <c r="F277" s="125"/>
      <c r="G277" s="125"/>
      <c r="H277" s="125"/>
      <c r="I277" s="125"/>
      <c r="J277" s="125"/>
      <c r="K277" s="125"/>
      <c r="L277" s="125"/>
      <c r="M277" s="125"/>
      <c r="O277" s="126" t="str">
        <f>O$10</f>
        <v>Period</v>
      </c>
      <c r="P277" s="127" t="str">
        <f t="shared" ref="P277:AE277" si="52">P$10</f>
        <v>RY09</v>
      </c>
      <c r="Q277" s="127" t="str">
        <f t="shared" si="52"/>
        <v>RY10</v>
      </c>
      <c r="R277" s="127" t="str">
        <f t="shared" si="52"/>
        <v>RY11</v>
      </c>
      <c r="S277" s="127" t="str">
        <f t="shared" si="52"/>
        <v>RY12</v>
      </c>
      <c r="T277" s="127" t="str">
        <f t="shared" si="52"/>
        <v>RY13</v>
      </c>
      <c r="U277" s="127" t="str">
        <f t="shared" si="52"/>
        <v>RY14</v>
      </c>
      <c r="V277" s="127" t="str">
        <f t="shared" si="52"/>
        <v>RY15</v>
      </c>
      <c r="W277" s="127" t="str">
        <f t="shared" si="52"/>
        <v>RY16</v>
      </c>
      <c r="X277" s="127" t="str">
        <f t="shared" si="52"/>
        <v>RY17</v>
      </c>
      <c r="Y277" s="127" t="str">
        <f t="shared" si="52"/>
        <v>RY18</v>
      </c>
      <c r="Z277" s="127" t="str">
        <f t="shared" si="52"/>
        <v>RY19</v>
      </c>
      <c r="AA277" s="127" t="str">
        <f t="shared" si="52"/>
        <v>RY20</v>
      </c>
      <c r="AB277" s="127" t="str">
        <f t="shared" si="52"/>
        <v>RY21</v>
      </c>
      <c r="AC277" s="127" t="str">
        <f t="shared" si="52"/>
        <v>RY22</v>
      </c>
      <c r="AD277" s="127" t="str">
        <f t="shared" si="52"/>
        <v>RY23</v>
      </c>
      <c r="AE277" s="127" t="str">
        <f t="shared" si="52"/>
        <v>RY24</v>
      </c>
    </row>
    <row r="278" spans="3:31" ht="12.6" customHeight="1" x14ac:dyDescent="0.35">
      <c r="C278" s="125"/>
      <c r="D278" s="125"/>
      <c r="E278" s="125"/>
      <c r="F278" s="125"/>
      <c r="G278" s="125"/>
      <c r="H278" s="125"/>
      <c r="I278" s="125"/>
      <c r="J278" s="125"/>
      <c r="K278" s="125"/>
      <c r="L278" s="125"/>
      <c r="M278" s="125"/>
      <c r="O278" s="555" t="s">
        <v>1699</v>
      </c>
      <c r="P278" s="554">
        <v>0</v>
      </c>
      <c r="Q278" s="554">
        <v>0</v>
      </c>
      <c r="R278" s="554">
        <v>0</v>
      </c>
      <c r="S278" s="554">
        <v>0</v>
      </c>
      <c r="T278" s="554">
        <v>0</v>
      </c>
      <c r="U278" s="554">
        <v>0</v>
      </c>
      <c r="V278" s="554">
        <v>0</v>
      </c>
      <c r="W278" s="554">
        <v>0</v>
      </c>
      <c r="X278" s="131">
        <v>0</v>
      </c>
      <c r="Y278" s="131">
        <f>'[4]N-BNI 1'!H$32*[4]Escalation!H$52*Input_Inflation!S$38</f>
        <v>0</v>
      </c>
      <c r="Z278" s="554">
        <f>'[4]N-BNI 1'!I$32*[4]Escalation!I$52*Input_Inflation!T$38</f>
        <v>0</v>
      </c>
    </row>
    <row r="279" spans="3:31" ht="12.6" customHeight="1" x14ac:dyDescent="0.35">
      <c r="C279" s="125"/>
      <c r="D279" s="125"/>
      <c r="E279" s="125"/>
      <c r="F279" s="125"/>
      <c r="G279" s="125"/>
      <c r="H279" s="125"/>
      <c r="I279" s="125"/>
      <c r="J279" s="125"/>
      <c r="K279" s="125"/>
      <c r="L279" s="125"/>
      <c r="M279" s="125"/>
      <c r="O279" s="555" t="s">
        <v>231</v>
      </c>
      <c r="P279" s="554">
        <v>0</v>
      </c>
      <c r="Q279" s="554">
        <v>0</v>
      </c>
      <c r="R279" s="554">
        <v>0</v>
      </c>
      <c r="S279" s="554">
        <v>0</v>
      </c>
      <c r="T279" s="554">
        <v>0</v>
      </c>
      <c r="U279" s="130">
        <f>U290</f>
        <v>0</v>
      </c>
      <c r="V279" s="130">
        <f t="shared" ref="V279:X279" si="53">V290</f>
        <v>0</v>
      </c>
      <c r="W279" s="130">
        <f t="shared" si="53"/>
        <v>0</v>
      </c>
      <c r="X279" s="130">
        <f t="shared" si="53"/>
        <v>0</v>
      </c>
      <c r="Y279" s="130">
        <f>Y295</f>
        <v>0</v>
      </c>
      <c r="Z279" s="130">
        <f>Z295</f>
        <v>0</v>
      </c>
    </row>
    <row r="280" spans="3:31" ht="12.6" customHeight="1" x14ac:dyDescent="0.35">
      <c r="C280" s="125"/>
      <c r="D280" s="125"/>
      <c r="E280" s="125"/>
      <c r="F280" s="125"/>
      <c r="G280" s="125"/>
      <c r="H280" s="125"/>
      <c r="I280" s="125"/>
      <c r="J280" s="125"/>
      <c r="K280" s="125"/>
      <c r="L280" s="125"/>
      <c r="M280" s="125"/>
      <c r="O280" s="132" t="s">
        <v>1696</v>
      </c>
      <c r="P280" s="130">
        <f>SUM(P278:P279)</f>
        <v>0</v>
      </c>
      <c r="Q280" s="130">
        <f t="shared" ref="Q280:Z280" si="54">SUM(Q278:Q279)</f>
        <v>0</v>
      </c>
      <c r="R280" s="130">
        <f t="shared" si="54"/>
        <v>0</v>
      </c>
      <c r="S280" s="130">
        <f t="shared" si="54"/>
        <v>0</v>
      </c>
      <c r="T280" s="130">
        <f t="shared" si="54"/>
        <v>0</v>
      </c>
      <c r="U280" s="130">
        <f t="shared" si="54"/>
        <v>0</v>
      </c>
      <c r="V280" s="130">
        <f t="shared" si="54"/>
        <v>0</v>
      </c>
      <c r="W280" s="130">
        <f t="shared" si="54"/>
        <v>0</v>
      </c>
      <c r="X280" s="130">
        <f t="shared" si="54"/>
        <v>0</v>
      </c>
      <c r="Y280" s="130">
        <f t="shared" si="54"/>
        <v>0</v>
      </c>
      <c r="Z280" s="130">
        <f t="shared" si="54"/>
        <v>0</v>
      </c>
    </row>
    <row r="281" spans="3:31" ht="12.6" customHeight="1" x14ac:dyDescent="0.35">
      <c r="C281" s="125"/>
      <c r="D281" s="125"/>
      <c r="E281" s="125"/>
      <c r="F281" s="125"/>
      <c r="G281" s="125"/>
      <c r="H281" s="125"/>
      <c r="I281" s="125"/>
      <c r="J281" s="125"/>
      <c r="K281" s="125"/>
      <c r="L281" s="125"/>
      <c r="M281" s="125"/>
    </row>
    <row r="282" spans="3:31" ht="12.6" customHeight="1" x14ac:dyDescent="0.35">
      <c r="C282" s="125"/>
      <c r="D282" s="125"/>
      <c r="E282" s="125"/>
      <c r="F282" s="125"/>
      <c r="G282" s="125"/>
      <c r="H282" s="125"/>
      <c r="I282" s="125"/>
      <c r="J282" s="125"/>
      <c r="K282" s="125"/>
      <c r="L282" s="125"/>
      <c r="M282" s="125"/>
    </row>
    <row r="283" spans="3:31" ht="12.6" customHeight="1" x14ac:dyDescent="0.35">
      <c r="C283" s="125"/>
      <c r="D283" s="125"/>
      <c r="E283" s="125"/>
      <c r="F283" s="125"/>
      <c r="G283" s="125"/>
      <c r="H283" s="125"/>
      <c r="I283" s="125"/>
      <c r="J283" s="125"/>
      <c r="K283" s="125"/>
      <c r="L283" s="125"/>
      <c r="M283" s="125"/>
      <c r="O283" s="555" t="s">
        <v>1698</v>
      </c>
      <c r="P283" s="131">
        <v>0</v>
      </c>
      <c r="Q283" s="131">
        <v>0</v>
      </c>
      <c r="R283" s="131">
        <v>0</v>
      </c>
      <c r="S283" s="131">
        <v>0</v>
      </c>
      <c r="T283" s="131">
        <v>0</v>
      </c>
      <c r="U283" s="131">
        <v>0</v>
      </c>
      <c r="V283" s="131">
        <v>0</v>
      </c>
      <c r="W283" s="131">
        <v>0</v>
      </c>
      <c r="X283" s="131">
        <v>0</v>
      </c>
      <c r="Y283" s="131">
        <f>'[4]N-BNI 5'!H$32*[4]Escalation!H$52*Input_Inflation!S$38</f>
        <v>0</v>
      </c>
      <c r="Z283" s="131">
        <f>'[4]N-BNI 5'!I$32*[4]Escalation!I$52*Input_Inflation!T$38</f>
        <v>0</v>
      </c>
    </row>
    <row r="284" spans="3:31" ht="12.6" customHeight="1" x14ac:dyDescent="0.35">
      <c r="C284" s="125"/>
      <c r="D284" s="125"/>
      <c r="E284" s="125"/>
      <c r="F284" s="125"/>
      <c r="G284" s="125"/>
      <c r="H284" s="125"/>
      <c r="I284" s="125"/>
      <c r="J284" s="125"/>
      <c r="K284" s="125"/>
      <c r="L284" s="125"/>
      <c r="M284" s="125"/>
      <c r="O284" s="555" t="s">
        <v>230</v>
      </c>
      <c r="P284" s="131">
        <v>0</v>
      </c>
      <c r="Q284" s="131">
        <v>0</v>
      </c>
      <c r="R284" s="131">
        <v>0</v>
      </c>
      <c r="S284" s="131">
        <v>0</v>
      </c>
      <c r="T284" s="131">
        <v>0</v>
      </c>
      <c r="U284" s="130">
        <f>SUM(U291:U292)</f>
        <v>0</v>
      </c>
      <c r="V284" s="130">
        <f t="shared" ref="V284:X284" si="55">SUM(V291:V292)</f>
        <v>0</v>
      </c>
      <c r="W284" s="130">
        <f t="shared" si="55"/>
        <v>0</v>
      </c>
      <c r="X284" s="130">
        <f t="shared" si="55"/>
        <v>0</v>
      </c>
      <c r="Y284" s="130">
        <f>SUM(Y296:Y297)</f>
        <v>0</v>
      </c>
      <c r="Z284" s="130">
        <f>SUM(Z296:Z297)</f>
        <v>0</v>
      </c>
    </row>
    <row r="285" spans="3:31" ht="12.6" customHeight="1" x14ac:dyDescent="0.35">
      <c r="C285" s="125"/>
      <c r="D285" s="125"/>
      <c r="E285" s="125"/>
      <c r="F285" s="125"/>
      <c r="G285" s="125"/>
      <c r="H285" s="125"/>
      <c r="I285" s="125"/>
      <c r="J285" s="125"/>
      <c r="K285" s="125"/>
      <c r="L285" s="125"/>
      <c r="M285" s="125"/>
      <c r="O285" s="132" t="s">
        <v>1697</v>
      </c>
      <c r="P285" s="130">
        <f t="shared" ref="P285:Z285" si="56">SUM(P283:P284)</f>
        <v>0</v>
      </c>
      <c r="Q285" s="130">
        <f t="shared" si="56"/>
        <v>0</v>
      </c>
      <c r="R285" s="130">
        <f t="shared" si="56"/>
        <v>0</v>
      </c>
      <c r="S285" s="130">
        <f t="shared" si="56"/>
        <v>0</v>
      </c>
      <c r="T285" s="130">
        <f t="shared" si="56"/>
        <v>0</v>
      </c>
      <c r="U285" s="130">
        <f t="shared" si="56"/>
        <v>0</v>
      </c>
      <c r="V285" s="130">
        <f t="shared" si="56"/>
        <v>0</v>
      </c>
      <c r="W285" s="130">
        <f t="shared" si="56"/>
        <v>0</v>
      </c>
      <c r="X285" s="130">
        <f t="shared" si="56"/>
        <v>0</v>
      </c>
      <c r="Y285" s="130">
        <f t="shared" si="56"/>
        <v>0</v>
      </c>
      <c r="Z285" s="130">
        <f t="shared" si="56"/>
        <v>0</v>
      </c>
    </row>
    <row r="286" spans="3:31" ht="12.3" x14ac:dyDescent="0.35">
      <c r="C286" s="125"/>
      <c r="D286" s="125"/>
      <c r="E286" s="125"/>
      <c r="F286" s="125"/>
      <c r="G286" s="125"/>
      <c r="H286" s="125"/>
      <c r="I286" s="125"/>
      <c r="J286" s="125"/>
      <c r="K286" s="125"/>
      <c r="L286" s="125"/>
      <c r="M286" s="125"/>
      <c r="O286" s="128" t="s">
        <v>112</v>
      </c>
      <c r="P286" s="130">
        <f>P280+P285</f>
        <v>0</v>
      </c>
      <c r="Q286" s="130">
        <f t="shared" ref="Q286:Z286" si="57">Q280+Q285</f>
        <v>0</v>
      </c>
      <c r="R286" s="130">
        <f t="shared" si="57"/>
        <v>0</v>
      </c>
      <c r="S286" s="130">
        <f t="shared" si="57"/>
        <v>0</v>
      </c>
      <c r="T286" s="130">
        <f t="shared" si="57"/>
        <v>0</v>
      </c>
      <c r="U286" s="130">
        <f t="shared" si="57"/>
        <v>0</v>
      </c>
      <c r="V286" s="130">
        <f t="shared" si="57"/>
        <v>0</v>
      </c>
      <c r="W286" s="130">
        <f t="shared" si="57"/>
        <v>0</v>
      </c>
      <c r="X286" s="130">
        <f t="shared" si="57"/>
        <v>0</v>
      </c>
      <c r="Y286" s="130">
        <f t="shared" si="57"/>
        <v>0</v>
      </c>
      <c r="Z286" s="130">
        <f t="shared" si="57"/>
        <v>0</v>
      </c>
    </row>
    <row r="287" spans="3:31" x14ac:dyDescent="0.35">
      <c r="C287" s="125"/>
      <c r="D287" s="125"/>
      <c r="E287" s="125"/>
      <c r="F287" s="125"/>
      <c r="G287" s="125"/>
      <c r="H287" s="125"/>
      <c r="I287" s="125"/>
      <c r="J287" s="125"/>
      <c r="K287" s="125"/>
      <c r="L287" s="125"/>
      <c r="M287" s="125"/>
    </row>
    <row r="288" spans="3:31" ht="12.3" x14ac:dyDescent="0.35">
      <c r="C288" s="125"/>
      <c r="D288" s="125"/>
      <c r="E288" s="125"/>
      <c r="F288" s="125"/>
      <c r="G288" s="125"/>
      <c r="H288" s="125"/>
      <c r="I288" s="125"/>
      <c r="J288" s="125"/>
      <c r="K288" s="125"/>
      <c r="L288" s="125"/>
      <c r="M288" s="125"/>
      <c r="O288" s="126" t="str">
        <f>O$10</f>
        <v>Period</v>
      </c>
      <c r="P288" s="127" t="str">
        <f t="shared" ref="P288:AE288" si="58">P$10</f>
        <v>RY09</v>
      </c>
      <c r="Q288" s="127" t="str">
        <f t="shared" si="58"/>
        <v>RY10</v>
      </c>
      <c r="R288" s="127" t="str">
        <f t="shared" si="58"/>
        <v>RY11</v>
      </c>
      <c r="S288" s="127" t="str">
        <f t="shared" si="58"/>
        <v>RY12</v>
      </c>
      <c r="T288" s="127" t="str">
        <f t="shared" si="58"/>
        <v>RY13</v>
      </c>
      <c r="U288" s="127" t="str">
        <f t="shared" si="58"/>
        <v>RY14</v>
      </c>
      <c r="V288" s="127" t="str">
        <f t="shared" si="58"/>
        <v>RY15</v>
      </c>
      <c r="W288" s="127" t="str">
        <f t="shared" si="58"/>
        <v>RY16</v>
      </c>
      <c r="X288" s="127" t="str">
        <f t="shared" si="58"/>
        <v>RY17</v>
      </c>
      <c r="Y288" s="127" t="str">
        <f t="shared" si="58"/>
        <v>RY18</v>
      </c>
      <c r="Z288" s="127" t="str">
        <f t="shared" si="58"/>
        <v>RY19</v>
      </c>
      <c r="AA288" s="127" t="str">
        <f t="shared" si="58"/>
        <v>RY20</v>
      </c>
      <c r="AB288" s="127" t="str">
        <f t="shared" si="58"/>
        <v>RY21</v>
      </c>
      <c r="AC288" s="127" t="str">
        <f t="shared" si="58"/>
        <v>RY22</v>
      </c>
      <c r="AD288" s="127" t="str">
        <f t="shared" si="58"/>
        <v>RY23</v>
      </c>
      <c r="AE288" s="127" t="str">
        <f t="shared" si="58"/>
        <v>RY24</v>
      </c>
    </row>
    <row r="289" spans="3:31" ht="12.3" x14ac:dyDescent="0.35">
      <c r="C289" s="125"/>
      <c r="D289" s="125"/>
      <c r="E289" s="125"/>
      <c r="F289" s="125"/>
      <c r="G289" s="125"/>
      <c r="H289" s="125"/>
      <c r="I289" s="125"/>
      <c r="J289" s="125"/>
      <c r="K289" s="125"/>
      <c r="L289" s="125"/>
      <c r="M289" s="125"/>
      <c r="O289" s="627" t="s">
        <v>1651</v>
      </c>
    </row>
    <row r="290" spans="3:31" ht="12.3" x14ac:dyDescent="0.35">
      <c r="C290" s="125"/>
      <c r="D290" s="125"/>
      <c r="E290" s="125"/>
      <c r="F290" s="125"/>
      <c r="G290" s="125"/>
      <c r="H290" s="125"/>
      <c r="I290" s="125"/>
      <c r="J290" s="125"/>
      <c r="K290" s="125"/>
      <c r="L290" s="125"/>
      <c r="M290" s="125"/>
      <c r="O290" s="555" t="s">
        <v>508</v>
      </c>
      <c r="P290" s="135"/>
      <c r="Q290" s="135"/>
      <c r="R290" s="135"/>
      <c r="S290" s="135"/>
      <c r="T290" s="135"/>
      <c r="U290" s="554">
        <v>0</v>
      </c>
      <c r="V290" s="554">
        <v>0</v>
      </c>
      <c r="W290" s="554">
        <v>0</v>
      </c>
      <c r="X290" s="554">
        <v>0</v>
      </c>
      <c r="Y290" s="135"/>
      <c r="Z290" s="135"/>
      <c r="AA290" s="135"/>
      <c r="AB290" s="135"/>
      <c r="AC290" s="135"/>
      <c r="AD290" s="135"/>
      <c r="AE290" s="135"/>
    </row>
    <row r="291" spans="3:31" ht="12.3" x14ac:dyDescent="0.35">
      <c r="C291" s="125"/>
      <c r="D291" s="125"/>
      <c r="E291" s="125"/>
      <c r="F291" s="125"/>
      <c r="G291" s="125"/>
      <c r="H291" s="125"/>
      <c r="I291" s="125"/>
      <c r="J291" s="125"/>
      <c r="K291" s="125"/>
      <c r="L291" s="125"/>
      <c r="M291" s="125"/>
      <c r="O291" s="555" t="s">
        <v>657</v>
      </c>
      <c r="P291" s="135"/>
      <c r="Q291" s="135"/>
      <c r="R291" s="135"/>
      <c r="S291" s="135"/>
      <c r="T291" s="135"/>
      <c r="U291" s="554">
        <v>0</v>
      </c>
      <c r="V291" s="554">
        <v>0</v>
      </c>
      <c r="W291" s="554">
        <v>0</v>
      </c>
      <c r="X291" s="554">
        <v>0</v>
      </c>
      <c r="Y291" s="135"/>
      <c r="Z291" s="135"/>
      <c r="AA291" s="135"/>
      <c r="AB291" s="135"/>
      <c r="AC291" s="135"/>
      <c r="AD291" s="135"/>
      <c r="AE291" s="135"/>
    </row>
    <row r="292" spans="3:31" ht="12.3" x14ac:dyDescent="0.35">
      <c r="C292" s="125"/>
      <c r="D292" s="125"/>
      <c r="E292" s="125"/>
      <c r="F292" s="125"/>
      <c r="G292" s="125"/>
      <c r="H292" s="125"/>
      <c r="I292" s="125"/>
      <c r="J292" s="125"/>
      <c r="K292" s="125"/>
      <c r="L292" s="125"/>
      <c r="M292" s="125"/>
      <c r="O292" s="555" t="s">
        <v>660</v>
      </c>
      <c r="P292" s="135"/>
      <c r="Q292" s="135"/>
      <c r="R292" s="135"/>
      <c r="S292" s="135"/>
      <c r="T292" s="135"/>
      <c r="U292" s="554">
        <v>0</v>
      </c>
      <c r="V292" s="554">
        <v>0</v>
      </c>
      <c r="W292" s="554">
        <v>0</v>
      </c>
      <c r="X292" s="554">
        <v>0</v>
      </c>
      <c r="Y292" s="135"/>
      <c r="Z292" s="135"/>
      <c r="AA292" s="135"/>
      <c r="AB292" s="135"/>
      <c r="AC292" s="135"/>
      <c r="AD292" s="135"/>
      <c r="AE292" s="135"/>
    </row>
    <row r="293" spans="3:31" x14ac:dyDescent="0.35">
      <c r="C293" s="125"/>
      <c r="D293" s="125"/>
      <c r="E293" s="125"/>
      <c r="F293" s="125"/>
      <c r="G293" s="125"/>
      <c r="H293" s="125"/>
      <c r="I293" s="125"/>
      <c r="J293" s="125"/>
      <c r="K293" s="125"/>
      <c r="L293" s="125"/>
      <c r="M293" s="125"/>
    </row>
    <row r="294" spans="3:31" ht="12.3" x14ac:dyDescent="0.35">
      <c r="C294" s="125"/>
      <c r="D294" s="125"/>
      <c r="E294" s="125"/>
      <c r="F294" s="125"/>
      <c r="G294" s="125"/>
      <c r="H294" s="125"/>
      <c r="I294" s="125"/>
      <c r="J294" s="125"/>
      <c r="K294" s="125"/>
      <c r="L294" s="125"/>
      <c r="M294" s="125"/>
      <c r="O294" s="627" t="s">
        <v>1650</v>
      </c>
    </row>
    <row r="295" spans="3:31" ht="12.3" x14ac:dyDescent="0.35">
      <c r="C295" s="125"/>
      <c r="D295" s="125"/>
      <c r="E295" s="125"/>
      <c r="F295" s="125"/>
      <c r="G295" s="125"/>
      <c r="H295" s="125"/>
      <c r="I295" s="125"/>
      <c r="J295" s="125"/>
      <c r="K295" s="125"/>
      <c r="L295" s="125"/>
      <c r="M295" s="125"/>
      <c r="O295" s="555" t="s">
        <v>508</v>
      </c>
      <c r="P295" s="135"/>
      <c r="Q295" s="135"/>
      <c r="R295" s="135"/>
      <c r="S295" s="135"/>
      <c r="T295" s="135"/>
      <c r="U295" s="135"/>
      <c r="V295" s="135"/>
      <c r="W295" s="135"/>
      <c r="X295" s="135"/>
      <c r="Y295" s="554">
        <v>0</v>
      </c>
      <c r="Z295" s="554">
        <v>0</v>
      </c>
      <c r="AA295" s="135"/>
      <c r="AB295" s="135"/>
      <c r="AC295" s="135"/>
      <c r="AD295" s="135"/>
      <c r="AE295" s="135"/>
    </row>
    <row r="296" spans="3:31" ht="12.3" x14ac:dyDescent="0.35">
      <c r="C296" s="125"/>
      <c r="D296" s="125"/>
      <c r="E296" s="125"/>
      <c r="F296" s="125"/>
      <c r="G296" s="125"/>
      <c r="H296" s="125"/>
      <c r="I296" s="125"/>
      <c r="J296" s="125"/>
      <c r="K296" s="125"/>
      <c r="L296" s="125"/>
      <c r="M296" s="125"/>
      <c r="O296" s="555" t="s">
        <v>657</v>
      </c>
      <c r="P296" s="135"/>
      <c r="Q296" s="135"/>
      <c r="R296" s="135"/>
      <c r="S296" s="135"/>
      <c r="T296" s="135"/>
      <c r="U296" s="135"/>
      <c r="V296" s="135"/>
      <c r="W296" s="135"/>
      <c r="X296" s="135"/>
      <c r="Y296" s="554">
        <v>0</v>
      </c>
      <c r="Z296" s="554">
        <v>0</v>
      </c>
      <c r="AA296" s="135"/>
      <c r="AB296" s="135"/>
      <c r="AC296" s="135"/>
      <c r="AD296" s="135"/>
      <c r="AE296" s="135"/>
    </row>
    <row r="297" spans="3:31" ht="12.3" x14ac:dyDescent="0.35">
      <c r="C297" s="125"/>
      <c r="D297" s="125"/>
      <c r="E297" s="125"/>
      <c r="F297" s="125"/>
      <c r="G297" s="125"/>
      <c r="H297" s="125"/>
      <c r="I297" s="125"/>
      <c r="J297" s="125"/>
      <c r="K297" s="125"/>
      <c r="L297" s="125"/>
      <c r="M297" s="125"/>
      <c r="O297" s="555" t="s">
        <v>660</v>
      </c>
      <c r="P297" s="135"/>
      <c r="Q297" s="135"/>
      <c r="R297" s="135"/>
      <c r="S297" s="135"/>
      <c r="T297" s="135"/>
      <c r="U297" s="135"/>
      <c r="V297" s="135"/>
      <c r="W297" s="135"/>
      <c r="X297" s="135"/>
      <c r="Y297" s="554">
        <v>0</v>
      </c>
      <c r="Z297" s="554">
        <v>0</v>
      </c>
      <c r="AA297" s="135"/>
      <c r="AB297" s="135"/>
      <c r="AC297" s="135"/>
      <c r="AD297" s="135"/>
      <c r="AE297" s="135"/>
    </row>
    <row r="298" spans="3:31" x14ac:dyDescent="0.35">
      <c r="C298" s="125"/>
      <c r="D298" s="125"/>
      <c r="E298" s="125"/>
      <c r="F298" s="125"/>
      <c r="G298" s="125"/>
      <c r="H298" s="125"/>
      <c r="I298" s="125"/>
      <c r="J298" s="125"/>
      <c r="K298" s="125"/>
      <c r="L298" s="125"/>
      <c r="M298" s="125"/>
    </row>
    <row r="299" spans="3:31" x14ac:dyDescent="0.35">
      <c r="C299" s="125"/>
      <c r="D299" s="125"/>
      <c r="E299" s="125"/>
      <c r="F299" s="125"/>
      <c r="G299" s="125"/>
      <c r="H299" s="125"/>
      <c r="I299" s="125"/>
      <c r="J299" s="125"/>
      <c r="K299" s="125"/>
      <c r="L299" s="125"/>
      <c r="M299" s="125"/>
    </row>
    <row r="300" spans="3:31" s="162" customFormat="1" ht="14.4" x14ac:dyDescent="0.35">
      <c r="C300" s="162" t="str">
        <f>B261&amp;" - "&amp;P310</f>
        <v>Non Network Other Capex - Direct Escalated - Real $2019</v>
      </c>
    </row>
    <row r="301" spans="3:31" x14ac:dyDescent="0.35">
      <c r="C301" s="125"/>
      <c r="D301" s="125"/>
      <c r="E301" s="125"/>
      <c r="F301" s="125"/>
      <c r="G301" s="125"/>
      <c r="H301" s="125"/>
      <c r="I301" s="125"/>
      <c r="J301" s="125"/>
      <c r="K301" s="125"/>
      <c r="L301" s="125"/>
      <c r="M301" s="125"/>
    </row>
    <row r="302" spans="3:31" ht="12.6" customHeight="1" x14ac:dyDescent="0.35">
      <c r="C302" s="125"/>
      <c r="D302" s="125"/>
      <c r="E302" s="125"/>
      <c r="F302" s="125"/>
      <c r="G302" s="125"/>
      <c r="H302" s="125"/>
      <c r="I302" s="125"/>
      <c r="J302" s="125"/>
      <c r="K302" s="125"/>
      <c r="L302" s="125"/>
      <c r="M302" s="125"/>
      <c r="O302" s="126" t="str">
        <f>O$10</f>
        <v>Period</v>
      </c>
      <c r="P302" s="127" t="str">
        <f t="shared" ref="P302:AE302" si="59">P$10</f>
        <v>RY09</v>
      </c>
      <c r="Q302" s="127" t="str">
        <f t="shared" si="59"/>
        <v>RY10</v>
      </c>
      <c r="R302" s="127" t="str">
        <f t="shared" si="59"/>
        <v>RY11</v>
      </c>
      <c r="S302" s="127" t="str">
        <f t="shared" si="59"/>
        <v>RY12</v>
      </c>
      <c r="T302" s="127" t="str">
        <f t="shared" si="59"/>
        <v>RY13</v>
      </c>
      <c r="U302" s="127" t="str">
        <f t="shared" si="59"/>
        <v>RY14</v>
      </c>
      <c r="V302" s="127" t="str">
        <f t="shared" si="59"/>
        <v>RY15</v>
      </c>
      <c r="W302" s="127" t="str">
        <f t="shared" si="59"/>
        <v>RY16</v>
      </c>
      <c r="X302" s="127" t="str">
        <f t="shared" si="59"/>
        <v>RY17</v>
      </c>
      <c r="Y302" s="127" t="str">
        <f t="shared" si="59"/>
        <v>RY18</v>
      </c>
      <c r="Z302" s="127" t="str">
        <f t="shared" si="59"/>
        <v>RY19</v>
      </c>
      <c r="AA302" s="127" t="str">
        <f t="shared" si="59"/>
        <v>RY20</v>
      </c>
      <c r="AB302" s="127" t="str">
        <f t="shared" si="59"/>
        <v>RY21</v>
      </c>
      <c r="AC302" s="127" t="str">
        <f t="shared" si="59"/>
        <v>RY22</v>
      </c>
      <c r="AD302" s="127" t="str">
        <f t="shared" si="59"/>
        <v>RY23</v>
      </c>
      <c r="AE302" s="127" t="str">
        <f t="shared" si="59"/>
        <v>RY24</v>
      </c>
    </row>
    <row r="303" spans="3:31" ht="12.6" customHeight="1" x14ac:dyDescent="0.35">
      <c r="C303" s="125"/>
      <c r="D303" s="125"/>
      <c r="E303" s="125"/>
      <c r="F303" s="125"/>
      <c r="G303" s="125"/>
      <c r="H303" s="125"/>
      <c r="I303" s="125"/>
      <c r="J303" s="125"/>
      <c r="K303" s="125"/>
      <c r="L303" s="125"/>
      <c r="M303" s="125"/>
      <c r="O303" s="128" t="str">
        <f>$O$11</f>
        <v>Actuals/Estimate</v>
      </c>
      <c r="P303" s="130">
        <f>P266/Input_Inflation!J$39</f>
        <v>0</v>
      </c>
      <c r="Q303" s="130">
        <f>Q266/Input_Inflation!K$39</f>
        <v>0</v>
      </c>
      <c r="R303" s="130">
        <f>R266/Input_Inflation!L$39</f>
        <v>0</v>
      </c>
      <c r="S303" s="130">
        <f>S266/Input_Inflation!M$39</f>
        <v>0</v>
      </c>
      <c r="T303" s="130">
        <f>T266/Input_Inflation!N$39</f>
        <v>0</v>
      </c>
      <c r="U303" s="130">
        <f>U266/Input_Inflation!O$39</f>
        <v>0</v>
      </c>
      <c r="V303" s="130">
        <f>V266/Input_Inflation!P$39</f>
        <v>0</v>
      </c>
      <c r="W303" s="130">
        <f>W266/Input_Inflation!Q$39</f>
        <v>0</v>
      </c>
      <c r="X303" s="130">
        <f>X266/Input_Inflation!R$39</f>
        <v>0</v>
      </c>
      <c r="Y303" s="130">
        <f>Y266/Input_Inflation!S$39</f>
        <v>0</v>
      </c>
      <c r="Z303" s="130">
        <f>Z266/Input_Inflation!T$39</f>
        <v>0</v>
      </c>
      <c r="AA303" s="130" t="e">
        <f>NA()</f>
        <v>#N/A</v>
      </c>
      <c r="AB303" s="130" t="e">
        <f>NA()</f>
        <v>#N/A</v>
      </c>
      <c r="AC303" s="130" t="e">
        <f>NA()</f>
        <v>#N/A</v>
      </c>
      <c r="AD303" s="130" t="e">
        <f>NA()</f>
        <v>#N/A</v>
      </c>
      <c r="AE303" s="130" t="e">
        <f>NA()</f>
        <v>#N/A</v>
      </c>
    </row>
    <row r="304" spans="3:31" ht="12.6" customHeight="1" x14ac:dyDescent="0.35">
      <c r="C304" s="125"/>
      <c r="D304" s="125"/>
      <c r="E304" s="125"/>
      <c r="F304" s="125"/>
      <c r="G304" s="125"/>
      <c r="H304" s="125"/>
      <c r="I304" s="125"/>
      <c r="J304" s="125"/>
      <c r="K304" s="125"/>
      <c r="L304" s="125"/>
      <c r="M304" s="125"/>
      <c r="O304" s="128" t="str">
        <f>$O$14</f>
        <v>Forecast</v>
      </c>
      <c r="P304" s="130" t="e">
        <f>NA()</f>
        <v>#N/A</v>
      </c>
      <c r="Q304" s="130" t="e">
        <f>NA()</f>
        <v>#N/A</v>
      </c>
      <c r="R304" s="130" t="e">
        <f>NA()</f>
        <v>#N/A</v>
      </c>
      <c r="S304" s="130" t="e">
        <f>NA()</f>
        <v>#N/A</v>
      </c>
      <c r="T304" s="130" t="e">
        <f>NA()</f>
        <v>#N/A</v>
      </c>
      <c r="U304" s="130" t="e">
        <f>NA()</f>
        <v>#N/A</v>
      </c>
      <c r="V304" s="130" t="e">
        <f>NA()</f>
        <v>#N/A</v>
      </c>
      <c r="W304" s="130" t="e">
        <f>NA()</f>
        <v>#N/A</v>
      </c>
      <c r="X304" s="130" t="e">
        <f>NA()</f>
        <v>#N/A</v>
      </c>
      <c r="Y304" s="130" t="e">
        <f>NA()</f>
        <v>#N/A</v>
      </c>
      <c r="Z304" s="130" t="e">
        <f>NA()</f>
        <v>#N/A</v>
      </c>
      <c r="AA304" s="547">
        <f>'10'!E60</f>
        <v>27.889236896981956</v>
      </c>
      <c r="AB304" s="548">
        <f>'10'!F60</f>
        <v>5.5668725227547871</v>
      </c>
      <c r="AC304" s="548">
        <f>'10'!G60</f>
        <v>24.961776445441352</v>
      </c>
      <c r="AD304" s="548">
        <f>'10'!H60</f>
        <v>5.6597478223745821</v>
      </c>
      <c r="AE304" s="549">
        <f>'10'!I60</f>
        <v>5.3490955046384308</v>
      </c>
    </row>
    <row r="305" spans="3:31" ht="12.6" customHeight="1" x14ac:dyDescent="0.35">
      <c r="C305" s="125"/>
      <c r="D305" s="125"/>
      <c r="E305" s="125"/>
      <c r="F305" s="125"/>
      <c r="G305" s="125"/>
      <c r="H305" s="125"/>
      <c r="I305" s="125"/>
      <c r="J305" s="125"/>
      <c r="K305" s="125"/>
      <c r="L305" s="125"/>
      <c r="M305" s="125"/>
      <c r="O305" s="128" t="str">
        <f>$O$15</f>
        <v>Avg: 10-14</v>
      </c>
      <c r="P305" s="130" t="e">
        <f>NA()</f>
        <v>#N/A</v>
      </c>
      <c r="Q305" s="130">
        <f>AVERAGE($Q303:$U303)</f>
        <v>0</v>
      </c>
      <c r="R305" s="130">
        <f t="shared" ref="R305:U305" si="60">AVERAGE($Q303:$U303)</f>
        <v>0</v>
      </c>
      <c r="S305" s="130">
        <f t="shared" si="60"/>
        <v>0</v>
      </c>
      <c r="T305" s="130">
        <f t="shared" si="60"/>
        <v>0</v>
      </c>
      <c r="U305" s="130">
        <f t="shared" si="60"/>
        <v>0</v>
      </c>
      <c r="V305" s="130" t="e">
        <f>NA()</f>
        <v>#N/A</v>
      </c>
      <c r="W305" s="130" t="e">
        <f>NA()</f>
        <v>#N/A</v>
      </c>
      <c r="X305" s="130" t="e">
        <f>NA()</f>
        <v>#N/A</v>
      </c>
      <c r="Y305" s="130" t="e">
        <f>NA()</f>
        <v>#N/A</v>
      </c>
      <c r="Z305" s="130" t="e">
        <f>NA()</f>
        <v>#N/A</v>
      </c>
      <c r="AA305" s="130" t="e">
        <f>NA()</f>
        <v>#N/A</v>
      </c>
      <c r="AB305" s="130" t="e">
        <f>NA()</f>
        <v>#N/A</v>
      </c>
      <c r="AC305" s="130" t="e">
        <f>NA()</f>
        <v>#N/A</v>
      </c>
      <c r="AD305" s="130" t="e">
        <f>NA()</f>
        <v>#N/A</v>
      </c>
      <c r="AE305" s="130" t="e">
        <f>NA()</f>
        <v>#N/A</v>
      </c>
    </row>
    <row r="306" spans="3:31" ht="12.6" customHeight="1" x14ac:dyDescent="0.35">
      <c r="C306" s="125"/>
      <c r="D306" s="125"/>
      <c r="E306" s="125"/>
      <c r="F306" s="125"/>
      <c r="G306" s="125"/>
      <c r="H306" s="125"/>
      <c r="I306" s="125"/>
      <c r="J306" s="125"/>
      <c r="K306" s="125"/>
      <c r="L306" s="125"/>
      <c r="M306" s="125"/>
      <c r="O306" s="128" t="str">
        <f>$O$16</f>
        <v>Avg: 15-19</v>
      </c>
      <c r="P306" s="130" t="e">
        <f>NA()</f>
        <v>#N/A</v>
      </c>
      <c r="Q306" s="130" t="e">
        <f>NA()</f>
        <v>#N/A</v>
      </c>
      <c r="R306" s="130" t="e">
        <f>NA()</f>
        <v>#N/A</v>
      </c>
      <c r="S306" s="130" t="e">
        <f>NA()</f>
        <v>#N/A</v>
      </c>
      <c r="T306" s="130" t="e">
        <f>NA()</f>
        <v>#N/A</v>
      </c>
      <c r="U306" s="130" t="e">
        <f>NA()</f>
        <v>#N/A</v>
      </c>
      <c r="V306" s="130">
        <f>AVERAGE($V303:$Z303)</f>
        <v>0</v>
      </c>
      <c r="W306" s="130">
        <f t="shared" ref="W306:Z306" si="61">AVERAGE($V303:$Z303)</f>
        <v>0</v>
      </c>
      <c r="X306" s="130">
        <f t="shared" si="61"/>
        <v>0</v>
      </c>
      <c r="Y306" s="130">
        <f t="shared" si="61"/>
        <v>0</v>
      </c>
      <c r="Z306" s="130">
        <f t="shared" si="61"/>
        <v>0</v>
      </c>
      <c r="AA306" s="130" t="e">
        <f>NA()</f>
        <v>#N/A</v>
      </c>
      <c r="AB306" s="130" t="e">
        <f>NA()</f>
        <v>#N/A</v>
      </c>
      <c r="AC306" s="130" t="e">
        <f>NA()</f>
        <v>#N/A</v>
      </c>
      <c r="AD306" s="130" t="e">
        <f>NA()</f>
        <v>#N/A</v>
      </c>
      <c r="AE306" s="130" t="e">
        <f>NA()</f>
        <v>#N/A</v>
      </c>
    </row>
    <row r="307" spans="3:31" ht="12.6" customHeight="1" x14ac:dyDescent="0.35">
      <c r="C307" s="125"/>
      <c r="D307" s="125"/>
      <c r="E307" s="125"/>
      <c r="F307" s="125"/>
      <c r="G307" s="125"/>
      <c r="H307" s="125"/>
      <c r="I307" s="125"/>
      <c r="J307" s="125"/>
      <c r="K307" s="125"/>
      <c r="L307" s="125"/>
      <c r="M307" s="125"/>
      <c r="O307" s="128" t="str">
        <f>$O$17</f>
        <v>Avg: 20-24</v>
      </c>
      <c r="P307" s="130" t="e">
        <f>NA()</f>
        <v>#N/A</v>
      </c>
      <c r="Q307" s="130" t="e">
        <f>NA()</f>
        <v>#N/A</v>
      </c>
      <c r="R307" s="130" t="e">
        <f>NA()</f>
        <v>#N/A</v>
      </c>
      <c r="S307" s="130" t="e">
        <f>NA()</f>
        <v>#N/A</v>
      </c>
      <c r="T307" s="130" t="e">
        <f>NA()</f>
        <v>#N/A</v>
      </c>
      <c r="U307" s="130" t="e">
        <f>NA()</f>
        <v>#N/A</v>
      </c>
      <c r="V307" s="130" t="e">
        <f>NA()</f>
        <v>#N/A</v>
      </c>
      <c r="W307" s="130" t="e">
        <f>NA()</f>
        <v>#N/A</v>
      </c>
      <c r="X307" s="130" t="e">
        <f>NA()</f>
        <v>#N/A</v>
      </c>
      <c r="Y307" s="130" t="e">
        <f>NA()</f>
        <v>#N/A</v>
      </c>
      <c r="Z307" s="130" t="e">
        <f>NA()</f>
        <v>#N/A</v>
      </c>
      <c r="AA307" s="130">
        <f>AVERAGE($AA304:$AE304)</f>
        <v>13.885345838438221</v>
      </c>
      <c r="AB307" s="130">
        <f t="shared" ref="AB307:AE307" si="62">AVERAGE($AA304:$AE304)</f>
        <v>13.885345838438221</v>
      </c>
      <c r="AC307" s="130">
        <f t="shared" si="62"/>
        <v>13.885345838438221</v>
      </c>
      <c r="AD307" s="130">
        <f t="shared" si="62"/>
        <v>13.885345838438221</v>
      </c>
      <c r="AE307" s="130">
        <f t="shared" si="62"/>
        <v>13.885345838438221</v>
      </c>
    </row>
    <row r="308" spans="3:31" ht="12.6" customHeight="1" x14ac:dyDescent="0.35">
      <c r="C308" s="125"/>
      <c r="D308" s="125"/>
      <c r="E308" s="125"/>
      <c r="F308" s="125"/>
      <c r="G308" s="125"/>
      <c r="H308" s="125"/>
      <c r="I308" s="125"/>
      <c r="J308" s="125"/>
      <c r="K308" s="125"/>
      <c r="L308" s="125"/>
      <c r="M308" s="125"/>
    </row>
    <row r="309" spans="3:31" ht="12.6" customHeight="1" x14ac:dyDescent="0.35">
      <c r="C309" s="125"/>
      <c r="D309" s="125"/>
      <c r="E309" s="125"/>
      <c r="F309" s="125"/>
      <c r="G309" s="125"/>
      <c r="H309" s="125"/>
      <c r="I309" s="125"/>
      <c r="J309" s="125"/>
      <c r="K309" s="125"/>
      <c r="L309" s="125"/>
      <c r="M309" s="125"/>
      <c r="O309" s="128" t="str">
        <f>$O$19</f>
        <v>Chart Name:</v>
      </c>
      <c r="P309" s="128" t="str">
        <f>B261</f>
        <v>Non Network Other Capex - Direct Escalated</v>
      </c>
    </row>
    <row r="310" spans="3:31" ht="12.6" customHeight="1" x14ac:dyDescent="0.35">
      <c r="C310" s="125"/>
      <c r="D310" s="125"/>
      <c r="E310" s="125"/>
      <c r="F310" s="125"/>
      <c r="G310" s="125"/>
      <c r="H310" s="125"/>
      <c r="I310" s="125"/>
      <c r="J310" s="125"/>
      <c r="K310" s="125"/>
      <c r="L310" s="125"/>
      <c r="M310" s="125"/>
      <c r="O310" s="128" t="str">
        <f>$O$20</f>
        <v>Dollar Basis:</v>
      </c>
      <c r="P310" s="128" t="str">
        <f>Real2019</f>
        <v>Real $2019</v>
      </c>
    </row>
    <row r="311" spans="3:31" ht="12.6" customHeight="1" x14ac:dyDescent="0.35">
      <c r="C311" s="125"/>
      <c r="D311" s="125"/>
      <c r="E311" s="125"/>
      <c r="F311" s="125"/>
      <c r="G311" s="125"/>
      <c r="H311" s="125"/>
      <c r="I311" s="125"/>
      <c r="J311" s="125"/>
      <c r="K311" s="125"/>
      <c r="L311" s="125"/>
      <c r="M311" s="125"/>
      <c r="O311" s="128" t="str">
        <f>$O$21</f>
        <v>Units:</v>
      </c>
      <c r="P311" s="128" t="str">
        <f>Millions</f>
        <v>$Millions</v>
      </c>
    </row>
    <row r="312" spans="3:31" ht="12.6" customHeight="1" x14ac:dyDescent="0.35">
      <c r="C312" s="125"/>
      <c r="D312" s="125"/>
      <c r="E312" s="125"/>
      <c r="F312" s="125"/>
      <c r="G312" s="125"/>
      <c r="H312" s="125"/>
      <c r="I312" s="125"/>
      <c r="J312" s="125"/>
      <c r="K312" s="125"/>
      <c r="L312" s="125"/>
      <c r="M312" s="125"/>
      <c r="O312" s="128" t="str">
        <f>$O$22</f>
        <v>Full Chart Title:</v>
      </c>
      <c r="P312" s="128" t="str">
        <f>P309&amp;" ("&amp;P310&amp;", "&amp;P311&amp;")"</f>
        <v>Non Network Other Capex - Direct Escalated (Real $2019, $Millions)</v>
      </c>
    </row>
    <row r="313" spans="3:31" ht="12.6" customHeight="1" x14ac:dyDescent="0.35">
      <c r="C313" s="125"/>
      <c r="D313" s="125"/>
      <c r="E313" s="125"/>
      <c r="F313" s="125"/>
      <c r="G313" s="125"/>
      <c r="H313" s="125"/>
      <c r="I313" s="125"/>
      <c r="J313" s="125"/>
      <c r="K313" s="125"/>
      <c r="L313" s="125"/>
      <c r="M313" s="125"/>
    </row>
    <row r="314" spans="3:31" ht="12.6" customHeight="1" x14ac:dyDescent="0.35">
      <c r="C314" s="125"/>
      <c r="D314" s="125"/>
      <c r="E314" s="125"/>
      <c r="F314" s="125"/>
      <c r="G314" s="125"/>
      <c r="H314" s="125"/>
      <c r="I314" s="125"/>
      <c r="J314" s="125"/>
      <c r="K314" s="125"/>
      <c r="L314" s="125"/>
      <c r="M314" s="125"/>
      <c r="O314" s="126" t="str">
        <f>O$10</f>
        <v>Period</v>
      </c>
      <c r="P314" s="127" t="str">
        <f t="shared" ref="P314:AE314" si="63">P$10</f>
        <v>RY09</v>
      </c>
      <c r="Q314" s="127" t="str">
        <f t="shared" si="63"/>
        <v>RY10</v>
      </c>
      <c r="R314" s="127" t="str">
        <f t="shared" si="63"/>
        <v>RY11</v>
      </c>
      <c r="S314" s="127" t="str">
        <f t="shared" si="63"/>
        <v>RY12</v>
      </c>
      <c r="T314" s="127" t="str">
        <f t="shared" si="63"/>
        <v>RY13</v>
      </c>
      <c r="U314" s="127" t="str">
        <f t="shared" si="63"/>
        <v>RY14</v>
      </c>
      <c r="V314" s="127" t="str">
        <f t="shared" si="63"/>
        <v>RY15</v>
      </c>
      <c r="W314" s="127" t="str">
        <f t="shared" si="63"/>
        <v>RY16</v>
      </c>
      <c r="X314" s="127" t="str">
        <f t="shared" si="63"/>
        <v>RY17</v>
      </c>
      <c r="Y314" s="127" t="str">
        <f t="shared" si="63"/>
        <v>RY18</v>
      </c>
      <c r="Z314" s="127" t="str">
        <f t="shared" si="63"/>
        <v>RY19</v>
      </c>
      <c r="AA314" s="127" t="str">
        <f t="shared" si="63"/>
        <v>RY20</v>
      </c>
      <c r="AB314" s="127" t="str">
        <f t="shared" si="63"/>
        <v>RY21</v>
      </c>
      <c r="AC314" s="127" t="str">
        <f t="shared" si="63"/>
        <v>RY22</v>
      </c>
      <c r="AD314" s="127" t="str">
        <f t="shared" si="63"/>
        <v>RY23</v>
      </c>
      <c r="AE314" s="127" t="str">
        <f t="shared" si="63"/>
        <v>RY24</v>
      </c>
    </row>
    <row r="315" spans="3:31" ht="12.6" customHeight="1" x14ac:dyDescent="0.35">
      <c r="C315" s="125"/>
      <c r="D315" s="125"/>
      <c r="E315" s="125"/>
      <c r="F315" s="125"/>
      <c r="G315" s="125"/>
      <c r="H315" s="125"/>
      <c r="I315" s="125"/>
      <c r="J315" s="125"/>
      <c r="K315" s="125"/>
      <c r="L315" s="125"/>
      <c r="M315" s="125"/>
      <c r="O315" s="132" t="str">
        <f>O278</f>
        <v>Fleet- Lease Capitalised &gt; RY19</v>
      </c>
      <c r="P315" s="662"/>
      <c r="Q315" s="662"/>
      <c r="R315" s="662"/>
      <c r="S315" s="662"/>
      <c r="T315" s="662"/>
      <c r="U315" s="662"/>
      <c r="V315" s="662"/>
      <c r="W315" s="662"/>
      <c r="X315" s="662"/>
      <c r="Y315" s="662"/>
      <c r="Z315" s="662"/>
    </row>
    <row r="316" spans="3:31" ht="12.6" customHeight="1" x14ac:dyDescent="0.35">
      <c r="C316" s="125"/>
      <c r="D316" s="125"/>
      <c r="E316" s="125"/>
      <c r="F316" s="125"/>
      <c r="G316" s="125"/>
      <c r="H316" s="125"/>
      <c r="I316" s="125"/>
      <c r="J316" s="125"/>
      <c r="K316" s="125"/>
      <c r="L316" s="125"/>
      <c r="M316" s="125"/>
      <c r="O316" s="132" t="str">
        <f>O279</f>
        <v>Other Fleet</v>
      </c>
      <c r="P316" s="662"/>
      <c r="Q316" s="662"/>
      <c r="R316" s="662"/>
      <c r="S316" s="662"/>
      <c r="T316" s="662"/>
      <c r="U316" s="662"/>
      <c r="V316" s="662"/>
      <c r="W316" s="662"/>
      <c r="X316" s="662"/>
      <c r="Y316" s="662"/>
      <c r="Z316" s="662"/>
    </row>
    <row r="317" spans="3:31" ht="12.6" customHeight="1" x14ac:dyDescent="0.35">
      <c r="C317" s="125"/>
      <c r="D317" s="125"/>
      <c r="E317" s="125"/>
      <c r="F317" s="125"/>
      <c r="G317" s="125"/>
      <c r="H317" s="125"/>
      <c r="I317" s="125"/>
      <c r="J317" s="125"/>
      <c r="K317" s="125"/>
      <c r="L317" s="125"/>
      <c r="M317" s="125"/>
      <c r="O317" s="132" t="str">
        <f>O280</f>
        <v>Total Fleet</v>
      </c>
      <c r="P317" s="662"/>
      <c r="Q317" s="662"/>
      <c r="R317" s="662"/>
      <c r="S317" s="662"/>
      <c r="T317" s="662"/>
      <c r="U317" s="662"/>
      <c r="V317" s="662"/>
      <c r="W317" s="662"/>
      <c r="X317" s="662"/>
      <c r="Y317" s="662"/>
      <c r="Z317" s="662"/>
    </row>
    <row r="318" spans="3:31" ht="12.6" customHeight="1" x14ac:dyDescent="0.35">
      <c r="C318" s="125"/>
      <c r="D318" s="125"/>
      <c r="E318" s="125"/>
      <c r="F318" s="125"/>
      <c r="G318" s="125"/>
      <c r="H318" s="125"/>
      <c r="I318" s="125"/>
      <c r="J318" s="125"/>
      <c r="K318" s="125"/>
      <c r="L318" s="125"/>
      <c r="M318" s="125"/>
      <c r="P318" s="663"/>
      <c r="Q318" s="663"/>
      <c r="R318" s="663"/>
      <c r="S318" s="663"/>
      <c r="T318" s="663"/>
      <c r="U318" s="663"/>
      <c r="V318" s="663"/>
      <c r="W318" s="663"/>
      <c r="X318" s="663"/>
      <c r="Y318" s="663"/>
      <c r="Z318" s="663"/>
    </row>
    <row r="319" spans="3:31" ht="12.6" customHeight="1" x14ac:dyDescent="0.35">
      <c r="C319" s="125"/>
      <c r="D319" s="125"/>
      <c r="E319" s="125"/>
      <c r="F319" s="125"/>
      <c r="G319" s="125"/>
      <c r="H319" s="125"/>
      <c r="I319" s="125"/>
      <c r="J319" s="125"/>
      <c r="K319" s="125"/>
      <c r="L319" s="125"/>
      <c r="M319" s="125"/>
      <c r="O319" s="132" t="str">
        <f>O283</f>
        <v>Property - Lease Capitalised &gt; RY19</v>
      </c>
      <c r="P319" s="662"/>
      <c r="Q319" s="662"/>
      <c r="R319" s="662"/>
      <c r="S319" s="662"/>
      <c r="T319" s="662"/>
      <c r="U319" s="662"/>
      <c r="V319" s="662"/>
      <c r="W319" s="662"/>
      <c r="X319" s="662"/>
      <c r="Y319" s="662"/>
      <c r="Z319" s="662"/>
    </row>
    <row r="320" spans="3:31" ht="12.6" customHeight="1" x14ac:dyDescent="0.35">
      <c r="C320" s="125"/>
      <c r="D320" s="125"/>
      <c r="E320" s="125"/>
      <c r="F320" s="125"/>
      <c r="G320" s="125"/>
      <c r="H320" s="125"/>
      <c r="I320" s="125"/>
      <c r="J320" s="125"/>
      <c r="K320" s="125"/>
      <c r="L320" s="125"/>
      <c r="M320" s="125"/>
      <c r="O320" s="132" t="str">
        <f>O284</f>
        <v>Other Property</v>
      </c>
      <c r="P320" s="662"/>
      <c r="Q320" s="662"/>
      <c r="R320" s="662"/>
      <c r="S320" s="662"/>
      <c r="T320" s="662"/>
      <c r="U320" s="662"/>
      <c r="V320" s="662"/>
      <c r="W320" s="662"/>
      <c r="X320" s="662"/>
      <c r="Y320" s="662"/>
      <c r="Z320" s="662"/>
    </row>
    <row r="321" spans="2:31" ht="12.6" customHeight="1" x14ac:dyDescent="0.35">
      <c r="C321" s="125"/>
      <c r="D321" s="125"/>
      <c r="E321" s="125"/>
      <c r="F321" s="125"/>
      <c r="G321" s="125"/>
      <c r="H321" s="125"/>
      <c r="I321" s="125"/>
      <c r="J321" s="125"/>
      <c r="K321" s="125"/>
      <c r="L321" s="125"/>
      <c r="M321" s="125"/>
      <c r="O321" s="132" t="str">
        <f>O285</f>
        <v>Total Property</v>
      </c>
      <c r="P321" s="662"/>
      <c r="Q321" s="662"/>
      <c r="R321" s="662"/>
      <c r="S321" s="662"/>
      <c r="T321" s="662"/>
      <c r="U321" s="662"/>
      <c r="V321" s="662"/>
      <c r="W321" s="662"/>
      <c r="X321" s="662"/>
      <c r="Y321" s="662"/>
      <c r="Z321" s="662"/>
    </row>
    <row r="322" spans="2:31" ht="12.6" customHeight="1" x14ac:dyDescent="0.35">
      <c r="C322" s="125"/>
      <c r="D322" s="125"/>
      <c r="E322" s="125"/>
      <c r="F322" s="125"/>
      <c r="G322" s="125"/>
      <c r="H322" s="125"/>
      <c r="I322" s="125"/>
      <c r="J322" s="125"/>
      <c r="K322" s="125"/>
      <c r="L322" s="125"/>
      <c r="M322" s="125"/>
      <c r="O322" s="128" t="str">
        <f>O286</f>
        <v>Total</v>
      </c>
      <c r="P322" s="662"/>
      <c r="Q322" s="662"/>
      <c r="R322" s="662"/>
      <c r="S322" s="662"/>
      <c r="T322" s="662"/>
      <c r="U322" s="662"/>
      <c r="V322" s="662"/>
      <c r="W322" s="662"/>
      <c r="X322" s="662"/>
      <c r="Y322" s="662"/>
      <c r="Z322" s="662"/>
    </row>
    <row r="323" spans="2:31" x14ac:dyDescent="0.35">
      <c r="C323" s="125"/>
      <c r="D323" s="125"/>
      <c r="E323" s="125"/>
      <c r="F323" s="125"/>
      <c r="G323" s="125"/>
      <c r="H323" s="125"/>
      <c r="I323" s="125"/>
      <c r="J323" s="125"/>
      <c r="K323" s="125"/>
      <c r="L323" s="125"/>
      <c r="M323" s="125"/>
    </row>
    <row r="324" spans="2:31" s="139" customFormat="1" ht="12.9" x14ac:dyDescent="0.35">
      <c r="B324" s="139" t="s">
        <v>220</v>
      </c>
    </row>
    <row r="325" spans="2:31" s="125" customFormat="1" ht="4.5" customHeight="1" x14ac:dyDescent="0.35"/>
    <row r="326" spans="2:31" s="162" customFormat="1" ht="14.4" x14ac:dyDescent="0.35">
      <c r="C326" s="162" t="str">
        <f>B324&amp;" - "&amp;P336</f>
        <v>Capitalised Overheads - Escalated - Nominal</v>
      </c>
    </row>
    <row r="327" spans="2:31" x14ac:dyDescent="0.35">
      <c r="B327" s="125"/>
      <c r="C327" s="125"/>
      <c r="D327" s="125"/>
      <c r="E327" s="125"/>
      <c r="F327" s="125"/>
      <c r="G327" s="125"/>
      <c r="H327" s="125"/>
      <c r="I327" s="125"/>
      <c r="J327" s="125"/>
      <c r="K327" s="125"/>
      <c r="L327" s="125"/>
      <c r="M327" s="125"/>
    </row>
    <row r="328" spans="2:31" ht="12.6" customHeight="1" x14ac:dyDescent="0.35">
      <c r="B328" s="125"/>
      <c r="C328" s="125"/>
      <c r="D328" s="125"/>
      <c r="E328" s="125"/>
      <c r="F328" s="125"/>
      <c r="G328" s="125"/>
      <c r="H328" s="125"/>
      <c r="I328" s="125"/>
      <c r="J328" s="125"/>
      <c r="K328" s="125"/>
      <c r="L328" s="125"/>
      <c r="M328" s="125"/>
      <c r="O328" s="126" t="str">
        <f>O$10</f>
        <v>Period</v>
      </c>
      <c r="P328" s="127" t="str">
        <f t="shared" ref="P328:AE328" si="64">P$10</f>
        <v>RY09</v>
      </c>
      <c r="Q328" s="127" t="str">
        <f t="shared" si="64"/>
        <v>RY10</v>
      </c>
      <c r="R328" s="127" t="str">
        <f t="shared" si="64"/>
        <v>RY11</v>
      </c>
      <c r="S328" s="127" t="str">
        <f t="shared" si="64"/>
        <v>RY12</v>
      </c>
      <c r="T328" s="127" t="str">
        <f t="shared" si="64"/>
        <v>RY13</v>
      </c>
      <c r="U328" s="127" t="str">
        <f t="shared" si="64"/>
        <v>RY14</v>
      </c>
      <c r="V328" s="127" t="str">
        <f t="shared" si="64"/>
        <v>RY15</v>
      </c>
      <c r="W328" s="127" t="str">
        <f t="shared" si="64"/>
        <v>RY16</v>
      </c>
      <c r="X328" s="127" t="str">
        <f t="shared" si="64"/>
        <v>RY17</v>
      </c>
      <c r="Y328" s="127" t="str">
        <f t="shared" si="64"/>
        <v>RY18</v>
      </c>
      <c r="Z328" s="127" t="str">
        <f t="shared" si="64"/>
        <v>RY19</v>
      </c>
      <c r="AA328" s="127" t="str">
        <f t="shared" si="64"/>
        <v>RY20</v>
      </c>
      <c r="AB328" s="127" t="str">
        <f t="shared" si="64"/>
        <v>RY21</v>
      </c>
      <c r="AC328" s="127" t="str">
        <f t="shared" si="64"/>
        <v>RY22</v>
      </c>
      <c r="AD328" s="127" t="str">
        <f t="shared" si="64"/>
        <v>RY23</v>
      </c>
      <c r="AE328" s="127" t="str">
        <f t="shared" si="64"/>
        <v>RY24</v>
      </c>
    </row>
    <row r="329" spans="2:31" ht="12.6" customHeight="1" x14ac:dyDescent="0.35">
      <c r="B329" s="125"/>
      <c r="C329" s="125"/>
      <c r="D329" s="125"/>
      <c r="E329" s="125"/>
      <c r="F329" s="125"/>
      <c r="G329" s="125"/>
      <c r="H329" s="125"/>
      <c r="I329" s="125"/>
      <c r="J329" s="125"/>
      <c r="K329" s="125"/>
      <c r="L329" s="125"/>
      <c r="M329" s="125"/>
      <c r="O329" s="128" t="str">
        <f>$O$11</f>
        <v>Actuals/Estimate</v>
      </c>
      <c r="P329" s="131">
        <v>0</v>
      </c>
      <c r="Q329" s="131">
        <v>0.35644491071040008</v>
      </c>
      <c r="R329" s="131">
        <v>0.37876936756800023</v>
      </c>
      <c r="S329" s="131">
        <v>0.29191327760640012</v>
      </c>
      <c r="T329" s="131">
        <v>1.6523304964848007</v>
      </c>
      <c r="U329" s="131">
        <v>1.1748074668472881</v>
      </c>
      <c r="V329" s="552">
        <f>V354*Input_Inflation!P$39</f>
        <v>0.19186936732656007</v>
      </c>
      <c r="W329" s="552">
        <f>W354*Input_Inflation!Q$39</f>
        <v>0.13483004248800004</v>
      </c>
      <c r="X329" s="552">
        <f>X354*Input_Inflation!R$39</f>
        <v>10.82311014446767</v>
      </c>
      <c r="Y329" s="552">
        <f>Y354*Input_Inflation!S$39</f>
        <v>12.292894171000462</v>
      </c>
      <c r="Z329" s="552">
        <f>Z354*Input_Inflation!T$39</f>
        <v>12.715542691049562</v>
      </c>
      <c r="AA329" s="552" t="e">
        <f>NA()</f>
        <v>#N/A</v>
      </c>
      <c r="AB329" s="552" t="e">
        <f>NA()</f>
        <v>#N/A</v>
      </c>
      <c r="AC329" s="552" t="e">
        <f>NA()</f>
        <v>#N/A</v>
      </c>
      <c r="AD329" s="552" t="e">
        <f>NA()</f>
        <v>#N/A</v>
      </c>
      <c r="AE329" s="552" t="e">
        <f>NA()</f>
        <v>#N/A</v>
      </c>
    </row>
    <row r="330" spans="2:31" ht="12.6" customHeight="1" x14ac:dyDescent="0.35">
      <c r="B330" s="125"/>
      <c r="C330" s="125"/>
      <c r="D330" s="125"/>
      <c r="E330" s="125"/>
      <c r="F330" s="125"/>
      <c r="G330" s="125"/>
      <c r="H330" s="125"/>
      <c r="I330" s="125"/>
      <c r="J330" s="125"/>
      <c r="K330" s="125"/>
      <c r="L330" s="125"/>
      <c r="M330" s="125"/>
      <c r="O330" s="128" t="str">
        <f>$O$14</f>
        <v>Forecast</v>
      </c>
      <c r="P330" s="130" t="e">
        <f>NA()</f>
        <v>#N/A</v>
      </c>
      <c r="Q330" s="130" t="e">
        <f>NA()</f>
        <v>#N/A</v>
      </c>
      <c r="R330" s="130" t="e">
        <f>NA()</f>
        <v>#N/A</v>
      </c>
      <c r="S330" s="130" t="e">
        <f>NA()</f>
        <v>#N/A</v>
      </c>
      <c r="T330" s="130" t="e">
        <f>NA()</f>
        <v>#N/A</v>
      </c>
      <c r="U330" s="130" t="e">
        <f>NA()</f>
        <v>#N/A</v>
      </c>
      <c r="V330" s="130" t="e">
        <f>NA()</f>
        <v>#N/A</v>
      </c>
      <c r="W330" s="130" t="e">
        <f>NA()</f>
        <v>#N/A</v>
      </c>
      <c r="X330" s="130" t="e">
        <f>NA()</f>
        <v>#N/A</v>
      </c>
      <c r="Y330" s="552" t="e">
        <f>NA()</f>
        <v>#N/A</v>
      </c>
      <c r="Z330" s="552" t="e">
        <f>NA()</f>
        <v>#N/A</v>
      </c>
      <c r="AA330" s="552">
        <f>AA355*Input_Inflation!U$39</f>
        <v>13.169697382615979</v>
      </c>
      <c r="AB330" s="552">
        <f>AB355*Input_Inflation!V$39</f>
        <v>13.673844647107252</v>
      </c>
      <c r="AC330" s="552">
        <f>AC355*Input_Inflation!W$39</f>
        <v>14.220219017088651</v>
      </c>
      <c r="AD330" s="552">
        <f>AD355*Input_Inflation!X$39</f>
        <v>14.743421805776268</v>
      </c>
      <c r="AE330" s="552">
        <f>AE355*Input_Inflation!Y$39</f>
        <v>15.266295937240194</v>
      </c>
    </row>
    <row r="331" spans="2:31" ht="12.6" customHeight="1" x14ac:dyDescent="0.35">
      <c r="B331" s="125"/>
      <c r="C331" s="125"/>
      <c r="D331" s="125"/>
      <c r="E331" s="125"/>
      <c r="F331" s="125"/>
      <c r="G331" s="125"/>
      <c r="H331" s="125"/>
      <c r="I331" s="125"/>
      <c r="J331" s="125"/>
      <c r="K331" s="125"/>
      <c r="L331" s="125"/>
      <c r="M331" s="125"/>
      <c r="O331" s="128" t="str">
        <f>$O$15</f>
        <v>Avg: 10-14</v>
      </c>
      <c r="P331" s="130" t="e">
        <f>NA()</f>
        <v>#N/A</v>
      </c>
      <c r="Q331" s="130">
        <f>AVERAGE($Q329:$U329)</f>
        <v>0.77085310384337791</v>
      </c>
      <c r="R331" s="130">
        <f t="shared" ref="R331:U331" si="65">AVERAGE($Q329:$U329)</f>
        <v>0.77085310384337791</v>
      </c>
      <c r="S331" s="130">
        <f t="shared" si="65"/>
        <v>0.77085310384337791</v>
      </c>
      <c r="T331" s="130">
        <f t="shared" si="65"/>
        <v>0.77085310384337791</v>
      </c>
      <c r="U331" s="130">
        <f t="shared" si="65"/>
        <v>0.77085310384337791</v>
      </c>
      <c r="V331" s="130" t="e">
        <f>NA()</f>
        <v>#N/A</v>
      </c>
      <c r="W331" s="130" t="e">
        <f>NA()</f>
        <v>#N/A</v>
      </c>
      <c r="X331" s="130" t="e">
        <f>NA()</f>
        <v>#N/A</v>
      </c>
      <c r="Y331" s="130" t="e">
        <f>NA()</f>
        <v>#N/A</v>
      </c>
      <c r="Z331" s="130" t="e">
        <f>NA()</f>
        <v>#N/A</v>
      </c>
      <c r="AA331" s="130" t="e">
        <f>NA()</f>
        <v>#N/A</v>
      </c>
      <c r="AB331" s="130" t="e">
        <f>NA()</f>
        <v>#N/A</v>
      </c>
      <c r="AC331" s="130" t="e">
        <f>NA()</f>
        <v>#N/A</v>
      </c>
      <c r="AD331" s="130" t="e">
        <f>NA()</f>
        <v>#N/A</v>
      </c>
      <c r="AE331" s="130" t="e">
        <f>NA()</f>
        <v>#N/A</v>
      </c>
    </row>
    <row r="332" spans="2:31" ht="12.6" customHeight="1" x14ac:dyDescent="0.35">
      <c r="B332" s="125"/>
      <c r="C332" s="125"/>
      <c r="D332" s="125"/>
      <c r="E332" s="125"/>
      <c r="F332" s="125"/>
      <c r="G332" s="125"/>
      <c r="H332" s="125"/>
      <c r="I332" s="125"/>
      <c r="J332" s="125"/>
      <c r="K332" s="125"/>
      <c r="L332" s="125"/>
      <c r="M332" s="125"/>
      <c r="O332" s="128" t="str">
        <f>$O$16</f>
        <v>Avg: 15-19</v>
      </c>
      <c r="P332" s="130" t="e">
        <f>NA()</f>
        <v>#N/A</v>
      </c>
      <c r="Q332" s="130" t="e">
        <f>NA()</f>
        <v>#N/A</v>
      </c>
      <c r="R332" s="130" t="e">
        <f>NA()</f>
        <v>#N/A</v>
      </c>
      <c r="S332" s="130" t="e">
        <f>NA()</f>
        <v>#N/A</v>
      </c>
      <c r="T332" s="130" t="e">
        <f>NA()</f>
        <v>#N/A</v>
      </c>
      <c r="U332" s="130" t="e">
        <f>NA()</f>
        <v>#N/A</v>
      </c>
      <c r="V332" s="130">
        <f>AVERAGE($V329:$Z329)</f>
        <v>7.2316492832664512</v>
      </c>
      <c r="W332" s="130">
        <f t="shared" ref="W332:Z332" si="66">AVERAGE($V329:$Z329)</f>
        <v>7.2316492832664512</v>
      </c>
      <c r="X332" s="130">
        <f t="shared" si="66"/>
        <v>7.2316492832664512</v>
      </c>
      <c r="Y332" s="130">
        <f t="shared" si="66"/>
        <v>7.2316492832664512</v>
      </c>
      <c r="Z332" s="130">
        <f t="shared" si="66"/>
        <v>7.2316492832664512</v>
      </c>
      <c r="AA332" s="130" t="e">
        <f>NA()</f>
        <v>#N/A</v>
      </c>
      <c r="AB332" s="130" t="e">
        <f>NA()</f>
        <v>#N/A</v>
      </c>
      <c r="AC332" s="130" t="e">
        <f>NA()</f>
        <v>#N/A</v>
      </c>
      <c r="AD332" s="130" t="e">
        <f>NA()</f>
        <v>#N/A</v>
      </c>
      <c r="AE332" s="130" t="e">
        <f>NA()</f>
        <v>#N/A</v>
      </c>
    </row>
    <row r="333" spans="2:31" ht="12.6" customHeight="1" x14ac:dyDescent="0.35">
      <c r="B333" s="125"/>
      <c r="C333" s="125"/>
      <c r="D333" s="125"/>
      <c r="E333" s="125"/>
      <c r="F333" s="125"/>
      <c r="G333" s="125"/>
      <c r="H333" s="125"/>
      <c r="I333" s="125"/>
      <c r="J333" s="125"/>
      <c r="K333" s="125"/>
      <c r="L333" s="125"/>
      <c r="M333" s="125"/>
      <c r="O333" s="128" t="str">
        <f>$O$17</f>
        <v>Avg: 20-24</v>
      </c>
      <c r="P333" s="130" t="e">
        <f>NA()</f>
        <v>#N/A</v>
      </c>
      <c r="Q333" s="130" t="e">
        <f>NA()</f>
        <v>#N/A</v>
      </c>
      <c r="R333" s="130" t="e">
        <f>NA()</f>
        <v>#N/A</v>
      </c>
      <c r="S333" s="130" t="e">
        <f>NA()</f>
        <v>#N/A</v>
      </c>
      <c r="T333" s="130" t="e">
        <f>NA()</f>
        <v>#N/A</v>
      </c>
      <c r="U333" s="130" t="e">
        <f>NA()</f>
        <v>#N/A</v>
      </c>
      <c r="V333" s="130" t="e">
        <f>NA()</f>
        <v>#N/A</v>
      </c>
      <c r="W333" s="130" t="e">
        <f>NA()</f>
        <v>#N/A</v>
      </c>
      <c r="X333" s="130" t="e">
        <f>NA()</f>
        <v>#N/A</v>
      </c>
      <c r="Y333" s="130" t="e">
        <f>NA()</f>
        <v>#N/A</v>
      </c>
      <c r="Z333" s="130" t="e">
        <f>NA()</f>
        <v>#N/A</v>
      </c>
      <c r="AA333" s="130">
        <f>AVERAGE($AA330:$AE330)</f>
        <v>14.214695757965671</v>
      </c>
      <c r="AB333" s="130">
        <f t="shared" ref="AB333:AE333" si="67">AVERAGE($AA330:$AE330)</f>
        <v>14.214695757965671</v>
      </c>
      <c r="AC333" s="130">
        <f t="shared" si="67"/>
        <v>14.214695757965671</v>
      </c>
      <c r="AD333" s="130">
        <f t="shared" si="67"/>
        <v>14.214695757965671</v>
      </c>
      <c r="AE333" s="130">
        <f t="shared" si="67"/>
        <v>14.214695757965671</v>
      </c>
    </row>
    <row r="334" spans="2:31" ht="12.6" customHeight="1" x14ac:dyDescent="0.35">
      <c r="B334" s="125"/>
      <c r="C334" s="125"/>
      <c r="D334" s="125"/>
      <c r="E334" s="125"/>
      <c r="F334" s="125"/>
      <c r="G334" s="125"/>
      <c r="H334" s="125"/>
      <c r="I334" s="125"/>
      <c r="J334" s="125"/>
      <c r="K334" s="125"/>
      <c r="L334" s="125"/>
      <c r="M334" s="125"/>
    </row>
    <row r="335" spans="2:31" ht="12.6" customHeight="1" x14ac:dyDescent="0.35">
      <c r="B335" s="125"/>
      <c r="C335" s="125"/>
      <c r="D335" s="125"/>
      <c r="E335" s="125"/>
      <c r="F335" s="125"/>
      <c r="G335" s="125"/>
      <c r="H335" s="125"/>
      <c r="I335" s="125"/>
      <c r="J335" s="125"/>
      <c r="K335" s="125"/>
      <c r="L335" s="125"/>
      <c r="M335" s="125"/>
      <c r="O335" s="128" t="str">
        <f>$O$19</f>
        <v>Chart Name:</v>
      </c>
      <c r="P335" s="128" t="str">
        <f>B324</f>
        <v>Capitalised Overheads - Escalated</v>
      </c>
    </row>
    <row r="336" spans="2:31" ht="12.6" customHeight="1" x14ac:dyDescent="0.35">
      <c r="B336" s="125"/>
      <c r="C336" s="125"/>
      <c r="D336" s="125"/>
      <c r="E336" s="125"/>
      <c r="F336" s="125"/>
      <c r="G336" s="125"/>
      <c r="H336" s="125"/>
      <c r="I336" s="125"/>
      <c r="J336" s="125"/>
      <c r="K336" s="125"/>
      <c r="L336" s="125"/>
      <c r="M336" s="125"/>
      <c r="O336" s="128" t="str">
        <f>$O$20</f>
        <v>Dollar Basis:</v>
      </c>
      <c r="P336" s="128" t="str">
        <f>Nominal</f>
        <v>Nominal</v>
      </c>
    </row>
    <row r="337" spans="2:16" ht="12.6" customHeight="1" x14ac:dyDescent="0.35">
      <c r="B337" s="125"/>
      <c r="C337" s="125"/>
      <c r="D337" s="125"/>
      <c r="E337" s="125"/>
      <c r="F337" s="125"/>
      <c r="G337" s="125"/>
      <c r="H337" s="125"/>
      <c r="I337" s="125"/>
      <c r="J337" s="125"/>
      <c r="K337" s="125"/>
      <c r="L337" s="125"/>
      <c r="M337" s="125"/>
      <c r="O337" s="128" t="str">
        <f>$O$21</f>
        <v>Units:</v>
      </c>
      <c r="P337" s="128" t="str">
        <f>Millions</f>
        <v>$Millions</v>
      </c>
    </row>
    <row r="338" spans="2:16" ht="12.6" customHeight="1" x14ac:dyDescent="0.35">
      <c r="B338" s="125"/>
      <c r="C338" s="125"/>
      <c r="D338" s="125"/>
      <c r="E338" s="125"/>
      <c r="F338" s="125"/>
      <c r="G338" s="125"/>
      <c r="H338" s="125"/>
      <c r="I338" s="125"/>
      <c r="J338" s="125"/>
      <c r="K338" s="125"/>
      <c r="L338" s="125"/>
      <c r="M338" s="125"/>
      <c r="O338" s="128" t="str">
        <f>$O$22</f>
        <v>Full Chart Title:</v>
      </c>
      <c r="P338" s="128" t="str">
        <f>P335&amp;" ("&amp;P336&amp;", "&amp;P337&amp;")"</f>
        <v>Capitalised Overheads - Escalated (Nominal, $Millions)</v>
      </c>
    </row>
    <row r="339" spans="2:16" ht="12.6" customHeight="1" x14ac:dyDescent="0.35">
      <c r="B339" s="125"/>
      <c r="C339" s="125"/>
      <c r="D339" s="125"/>
      <c r="E339" s="125"/>
      <c r="F339" s="125"/>
      <c r="G339" s="125"/>
      <c r="H339" s="125"/>
      <c r="I339" s="125"/>
      <c r="J339" s="125"/>
      <c r="K339" s="125"/>
      <c r="L339" s="125"/>
      <c r="M339" s="125"/>
    </row>
    <row r="340" spans="2:16" ht="12.6" customHeight="1" x14ac:dyDescent="0.35">
      <c r="B340" s="125"/>
      <c r="C340" s="125"/>
      <c r="D340" s="125"/>
      <c r="E340" s="125"/>
      <c r="F340" s="125"/>
      <c r="G340" s="125"/>
      <c r="H340" s="125"/>
      <c r="I340" s="125"/>
      <c r="J340" s="125"/>
      <c r="K340" s="125"/>
      <c r="L340" s="125"/>
      <c r="M340" s="125"/>
    </row>
    <row r="341" spans="2:16" ht="12.6" customHeight="1" x14ac:dyDescent="0.35">
      <c r="B341" s="125"/>
      <c r="C341" s="125"/>
      <c r="D341" s="125"/>
      <c r="E341" s="125"/>
      <c r="F341" s="125"/>
      <c r="G341" s="125"/>
      <c r="H341" s="125"/>
      <c r="I341" s="125"/>
      <c r="J341" s="125"/>
      <c r="K341" s="125"/>
      <c r="L341" s="125"/>
      <c r="M341" s="125"/>
    </row>
    <row r="342" spans="2:16" ht="12.6" customHeight="1" x14ac:dyDescent="0.35">
      <c r="B342" s="125"/>
      <c r="C342" s="125"/>
      <c r="D342" s="125"/>
      <c r="E342" s="125"/>
      <c r="F342" s="125"/>
      <c r="G342" s="125"/>
      <c r="H342" s="125"/>
      <c r="I342" s="125"/>
      <c r="J342" s="125"/>
      <c r="K342" s="125"/>
      <c r="L342" s="125"/>
      <c r="M342" s="125"/>
    </row>
    <row r="343" spans="2:16" ht="12.6" customHeight="1" x14ac:dyDescent="0.35">
      <c r="B343" s="125"/>
      <c r="C343" s="125"/>
      <c r="D343" s="125"/>
      <c r="E343" s="125"/>
      <c r="F343" s="125"/>
      <c r="G343" s="125"/>
      <c r="H343" s="125"/>
      <c r="I343" s="125"/>
      <c r="J343" s="125"/>
      <c r="K343" s="125"/>
      <c r="L343" s="125"/>
      <c r="M343" s="125"/>
    </row>
    <row r="344" spans="2:16" ht="12.6" customHeight="1" x14ac:dyDescent="0.35">
      <c r="B344" s="125"/>
      <c r="C344" s="125"/>
      <c r="D344" s="125"/>
      <c r="E344" s="125"/>
      <c r="F344" s="125"/>
      <c r="G344" s="125"/>
      <c r="H344" s="125"/>
      <c r="I344" s="125"/>
      <c r="J344" s="125"/>
      <c r="K344" s="125"/>
      <c r="L344" s="125"/>
      <c r="M344" s="125"/>
    </row>
    <row r="345" spans="2:16" ht="12.6" customHeight="1" x14ac:dyDescent="0.35">
      <c r="B345" s="125"/>
      <c r="C345" s="125"/>
      <c r="D345" s="125"/>
      <c r="E345" s="125"/>
      <c r="F345" s="125"/>
      <c r="G345" s="125"/>
      <c r="H345" s="125"/>
      <c r="I345" s="125"/>
      <c r="J345" s="125"/>
      <c r="K345" s="125"/>
      <c r="L345" s="125"/>
      <c r="M345" s="125"/>
    </row>
    <row r="346" spans="2:16" ht="12.6" customHeight="1" x14ac:dyDescent="0.35">
      <c r="B346" s="125"/>
      <c r="C346" s="125"/>
      <c r="D346" s="125"/>
      <c r="E346" s="125"/>
      <c r="F346" s="125"/>
      <c r="G346" s="125"/>
      <c r="H346" s="125"/>
      <c r="I346" s="125"/>
      <c r="J346" s="125"/>
      <c r="K346" s="125"/>
      <c r="L346" s="125"/>
      <c r="M346" s="125"/>
    </row>
    <row r="347" spans="2:16" ht="12.6" customHeight="1" x14ac:dyDescent="0.35">
      <c r="B347" s="125"/>
      <c r="C347" s="125"/>
      <c r="D347" s="125"/>
      <c r="E347" s="125"/>
      <c r="F347" s="125"/>
      <c r="G347" s="125"/>
      <c r="H347" s="125"/>
      <c r="I347" s="125"/>
      <c r="J347" s="125"/>
      <c r="K347" s="125"/>
      <c r="L347" s="125"/>
      <c r="M347" s="125"/>
    </row>
    <row r="348" spans="2:16" ht="12.6" customHeight="1" x14ac:dyDescent="0.35">
      <c r="B348" s="125"/>
      <c r="C348" s="125"/>
      <c r="D348" s="125"/>
      <c r="E348" s="125"/>
      <c r="F348" s="125"/>
      <c r="G348" s="125"/>
      <c r="H348" s="125"/>
      <c r="I348" s="125"/>
      <c r="J348" s="125"/>
      <c r="K348" s="125"/>
      <c r="L348" s="125"/>
      <c r="M348" s="125"/>
    </row>
    <row r="349" spans="2:16" x14ac:dyDescent="0.35">
      <c r="B349" s="125"/>
      <c r="C349" s="125"/>
      <c r="D349" s="125"/>
      <c r="E349" s="125"/>
      <c r="F349" s="125"/>
      <c r="G349" s="125"/>
      <c r="H349" s="125"/>
      <c r="I349" s="125"/>
      <c r="J349" s="125"/>
      <c r="K349" s="125"/>
      <c r="L349" s="125"/>
      <c r="M349" s="125"/>
    </row>
    <row r="350" spans="2:16" x14ac:dyDescent="0.35">
      <c r="B350" s="125"/>
      <c r="C350" s="125"/>
      <c r="D350" s="125"/>
      <c r="E350" s="125"/>
      <c r="F350" s="125"/>
      <c r="G350" s="125"/>
      <c r="H350" s="125"/>
      <c r="I350" s="125"/>
      <c r="J350" s="125"/>
      <c r="K350" s="125"/>
      <c r="L350" s="125"/>
      <c r="M350" s="125"/>
    </row>
    <row r="351" spans="2:16" s="162" customFormat="1" ht="14.4" x14ac:dyDescent="0.35">
      <c r="C351" s="162" t="str">
        <f>B324&amp;" - "&amp;P361</f>
        <v>Capitalised Overheads - Escalated - Real $2019</v>
      </c>
    </row>
    <row r="352" spans="2:16" x14ac:dyDescent="0.35">
      <c r="C352" s="125"/>
      <c r="D352" s="125"/>
      <c r="E352" s="125"/>
      <c r="F352" s="125"/>
      <c r="G352" s="125"/>
      <c r="H352" s="125"/>
      <c r="I352" s="125"/>
      <c r="J352" s="125"/>
      <c r="K352" s="125"/>
      <c r="L352" s="125"/>
      <c r="M352" s="125"/>
    </row>
    <row r="353" spans="3:31" ht="12.6" customHeight="1" x14ac:dyDescent="0.35">
      <c r="C353" s="125"/>
      <c r="D353" s="125"/>
      <c r="E353" s="125"/>
      <c r="F353" s="125"/>
      <c r="G353" s="125"/>
      <c r="H353" s="125"/>
      <c r="I353" s="125"/>
      <c r="J353" s="125"/>
      <c r="K353" s="125"/>
      <c r="L353" s="125"/>
      <c r="M353" s="125"/>
      <c r="O353" s="126" t="str">
        <f>O$10</f>
        <v>Period</v>
      </c>
      <c r="P353" s="127" t="str">
        <f t="shared" ref="P353:AE353" si="68">P$10</f>
        <v>RY09</v>
      </c>
      <c r="Q353" s="127" t="str">
        <f t="shared" si="68"/>
        <v>RY10</v>
      </c>
      <c r="R353" s="127" t="str">
        <f t="shared" si="68"/>
        <v>RY11</v>
      </c>
      <c r="S353" s="127" t="str">
        <f t="shared" si="68"/>
        <v>RY12</v>
      </c>
      <c r="T353" s="127" t="str">
        <f t="shared" si="68"/>
        <v>RY13</v>
      </c>
      <c r="U353" s="127" t="str">
        <f t="shared" si="68"/>
        <v>RY14</v>
      </c>
      <c r="V353" s="127" t="str">
        <f t="shared" si="68"/>
        <v>RY15</v>
      </c>
      <c r="W353" s="127" t="str">
        <f t="shared" si="68"/>
        <v>RY16</v>
      </c>
      <c r="X353" s="127" t="str">
        <f t="shared" si="68"/>
        <v>RY17</v>
      </c>
      <c r="Y353" s="127" t="str">
        <f t="shared" si="68"/>
        <v>RY18</v>
      </c>
      <c r="Z353" s="127" t="str">
        <f t="shared" si="68"/>
        <v>RY19</v>
      </c>
      <c r="AA353" s="127" t="str">
        <f t="shared" si="68"/>
        <v>RY20</v>
      </c>
      <c r="AB353" s="127" t="str">
        <f t="shared" si="68"/>
        <v>RY21</v>
      </c>
      <c r="AC353" s="127" t="str">
        <f t="shared" si="68"/>
        <v>RY22</v>
      </c>
      <c r="AD353" s="127" t="str">
        <f t="shared" si="68"/>
        <v>RY23</v>
      </c>
      <c r="AE353" s="127" t="str">
        <f t="shared" si="68"/>
        <v>RY24</v>
      </c>
    </row>
    <row r="354" spans="3:31" ht="12.6" customHeight="1" x14ac:dyDescent="0.35">
      <c r="C354" s="125"/>
      <c r="D354" s="125"/>
      <c r="E354" s="125"/>
      <c r="F354" s="125"/>
      <c r="G354" s="125"/>
      <c r="H354" s="125"/>
      <c r="I354" s="125"/>
      <c r="J354" s="125"/>
      <c r="K354" s="125"/>
      <c r="L354" s="125"/>
      <c r="M354" s="125"/>
      <c r="O354" s="128" t="str">
        <f>$O$11</f>
        <v>Actuals/Estimate</v>
      </c>
      <c r="P354" s="130">
        <f>P329/Input_Inflation!J$39</f>
        <v>0</v>
      </c>
      <c r="Q354" s="130">
        <f>Q329/Input_Inflation!K$39</f>
        <v>0.43622737525816419</v>
      </c>
      <c r="R354" s="130">
        <f>R329/Input_Inflation!L$39</f>
        <v>0.44858770639084483</v>
      </c>
      <c r="S354" s="130">
        <f>S329/Input_Inflation!M$39</f>
        <v>0.33770871325798324</v>
      </c>
      <c r="T354" s="130">
        <f>T329/Input_Inflation!N$39</f>
        <v>1.8777795892859919</v>
      </c>
      <c r="U354" s="130">
        <f>U329/Input_Inflation!O$39</f>
        <v>1.2999698206312766</v>
      </c>
      <c r="V354" s="547">
        <f>'10'!N14</f>
        <v>0.20761777890365482</v>
      </c>
      <c r="W354" s="548">
        <f>'10'!O14</f>
        <v>0.14407168514004207</v>
      </c>
      <c r="X354" s="548">
        <f>'10'!P14</f>
        <v>11.396577926927781</v>
      </c>
      <c r="Y354" s="548">
        <f>'10'!Q14</f>
        <v>12.694556865798416</v>
      </c>
      <c r="Z354" s="549">
        <f>'10'!R14</f>
        <v>12.857796817934315</v>
      </c>
      <c r="AA354" s="130" t="e">
        <f>NA()</f>
        <v>#N/A</v>
      </c>
      <c r="AB354" s="130" t="e">
        <f>NA()</f>
        <v>#N/A</v>
      </c>
      <c r="AC354" s="130" t="e">
        <f>NA()</f>
        <v>#N/A</v>
      </c>
      <c r="AD354" s="130" t="e">
        <f>NA()</f>
        <v>#N/A</v>
      </c>
      <c r="AE354" s="130" t="e">
        <f>NA()</f>
        <v>#N/A</v>
      </c>
    </row>
    <row r="355" spans="3:31" ht="12.6" customHeight="1" x14ac:dyDescent="0.35">
      <c r="C355" s="125"/>
      <c r="D355" s="125"/>
      <c r="E355" s="125"/>
      <c r="F355" s="125"/>
      <c r="G355" s="125"/>
      <c r="H355" s="125"/>
      <c r="I355" s="125"/>
      <c r="J355" s="125"/>
      <c r="K355" s="125"/>
      <c r="L355" s="125"/>
      <c r="M355" s="125"/>
      <c r="O355" s="128" t="str">
        <f>$O$14</f>
        <v>Forecast</v>
      </c>
      <c r="P355" s="130" t="e">
        <f>NA()</f>
        <v>#N/A</v>
      </c>
      <c r="Q355" s="130" t="e">
        <f>NA()</f>
        <v>#N/A</v>
      </c>
      <c r="R355" s="130" t="e">
        <f>NA()</f>
        <v>#N/A</v>
      </c>
      <c r="S355" s="130" t="e">
        <f>NA()</f>
        <v>#N/A</v>
      </c>
      <c r="T355" s="130" t="e">
        <f>NA()</f>
        <v>#N/A</v>
      </c>
      <c r="U355" s="130" t="e">
        <f>NA()</f>
        <v>#N/A</v>
      </c>
      <c r="V355" s="130" t="e">
        <f>NA()</f>
        <v>#N/A</v>
      </c>
      <c r="W355" s="130" t="e">
        <f>NA()</f>
        <v>#N/A</v>
      </c>
      <c r="X355" s="130" t="e">
        <f>NA()</f>
        <v>#N/A</v>
      </c>
      <c r="Y355" s="130" t="e">
        <f>NA()</f>
        <v>#N/A</v>
      </c>
      <c r="Z355" s="130" t="e">
        <f>NA()</f>
        <v>#N/A</v>
      </c>
      <c r="AA355" s="547">
        <f>'10'!E61</f>
        <v>13.012869520178295</v>
      </c>
      <c r="AB355" s="548">
        <f>'10'!F61</f>
        <v>13.19114455870012</v>
      </c>
      <c r="AC355" s="548">
        <f>'10'!G61</f>
        <v>13.393456838449179</v>
      </c>
      <c r="AD355" s="548">
        <f>'10'!H61</f>
        <v>13.557488562506313</v>
      </c>
      <c r="AE355" s="549">
        <f>'10'!I61</f>
        <v>13.705951532618363</v>
      </c>
    </row>
    <row r="356" spans="3:31" ht="12.6" customHeight="1" x14ac:dyDescent="0.35">
      <c r="C356" s="125"/>
      <c r="D356" s="125"/>
      <c r="E356" s="125"/>
      <c r="F356" s="125"/>
      <c r="G356" s="125"/>
      <c r="H356" s="125"/>
      <c r="I356" s="125"/>
      <c r="J356" s="125"/>
      <c r="K356" s="125"/>
      <c r="L356" s="125"/>
      <c r="M356" s="125"/>
      <c r="O356" s="128" t="str">
        <f>$O$15</f>
        <v>Avg: 10-14</v>
      </c>
      <c r="P356" s="130" t="e">
        <f>NA()</f>
        <v>#N/A</v>
      </c>
      <c r="Q356" s="130">
        <f>AVERAGE($Q354:$U354)</f>
        <v>0.8800546409648522</v>
      </c>
      <c r="R356" s="130">
        <f t="shared" ref="R356:U356" si="69">AVERAGE($Q354:$U354)</f>
        <v>0.8800546409648522</v>
      </c>
      <c r="S356" s="130">
        <f t="shared" si="69"/>
        <v>0.8800546409648522</v>
      </c>
      <c r="T356" s="130">
        <f t="shared" si="69"/>
        <v>0.8800546409648522</v>
      </c>
      <c r="U356" s="130">
        <f t="shared" si="69"/>
        <v>0.8800546409648522</v>
      </c>
      <c r="V356" s="130" t="e">
        <f>NA()</f>
        <v>#N/A</v>
      </c>
      <c r="W356" s="130" t="e">
        <f>NA()</f>
        <v>#N/A</v>
      </c>
      <c r="X356" s="130" t="e">
        <f>NA()</f>
        <v>#N/A</v>
      </c>
      <c r="Y356" s="130" t="e">
        <f>NA()</f>
        <v>#N/A</v>
      </c>
      <c r="Z356" s="130" t="e">
        <f>NA()</f>
        <v>#N/A</v>
      </c>
      <c r="AA356" s="130" t="e">
        <f>NA()</f>
        <v>#N/A</v>
      </c>
      <c r="AB356" s="130" t="e">
        <f>NA()</f>
        <v>#N/A</v>
      </c>
      <c r="AC356" s="130" t="e">
        <f>NA()</f>
        <v>#N/A</v>
      </c>
      <c r="AD356" s="130" t="e">
        <f>NA()</f>
        <v>#N/A</v>
      </c>
      <c r="AE356" s="130" t="e">
        <f>NA()</f>
        <v>#N/A</v>
      </c>
    </row>
    <row r="357" spans="3:31" ht="12.6" customHeight="1" x14ac:dyDescent="0.35">
      <c r="C357" s="125"/>
      <c r="D357" s="125"/>
      <c r="E357" s="125"/>
      <c r="F357" s="125"/>
      <c r="G357" s="125"/>
      <c r="H357" s="125"/>
      <c r="I357" s="125"/>
      <c r="J357" s="125"/>
      <c r="K357" s="125"/>
      <c r="L357" s="125"/>
      <c r="M357" s="125"/>
      <c r="O357" s="128" t="str">
        <f>$O$16</f>
        <v>Avg: 15-19</v>
      </c>
      <c r="P357" s="130" t="e">
        <f>NA()</f>
        <v>#N/A</v>
      </c>
      <c r="Q357" s="130" t="e">
        <f>NA()</f>
        <v>#N/A</v>
      </c>
      <c r="R357" s="130" t="e">
        <f>NA()</f>
        <v>#N/A</v>
      </c>
      <c r="S357" s="130" t="e">
        <f>NA()</f>
        <v>#N/A</v>
      </c>
      <c r="T357" s="130" t="e">
        <f>NA()</f>
        <v>#N/A</v>
      </c>
      <c r="U357" s="130" t="e">
        <f>NA()</f>
        <v>#N/A</v>
      </c>
      <c r="V357" s="130">
        <f>AVERAGE($V354:$Z354)</f>
        <v>7.4601242149408424</v>
      </c>
      <c r="W357" s="130">
        <f t="shared" ref="W357:Z357" si="70">AVERAGE($V354:$Z354)</f>
        <v>7.4601242149408424</v>
      </c>
      <c r="X357" s="130">
        <f t="shared" si="70"/>
        <v>7.4601242149408424</v>
      </c>
      <c r="Y357" s="130">
        <f t="shared" si="70"/>
        <v>7.4601242149408424</v>
      </c>
      <c r="Z357" s="130">
        <f t="shared" si="70"/>
        <v>7.4601242149408424</v>
      </c>
      <c r="AA357" s="130" t="e">
        <f>NA()</f>
        <v>#N/A</v>
      </c>
      <c r="AB357" s="130" t="e">
        <f>NA()</f>
        <v>#N/A</v>
      </c>
      <c r="AC357" s="130" t="e">
        <f>NA()</f>
        <v>#N/A</v>
      </c>
      <c r="AD357" s="130" t="e">
        <f>NA()</f>
        <v>#N/A</v>
      </c>
      <c r="AE357" s="130" t="e">
        <f>NA()</f>
        <v>#N/A</v>
      </c>
    </row>
    <row r="358" spans="3:31" ht="12.6" customHeight="1" x14ac:dyDescent="0.35">
      <c r="C358" s="125"/>
      <c r="D358" s="125"/>
      <c r="E358" s="125"/>
      <c r="F358" s="125"/>
      <c r="G358" s="125"/>
      <c r="H358" s="125"/>
      <c r="I358" s="125"/>
      <c r="J358" s="125"/>
      <c r="K358" s="125"/>
      <c r="L358" s="125"/>
      <c r="M358" s="125"/>
      <c r="O358" s="128" t="str">
        <f>$O$17</f>
        <v>Avg: 20-24</v>
      </c>
      <c r="P358" s="130" t="e">
        <f>NA()</f>
        <v>#N/A</v>
      </c>
      <c r="Q358" s="130" t="e">
        <f>NA()</f>
        <v>#N/A</v>
      </c>
      <c r="R358" s="130" t="e">
        <f>NA()</f>
        <v>#N/A</v>
      </c>
      <c r="S358" s="130" t="e">
        <f>NA()</f>
        <v>#N/A</v>
      </c>
      <c r="T358" s="130" t="e">
        <f>NA()</f>
        <v>#N/A</v>
      </c>
      <c r="U358" s="130" t="e">
        <f>NA()</f>
        <v>#N/A</v>
      </c>
      <c r="V358" s="130" t="e">
        <f>NA()</f>
        <v>#N/A</v>
      </c>
      <c r="W358" s="130" t="e">
        <f>NA()</f>
        <v>#N/A</v>
      </c>
      <c r="X358" s="130" t="e">
        <f>NA()</f>
        <v>#N/A</v>
      </c>
      <c r="Y358" s="130" t="e">
        <f>NA()</f>
        <v>#N/A</v>
      </c>
      <c r="Z358" s="130" t="e">
        <f>NA()</f>
        <v>#N/A</v>
      </c>
      <c r="AA358" s="130">
        <f>AVERAGE($AA355:$AE355)</f>
        <v>13.372182202490455</v>
      </c>
      <c r="AB358" s="130">
        <f t="shared" ref="AB358:AE358" si="71">AVERAGE($AA355:$AE355)</f>
        <v>13.372182202490455</v>
      </c>
      <c r="AC358" s="130">
        <f t="shared" si="71"/>
        <v>13.372182202490455</v>
      </c>
      <c r="AD358" s="130">
        <f t="shared" si="71"/>
        <v>13.372182202490455</v>
      </c>
      <c r="AE358" s="130">
        <f t="shared" si="71"/>
        <v>13.372182202490455</v>
      </c>
    </row>
    <row r="359" spans="3:31" ht="12.6" customHeight="1" x14ac:dyDescent="0.35">
      <c r="C359" s="125"/>
      <c r="D359" s="125"/>
      <c r="E359" s="125"/>
      <c r="F359" s="125"/>
      <c r="G359" s="125"/>
      <c r="H359" s="125"/>
      <c r="I359" s="125"/>
      <c r="J359" s="125"/>
      <c r="K359" s="125"/>
      <c r="L359" s="125"/>
      <c r="M359" s="125"/>
    </row>
    <row r="360" spans="3:31" ht="12.6" customHeight="1" x14ac:dyDescent="0.35">
      <c r="C360" s="125"/>
      <c r="D360" s="125"/>
      <c r="E360" s="125"/>
      <c r="F360" s="125"/>
      <c r="G360" s="125"/>
      <c r="H360" s="125"/>
      <c r="I360" s="125"/>
      <c r="J360" s="125"/>
      <c r="K360" s="125"/>
      <c r="L360" s="125"/>
      <c r="M360" s="125"/>
      <c r="O360" s="128" t="str">
        <f>$O$19</f>
        <v>Chart Name:</v>
      </c>
      <c r="P360" s="128" t="str">
        <f>B324</f>
        <v>Capitalised Overheads - Escalated</v>
      </c>
    </row>
    <row r="361" spans="3:31" ht="12.6" customHeight="1" x14ac:dyDescent="0.35">
      <c r="C361" s="125"/>
      <c r="D361" s="125"/>
      <c r="E361" s="125"/>
      <c r="F361" s="125"/>
      <c r="G361" s="125"/>
      <c r="H361" s="125"/>
      <c r="I361" s="125"/>
      <c r="J361" s="125"/>
      <c r="K361" s="125"/>
      <c r="L361" s="125"/>
      <c r="M361" s="125"/>
      <c r="O361" s="128" t="str">
        <f>$O$20</f>
        <v>Dollar Basis:</v>
      </c>
      <c r="P361" s="128" t="str">
        <f>Real2019</f>
        <v>Real $2019</v>
      </c>
    </row>
    <row r="362" spans="3:31" ht="12.6" customHeight="1" x14ac:dyDescent="0.35">
      <c r="C362" s="125"/>
      <c r="D362" s="125"/>
      <c r="E362" s="125"/>
      <c r="F362" s="125"/>
      <c r="G362" s="125"/>
      <c r="H362" s="125"/>
      <c r="I362" s="125"/>
      <c r="J362" s="125"/>
      <c r="K362" s="125"/>
      <c r="L362" s="125"/>
      <c r="M362" s="125"/>
      <c r="O362" s="128" t="str">
        <f>$O$21</f>
        <v>Units:</v>
      </c>
      <c r="P362" s="128" t="str">
        <f>Millions</f>
        <v>$Millions</v>
      </c>
    </row>
    <row r="363" spans="3:31" ht="12.6" customHeight="1" x14ac:dyDescent="0.35">
      <c r="C363" s="125"/>
      <c r="D363" s="125"/>
      <c r="E363" s="125"/>
      <c r="F363" s="125"/>
      <c r="G363" s="125"/>
      <c r="H363" s="125"/>
      <c r="I363" s="125"/>
      <c r="J363" s="125"/>
      <c r="K363" s="125"/>
      <c r="L363" s="125"/>
      <c r="M363" s="125"/>
      <c r="O363" s="128" t="str">
        <f>$O$22</f>
        <v>Full Chart Title:</v>
      </c>
      <c r="P363" s="128" t="str">
        <f>P360&amp;" ("&amp;P361&amp;", "&amp;P362&amp;")"</f>
        <v>Capitalised Overheads - Escalated (Real $2019, $Millions)</v>
      </c>
    </row>
    <row r="364" spans="3:31" ht="12.6" customHeight="1" x14ac:dyDescent="0.35">
      <c r="C364" s="125"/>
      <c r="D364" s="125"/>
      <c r="E364" s="125"/>
      <c r="F364" s="125"/>
      <c r="G364" s="125"/>
      <c r="H364" s="125"/>
      <c r="I364" s="125"/>
      <c r="J364" s="125"/>
      <c r="K364" s="125"/>
      <c r="L364" s="125"/>
      <c r="M364" s="125"/>
    </row>
    <row r="365" spans="3:31" ht="12.6" customHeight="1" x14ac:dyDescent="0.35">
      <c r="C365" s="125"/>
      <c r="D365" s="125"/>
      <c r="E365" s="125"/>
      <c r="F365" s="125"/>
      <c r="G365" s="125"/>
      <c r="H365" s="125"/>
      <c r="I365" s="125"/>
      <c r="J365" s="125"/>
      <c r="K365" s="125"/>
      <c r="L365" s="125"/>
      <c r="M365" s="125"/>
    </row>
    <row r="366" spans="3:31" ht="12.6" customHeight="1" x14ac:dyDescent="0.35">
      <c r="C366" s="125"/>
      <c r="D366" s="125"/>
      <c r="E366" s="125"/>
      <c r="F366" s="125"/>
      <c r="G366" s="125"/>
      <c r="H366" s="125"/>
      <c r="I366" s="125"/>
      <c r="J366" s="125"/>
      <c r="K366" s="125"/>
      <c r="L366" s="125"/>
      <c r="M366" s="125"/>
    </row>
    <row r="367" spans="3:31" ht="12.6" customHeight="1" x14ac:dyDescent="0.35">
      <c r="C367" s="125"/>
      <c r="D367" s="125"/>
      <c r="E367" s="125"/>
      <c r="F367" s="125"/>
      <c r="G367" s="125"/>
      <c r="H367" s="125"/>
      <c r="I367" s="125"/>
      <c r="J367" s="125"/>
      <c r="K367" s="125"/>
      <c r="L367" s="125"/>
      <c r="M367" s="125"/>
    </row>
    <row r="368" spans="3:31" ht="12.6" customHeight="1" x14ac:dyDescent="0.35">
      <c r="C368" s="125"/>
      <c r="D368" s="125"/>
      <c r="E368" s="125"/>
      <c r="F368" s="125"/>
      <c r="G368" s="125"/>
      <c r="H368" s="125"/>
      <c r="I368" s="125"/>
      <c r="J368" s="125"/>
      <c r="K368" s="125"/>
      <c r="L368" s="125"/>
      <c r="M368" s="125"/>
    </row>
    <row r="369" spans="2:13" ht="12.6" customHeight="1" x14ac:dyDescent="0.35">
      <c r="C369" s="125"/>
      <c r="D369" s="125"/>
      <c r="E369" s="125"/>
      <c r="F369" s="125"/>
      <c r="G369" s="125"/>
      <c r="H369" s="125"/>
      <c r="I369" s="125"/>
      <c r="J369" s="125"/>
      <c r="K369" s="125"/>
      <c r="L369" s="125"/>
      <c r="M369" s="125"/>
    </row>
    <row r="370" spans="2:13" ht="12.6" customHeight="1" x14ac:dyDescent="0.35">
      <c r="C370" s="125"/>
      <c r="D370" s="125"/>
      <c r="E370" s="125"/>
      <c r="F370" s="125"/>
      <c r="G370" s="125"/>
      <c r="H370" s="125"/>
      <c r="I370" s="125"/>
      <c r="J370" s="125"/>
      <c r="K370" s="125"/>
      <c r="L370" s="125"/>
      <c r="M370" s="125"/>
    </row>
    <row r="371" spans="2:13" ht="12.6" customHeight="1" x14ac:dyDescent="0.35">
      <c r="C371" s="125"/>
      <c r="D371" s="125"/>
      <c r="E371" s="125"/>
      <c r="F371" s="125"/>
      <c r="G371" s="125"/>
      <c r="H371" s="125"/>
      <c r="I371" s="125"/>
      <c r="J371" s="125"/>
      <c r="K371" s="125"/>
      <c r="L371" s="125"/>
      <c r="M371" s="125"/>
    </row>
    <row r="372" spans="2:13" ht="12.6" customHeight="1" x14ac:dyDescent="0.35">
      <c r="C372" s="125"/>
      <c r="D372" s="125"/>
      <c r="E372" s="125"/>
      <c r="F372" s="125"/>
      <c r="G372" s="125"/>
      <c r="H372" s="125"/>
      <c r="I372" s="125"/>
      <c r="J372" s="125"/>
      <c r="K372" s="125"/>
      <c r="L372" s="125"/>
      <c r="M372" s="125"/>
    </row>
    <row r="373" spans="2:13" ht="12.6" customHeight="1" x14ac:dyDescent="0.35">
      <c r="C373" s="125"/>
      <c r="D373" s="125"/>
      <c r="E373" s="125"/>
      <c r="F373" s="125"/>
      <c r="G373" s="125"/>
      <c r="H373" s="125"/>
      <c r="I373" s="125"/>
      <c r="J373" s="125"/>
      <c r="K373" s="125"/>
      <c r="L373" s="125"/>
      <c r="M373" s="125"/>
    </row>
    <row r="374" spans="2:13" x14ac:dyDescent="0.35">
      <c r="C374" s="125"/>
      <c r="D374" s="125"/>
      <c r="E374" s="125"/>
      <c r="F374" s="125"/>
      <c r="G374" s="125"/>
      <c r="H374" s="125"/>
      <c r="I374" s="125"/>
      <c r="J374" s="125"/>
      <c r="K374" s="125"/>
      <c r="L374" s="125"/>
      <c r="M374" s="125"/>
    </row>
    <row r="375" spans="2:13" s="139" customFormat="1" ht="12.9" x14ac:dyDescent="0.35">
      <c r="B375" s="139" t="s">
        <v>32</v>
      </c>
    </row>
  </sheetData>
  <conditionalFormatting sqref="B2">
    <cfRule type="cellIs" dxfId="45" priority="1" operator="notEqual">
      <formula>"No Errors Found"</formula>
    </cfRule>
  </conditionalFormatting>
  <hyperlinks>
    <hyperlink ref="B3:D3" location="Cover!A1" display="Go to Cover Sheet" xr:uid="{00000000-0004-0000-0500-000000000000}"/>
  </hyperlink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I57"/>
  <sheetViews>
    <sheetView showGridLines="0" zoomScale="81" zoomScaleNormal="81"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0.199999999999999" x14ac:dyDescent="0.35"/>
  <cols>
    <col min="1" max="3" width="2.796875" style="104" customWidth="1"/>
    <col min="4" max="14" width="10.6640625" style="104" customWidth="1"/>
    <col min="15" max="15" width="18" style="104" customWidth="1"/>
    <col min="16" max="19" width="10.6640625" style="104" customWidth="1"/>
    <col min="20" max="23" width="9.1328125" style="104"/>
    <col min="24" max="24" width="9.1328125" style="104" customWidth="1"/>
    <col min="25" max="16384" width="9.1328125" style="104"/>
  </cols>
  <sheetData>
    <row r="1" spans="2:31" ht="18.899999999999999" x14ac:dyDescent="0.35">
      <c r="B1" s="103" t="s">
        <v>379</v>
      </c>
    </row>
    <row r="2" spans="2:31" x14ac:dyDescent="0.35">
      <c r="B2" s="105" t="str">
        <f>Title_Msg</f>
        <v>No Errors Found</v>
      </c>
    </row>
    <row r="3" spans="2:31" ht="12.3" x14ac:dyDescent="0.35">
      <c r="B3" s="106" t="s">
        <v>51</v>
      </c>
      <c r="C3" s="106"/>
      <c r="D3" s="106"/>
      <c r="E3" s="107"/>
    </row>
    <row r="4" spans="2:31" ht="12.3" x14ac:dyDescent="0.35">
      <c r="B4" s="108" t="str">
        <f>Model_Name</f>
        <v>Power and Water Corporation (PWC) - Regulatory Proposal Tables and Charts</v>
      </c>
    </row>
    <row r="6" spans="2:31" s="139" customFormat="1" ht="12.9" x14ac:dyDescent="0.35">
      <c r="B6" s="139" t="s">
        <v>225</v>
      </c>
    </row>
    <row r="7" spans="2:31" s="109" customFormat="1" ht="4.5" customHeight="1" x14ac:dyDescent="0.35"/>
    <row r="8" spans="2:31" s="162" customFormat="1" ht="14.4" x14ac:dyDescent="0.35">
      <c r="C8" s="162" t="str">
        <f>B6&amp;" - "&amp;P21</f>
        <v>Opex Summary - Nominal</v>
      </c>
    </row>
    <row r="9" spans="2:31" x14ac:dyDescent="0.35">
      <c r="B9" s="109"/>
      <c r="C9" s="109"/>
      <c r="D9" s="109"/>
      <c r="E9" s="109"/>
      <c r="F9" s="109"/>
      <c r="G9" s="109"/>
      <c r="H9" s="109"/>
      <c r="I9" s="109"/>
      <c r="J9" s="109"/>
      <c r="K9" s="109"/>
      <c r="L9" s="109"/>
      <c r="M9" s="109"/>
    </row>
    <row r="10" spans="2:31" ht="12.6" customHeight="1" x14ac:dyDescent="0.35">
      <c r="B10" s="109"/>
      <c r="C10" s="109"/>
      <c r="D10" s="109"/>
      <c r="E10" s="109"/>
      <c r="F10" s="109"/>
      <c r="G10" s="109"/>
      <c r="H10" s="109"/>
      <c r="I10" s="109"/>
      <c r="J10" s="109"/>
      <c r="K10" s="109"/>
      <c r="L10" s="109"/>
      <c r="M10" s="109"/>
      <c r="O10" s="110" t="s">
        <v>178</v>
      </c>
      <c r="P10" s="111" t="str">
        <f>Lookup!J$20</f>
        <v>RY09</v>
      </c>
      <c r="Q10" s="111" t="str">
        <f>Lookup!K$20</f>
        <v>RY10</v>
      </c>
      <c r="R10" s="111" t="str">
        <f>Lookup!L$20</f>
        <v>RY11</v>
      </c>
      <c r="S10" s="111" t="str">
        <f>Lookup!M$20</f>
        <v>RY12</v>
      </c>
      <c r="T10" s="111" t="str">
        <f>Lookup!N$20</f>
        <v>RY13</v>
      </c>
      <c r="U10" s="111" t="str">
        <f>Lookup!O$20</f>
        <v>RY14</v>
      </c>
      <c r="V10" s="111" t="str">
        <f>Lookup!P$20</f>
        <v>RY15</v>
      </c>
      <c r="W10" s="111" t="str">
        <f>Lookup!Q$20</f>
        <v>RY16</v>
      </c>
      <c r="X10" s="111" t="str">
        <f>Lookup!R$20</f>
        <v>RY17</v>
      </c>
      <c r="Y10" s="111" t="str">
        <f>Lookup!S$20</f>
        <v>RY18</v>
      </c>
      <c r="Z10" s="111" t="str">
        <f>Lookup!T$20</f>
        <v>RY19</v>
      </c>
      <c r="AA10" s="111" t="str">
        <f>Lookup!U$20</f>
        <v>RY20</v>
      </c>
      <c r="AB10" s="111" t="str">
        <f>Lookup!V$20</f>
        <v>RY21</v>
      </c>
      <c r="AC10" s="111" t="str">
        <f>Lookup!W$20</f>
        <v>RY22</v>
      </c>
      <c r="AD10" s="111" t="str">
        <f>Lookup!X$20</f>
        <v>RY23</v>
      </c>
      <c r="AE10" s="111" t="str">
        <f>Lookup!Y$20</f>
        <v>RY24</v>
      </c>
    </row>
    <row r="11" spans="2:31" ht="12.6" customHeight="1" x14ac:dyDescent="0.35">
      <c r="B11" s="109"/>
      <c r="C11" s="109"/>
      <c r="D11" s="109"/>
      <c r="E11" s="109"/>
      <c r="F11" s="109"/>
      <c r="G11" s="109"/>
      <c r="H11" s="109"/>
      <c r="I11" s="109"/>
      <c r="J11" s="109"/>
      <c r="K11" s="109"/>
      <c r="L11" s="109"/>
      <c r="M11" s="109"/>
      <c r="O11" s="112" t="s">
        <v>174</v>
      </c>
      <c r="P11" s="113" t="e">
        <f>NA()</f>
        <v>#N/A</v>
      </c>
      <c r="Q11" s="113" t="e">
        <f>NA()</f>
        <v>#N/A</v>
      </c>
      <c r="R11" s="113" t="e">
        <f>NA()</f>
        <v>#N/A</v>
      </c>
      <c r="S11" s="113" t="e">
        <f>NA()</f>
        <v>#N/A</v>
      </c>
      <c r="T11" s="113" t="e">
        <f>NA()</f>
        <v>#N/A</v>
      </c>
      <c r="U11" s="113" t="e">
        <f>NA()</f>
        <v>#N/A</v>
      </c>
      <c r="V11" s="113">
        <f>V36*Input_Inflation!P$39</f>
        <v>95.350833969504919</v>
      </c>
      <c r="W11" s="113">
        <f>W36*Input_Inflation!Q$39</f>
        <v>90.445294346067769</v>
      </c>
      <c r="X11" s="113">
        <f>X36*Input_Inflation!R$39</f>
        <v>88.226217060609386</v>
      </c>
      <c r="Y11" s="113">
        <f>Y36*Input_Inflation!S$39</f>
        <v>82.696464625601081</v>
      </c>
      <c r="Z11" s="113">
        <f>Z36*Input_Inflation!T$39</f>
        <v>76.954007647923589</v>
      </c>
      <c r="AA11" s="113" t="e">
        <f>NA()</f>
        <v>#N/A</v>
      </c>
      <c r="AB11" s="113" t="e">
        <f>NA()</f>
        <v>#N/A</v>
      </c>
      <c r="AC11" s="113" t="e">
        <f>NA()</f>
        <v>#N/A</v>
      </c>
      <c r="AD11" s="113" t="e">
        <f>NA()</f>
        <v>#N/A</v>
      </c>
      <c r="AE11" s="113" t="e">
        <f>NA()</f>
        <v>#N/A</v>
      </c>
    </row>
    <row r="12" spans="2:31" ht="12.6" customHeight="1" x14ac:dyDescent="0.35">
      <c r="B12" s="109"/>
      <c r="C12" s="109"/>
      <c r="D12" s="109"/>
      <c r="E12" s="109"/>
      <c r="F12" s="109"/>
      <c r="G12" s="109"/>
      <c r="H12" s="109"/>
      <c r="I12" s="109"/>
      <c r="J12" s="109"/>
      <c r="K12" s="109"/>
      <c r="L12" s="109"/>
      <c r="M12" s="109"/>
      <c r="O12" s="112" t="s">
        <v>1633</v>
      </c>
      <c r="P12" s="113" t="e">
        <f>NA()</f>
        <v>#N/A</v>
      </c>
      <c r="Q12" s="113" t="e">
        <f>NA()</f>
        <v>#N/A</v>
      </c>
      <c r="R12" s="113" t="e">
        <f>NA()</f>
        <v>#N/A</v>
      </c>
      <c r="S12" s="113" t="e">
        <f>NA()</f>
        <v>#N/A</v>
      </c>
      <c r="T12" s="113" t="e">
        <f>NA()</f>
        <v>#N/A</v>
      </c>
      <c r="U12" s="113" t="e">
        <f>NA()</f>
        <v>#N/A</v>
      </c>
      <c r="V12" s="113">
        <f>V37*Input_Inflation!P$39</f>
        <v>95.350833969504919</v>
      </c>
      <c r="W12" s="113">
        <f>W37*Input_Inflation!Q$39</f>
        <v>90.445294346067769</v>
      </c>
      <c r="X12" s="113">
        <f>X37*Input_Inflation!R$39</f>
        <v>88.226217060609386</v>
      </c>
      <c r="Y12" s="113">
        <f>Y37*Input_Inflation!S$39</f>
        <v>82.696464625601081</v>
      </c>
      <c r="Z12" s="113">
        <f>Z37*Input_Inflation!T$39</f>
        <v>76.954007647923589</v>
      </c>
      <c r="AA12" s="113" t="e">
        <f>NA()</f>
        <v>#N/A</v>
      </c>
      <c r="AB12" s="113" t="e">
        <f>NA()</f>
        <v>#N/A</v>
      </c>
      <c r="AC12" s="113" t="e">
        <f>NA()</f>
        <v>#N/A</v>
      </c>
      <c r="AD12" s="113" t="e">
        <f>NA()</f>
        <v>#N/A</v>
      </c>
      <c r="AE12" s="113" t="e">
        <f>NA()</f>
        <v>#N/A</v>
      </c>
    </row>
    <row r="13" spans="2:31" ht="12.6" customHeight="1" x14ac:dyDescent="0.35">
      <c r="B13" s="109"/>
      <c r="C13" s="109"/>
      <c r="D13" s="109"/>
      <c r="E13" s="109"/>
      <c r="F13" s="109"/>
      <c r="G13" s="109"/>
      <c r="H13" s="109"/>
      <c r="I13" s="109"/>
      <c r="J13" s="109"/>
      <c r="K13" s="109"/>
      <c r="L13" s="109"/>
      <c r="M13" s="109"/>
    </row>
    <row r="14" spans="2:31" ht="12.6" customHeight="1" x14ac:dyDescent="0.35">
      <c r="B14" s="109"/>
      <c r="C14" s="109"/>
      <c r="D14" s="109"/>
      <c r="E14" s="109"/>
      <c r="F14" s="109"/>
      <c r="G14" s="109"/>
      <c r="H14" s="109"/>
      <c r="I14" s="109"/>
      <c r="J14" s="109"/>
      <c r="K14" s="109"/>
      <c r="L14" s="109"/>
      <c r="M14" s="109"/>
      <c r="O14" s="112" t="s">
        <v>226</v>
      </c>
      <c r="P14" s="113" t="e">
        <f>NA()</f>
        <v>#N/A</v>
      </c>
      <c r="Q14" s="113" t="e">
        <f>NA()</f>
        <v>#N/A</v>
      </c>
      <c r="R14" s="113" t="e">
        <f>NA()</f>
        <v>#N/A</v>
      </c>
      <c r="S14" s="113" t="e">
        <f>NA()</f>
        <v>#N/A</v>
      </c>
      <c r="T14" s="113" t="e">
        <f>NA()</f>
        <v>#N/A</v>
      </c>
      <c r="U14" s="113" t="e">
        <f>NA()</f>
        <v>#N/A</v>
      </c>
      <c r="V14" s="113">
        <f>V26</f>
        <v>74.701954909066416</v>
      </c>
      <c r="W14" s="113">
        <f t="shared" ref="W14:Y14" si="0">W26</f>
        <v>80.391768098743199</v>
      </c>
      <c r="X14" s="113">
        <f t="shared" si="0"/>
        <v>67.344648789569973</v>
      </c>
      <c r="Y14" s="113">
        <f t="shared" si="0"/>
        <v>73.39540570234206</v>
      </c>
      <c r="Z14" s="113">
        <f>Z26</f>
        <v>74.955001926459616</v>
      </c>
      <c r="AA14" s="113" t="e">
        <f>NA()</f>
        <v>#N/A</v>
      </c>
      <c r="AB14" s="113" t="e">
        <f>NA()</f>
        <v>#N/A</v>
      </c>
      <c r="AC14" s="113" t="e">
        <f>NA()</f>
        <v>#N/A</v>
      </c>
      <c r="AD14" s="113" t="e">
        <f>NA()</f>
        <v>#N/A</v>
      </c>
      <c r="AE14" s="113" t="e">
        <f>NA()</f>
        <v>#N/A</v>
      </c>
    </row>
    <row r="15" spans="2:31" ht="12.6" customHeight="1" x14ac:dyDescent="0.35">
      <c r="B15" s="109"/>
      <c r="C15" s="109"/>
      <c r="D15" s="109"/>
      <c r="E15" s="109"/>
      <c r="F15" s="109"/>
      <c r="G15" s="109"/>
      <c r="H15" s="109"/>
      <c r="I15" s="109"/>
      <c r="J15" s="109"/>
      <c r="K15" s="109"/>
      <c r="L15" s="109"/>
      <c r="M15" s="109"/>
      <c r="O15" s="112" t="s">
        <v>62</v>
      </c>
      <c r="P15" s="113" t="e">
        <f>NA()</f>
        <v>#N/A</v>
      </c>
      <c r="Q15" s="113" t="e">
        <f>NA()</f>
        <v>#N/A</v>
      </c>
      <c r="R15" s="113" t="e">
        <f>NA()</f>
        <v>#N/A</v>
      </c>
      <c r="S15" s="113" t="e">
        <f>NA()</f>
        <v>#N/A</v>
      </c>
      <c r="T15" s="113" t="e">
        <f>NA()</f>
        <v>#N/A</v>
      </c>
      <c r="U15" s="113" t="e">
        <f>NA()</f>
        <v>#N/A</v>
      </c>
      <c r="V15" s="113" t="e">
        <f>NA()</f>
        <v>#N/A</v>
      </c>
      <c r="W15" s="113" t="e">
        <f>NA()</f>
        <v>#N/A</v>
      </c>
      <c r="X15" s="113" t="e">
        <f>NA()</f>
        <v>#N/A</v>
      </c>
      <c r="Y15" s="113" t="e">
        <f>NA()</f>
        <v>#N/A</v>
      </c>
      <c r="Z15" s="113" t="e">
        <f>NA()</f>
        <v>#N/A</v>
      </c>
      <c r="AA15" s="116">
        <f>AA40*Input_Inflation!U$39</f>
        <v>66.841854924783405</v>
      </c>
      <c r="AB15" s="117">
        <f>AB40*Input_Inflation!V$39</f>
        <v>69.398804495933732</v>
      </c>
      <c r="AC15" s="117">
        <f>AC40*Input_Inflation!W$39</f>
        <v>72.149668771693555</v>
      </c>
      <c r="AD15" s="117">
        <f>AD40*Input_Inflation!X$39</f>
        <v>74.8006155714111</v>
      </c>
      <c r="AE15" s="118">
        <f>AE40*Input_Inflation!Y$39</f>
        <v>77.431747658745905</v>
      </c>
    </row>
    <row r="16" spans="2:31" ht="12.6" customHeight="1" x14ac:dyDescent="0.35">
      <c r="B16" s="109"/>
      <c r="C16" s="109"/>
      <c r="D16" s="109"/>
      <c r="E16" s="109"/>
      <c r="F16" s="109"/>
      <c r="G16" s="109"/>
      <c r="H16" s="109"/>
      <c r="I16" s="109"/>
      <c r="J16" s="109"/>
      <c r="K16" s="109"/>
      <c r="L16" s="109"/>
      <c r="M16" s="109"/>
      <c r="O16" s="112" t="s">
        <v>182</v>
      </c>
      <c r="P16" s="113" t="e">
        <f>NA()</f>
        <v>#N/A</v>
      </c>
      <c r="Q16" s="113" t="e">
        <f>NA()</f>
        <v>#N/A</v>
      </c>
      <c r="R16" s="113" t="e">
        <f>NA()</f>
        <v>#N/A</v>
      </c>
      <c r="S16" s="113" t="e">
        <f>NA()</f>
        <v>#N/A</v>
      </c>
      <c r="T16" s="113" t="e">
        <f>NA()</f>
        <v>#N/A</v>
      </c>
      <c r="U16" s="113" t="e">
        <f>NA()</f>
        <v>#N/A</v>
      </c>
      <c r="V16" s="113" t="e">
        <f>NA()</f>
        <v>#N/A</v>
      </c>
      <c r="W16" s="113" t="e">
        <f>NA()</f>
        <v>#N/A</v>
      </c>
      <c r="X16" s="113" t="e">
        <f>NA()</f>
        <v>#N/A</v>
      </c>
      <c r="Y16" s="113" t="e">
        <f>NA()</f>
        <v>#N/A</v>
      </c>
      <c r="Z16" s="113" t="e">
        <f>NA()</f>
        <v>#N/A</v>
      </c>
      <c r="AA16" s="113" t="e">
        <f>NA()</f>
        <v>#N/A</v>
      </c>
      <c r="AB16" s="113" t="e">
        <f>NA()</f>
        <v>#N/A</v>
      </c>
      <c r="AC16" s="113" t="e">
        <f>NA()</f>
        <v>#N/A</v>
      </c>
      <c r="AD16" s="113" t="e">
        <f>NA()</f>
        <v>#N/A</v>
      </c>
      <c r="AE16" s="113" t="e">
        <f>NA()</f>
        <v>#N/A</v>
      </c>
    </row>
    <row r="17" spans="2:31" ht="12.6" customHeight="1" x14ac:dyDescent="0.35">
      <c r="B17" s="109"/>
      <c r="C17" s="109"/>
      <c r="D17" s="109"/>
      <c r="E17" s="109"/>
      <c r="F17" s="109"/>
      <c r="G17" s="109"/>
      <c r="H17" s="109"/>
      <c r="I17" s="109"/>
      <c r="J17" s="109"/>
      <c r="K17" s="109"/>
      <c r="L17" s="109"/>
      <c r="M17" s="109"/>
      <c r="O17" s="112" t="s">
        <v>180</v>
      </c>
      <c r="P17" s="113" t="e">
        <f>NA()</f>
        <v>#N/A</v>
      </c>
      <c r="Q17" s="113" t="e">
        <f>NA()</f>
        <v>#N/A</v>
      </c>
      <c r="R17" s="113" t="e">
        <f>NA()</f>
        <v>#N/A</v>
      </c>
      <c r="S17" s="113" t="e">
        <f>NA()</f>
        <v>#N/A</v>
      </c>
      <c r="T17" s="113" t="e">
        <f>NA()</f>
        <v>#N/A</v>
      </c>
      <c r="U17" s="113" t="e">
        <f>NA()</f>
        <v>#N/A</v>
      </c>
      <c r="V17" s="113">
        <f>AVERAGE($V$11:$Z$11)</f>
        <v>86.734563529941354</v>
      </c>
      <c r="W17" s="113">
        <f t="shared" ref="W17:Z17" si="1">AVERAGE($V$11:$Z$11)</f>
        <v>86.734563529941354</v>
      </c>
      <c r="X17" s="113">
        <f t="shared" si="1"/>
        <v>86.734563529941354</v>
      </c>
      <c r="Y17" s="113">
        <f t="shared" si="1"/>
        <v>86.734563529941354</v>
      </c>
      <c r="Z17" s="113">
        <f t="shared" si="1"/>
        <v>86.734563529941354</v>
      </c>
      <c r="AA17" s="113" t="e">
        <f>NA()</f>
        <v>#N/A</v>
      </c>
      <c r="AB17" s="113" t="e">
        <f>NA()</f>
        <v>#N/A</v>
      </c>
      <c r="AC17" s="113" t="e">
        <f>NA()</f>
        <v>#N/A</v>
      </c>
      <c r="AD17" s="113" t="e">
        <f>NA()</f>
        <v>#N/A</v>
      </c>
      <c r="AE17" s="113" t="e">
        <f>NA()</f>
        <v>#N/A</v>
      </c>
    </row>
    <row r="18" spans="2:31" ht="12.6" customHeight="1" x14ac:dyDescent="0.35">
      <c r="B18" s="109"/>
      <c r="C18" s="109"/>
      <c r="D18" s="109"/>
      <c r="E18" s="109"/>
      <c r="F18" s="109"/>
      <c r="G18" s="109"/>
      <c r="H18" s="109"/>
      <c r="I18" s="109"/>
      <c r="J18" s="109"/>
      <c r="K18" s="109"/>
      <c r="L18" s="109"/>
      <c r="M18" s="109"/>
      <c r="O18" s="112" t="s">
        <v>181</v>
      </c>
      <c r="P18" s="113" t="e">
        <f>NA()</f>
        <v>#N/A</v>
      </c>
      <c r="Q18" s="113" t="e">
        <f>NA()</f>
        <v>#N/A</v>
      </c>
      <c r="R18" s="113" t="e">
        <f>NA()</f>
        <v>#N/A</v>
      </c>
      <c r="S18" s="113" t="e">
        <f>NA()</f>
        <v>#N/A</v>
      </c>
      <c r="T18" s="113" t="e">
        <f>NA()</f>
        <v>#N/A</v>
      </c>
      <c r="U18" s="113" t="e">
        <f>NA()</f>
        <v>#N/A</v>
      </c>
      <c r="V18" s="113" t="e">
        <f>NA()</f>
        <v>#N/A</v>
      </c>
      <c r="W18" s="113" t="e">
        <f>NA()</f>
        <v>#N/A</v>
      </c>
      <c r="X18" s="113" t="e">
        <f>NA()</f>
        <v>#N/A</v>
      </c>
      <c r="Y18" s="113" t="e">
        <f>NA()</f>
        <v>#N/A</v>
      </c>
      <c r="Z18" s="113" t="e">
        <f>NA()</f>
        <v>#N/A</v>
      </c>
      <c r="AA18" s="113">
        <f>AVERAGE($AA$15:$AE$15)</f>
        <v>72.124538284513534</v>
      </c>
      <c r="AB18" s="113">
        <f>AVERAGE($AA$15:$AE$15)</f>
        <v>72.124538284513534</v>
      </c>
      <c r="AC18" s="113">
        <f>AVERAGE($AA$15:$AE$15)</f>
        <v>72.124538284513534</v>
      </c>
      <c r="AD18" s="113">
        <f>AVERAGE($AA$15:$AE$15)</f>
        <v>72.124538284513534</v>
      </c>
      <c r="AE18" s="113">
        <f>AVERAGE($AA$15:$AE$15)</f>
        <v>72.124538284513534</v>
      </c>
    </row>
    <row r="19" spans="2:31" ht="12.6" customHeight="1" x14ac:dyDescent="0.35">
      <c r="B19" s="109"/>
      <c r="C19" s="109"/>
      <c r="D19" s="109"/>
      <c r="E19" s="109"/>
      <c r="F19" s="109"/>
      <c r="G19" s="109"/>
      <c r="H19" s="109"/>
      <c r="I19" s="109"/>
      <c r="J19" s="109"/>
      <c r="K19" s="109"/>
      <c r="L19" s="109"/>
      <c r="M19" s="109"/>
    </row>
    <row r="20" spans="2:31" ht="12.6" customHeight="1" x14ac:dyDescent="0.35">
      <c r="B20" s="109"/>
      <c r="C20" s="109"/>
      <c r="D20" s="109"/>
      <c r="E20" s="109"/>
      <c r="F20" s="109"/>
      <c r="G20" s="109"/>
      <c r="H20" s="109"/>
      <c r="I20" s="109"/>
      <c r="J20" s="109"/>
      <c r="K20" s="109"/>
      <c r="L20" s="109"/>
      <c r="M20" s="109"/>
      <c r="O20" s="112" t="s">
        <v>184</v>
      </c>
      <c r="P20" s="112" t="str">
        <f>B6</f>
        <v>Opex Summary</v>
      </c>
    </row>
    <row r="21" spans="2:31" ht="12.6" customHeight="1" x14ac:dyDescent="0.35">
      <c r="B21" s="109"/>
      <c r="C21" s="109"/>
      <c r="D21" s="109"/>
      <c r="E21" s="109"/>
      <c r="F21" s="109"/>
      <c r="G21" s="109"/>
      <c r="H21" s="109"/>
      <c r="I21" s="109"/>
      <c r="J21" s="109"/>
      <c r="K21" s="109"/>
      <c r="L21" s="109"/>
      <c r="M21" s="109"/>
      <c r="O21" s="112" t="s">
        <v>162</v>
      </c>
      <c r="P21" s="112" t="str">
        <f>Nominal</f>
        <v>Nominal</v>
      </c>
    </row>
    <row r="22" spans="2:31" ht="12.6" customHeight="1" x14ac:dyDescent="0.35">
      <c r="B22" s="109"/>
      <c r="C22" s="109"/>
      <c r="D22" s="109"/>
      <c r="E22" s="109"/>
      <c r="F22" s="109"/>
      <c r="G22" s="109"/>
      <c r="H22" s="109"/>
      <c r="I22" s="109"/>
      <c r="J22" s="109"/>
      <c r="K22" s="109"/>
      <c r="L22" s="109"/>
      <c r="M22" s="109"/>
      <c r="O22" s="112" t="s">
        <v>185</v>
      </c>
      <c r="P22" s="112" t="str">
        <f>Millions</f>
        <v>$Millions</v>
      </c>
    </row>
    <row r="23" spans="2:31" ht="12.6" customHeight="1" x14ac:dyDescent="0.35">
      <c r="B23" s="109"/>
      <c r="C23" s="109"/>
      <c r="D23" s="109"/>
      <c r="E23" s="109"/>
      <c r="F23" s="109"/>
      <c r="G23" s="109"/>
      <c r="H23" s="109"/>
      <c r="I23" s="109"/>
      <c r="J23" s="109"/>
      <c r="K23" s="109"/>
      <c r="L23" s="109"/>
      <c r="M23" s="109"/>
      <c r="O23" s="112" t="s">
        <v>186</v>
      </c>
      <c r="P23" s="112" t="str">
        <f>P20&amp;" ("&amp;P21&amp;", "&amp;P22&amp;")"</f>
        <v>Opex Summary (Nominal, $Millions)</v>
      </c>
    </row>
    <row r="24" spans="2:31" ht="12.6" customHeight="1" x14ac:dyDescent="0.35">
      <c r="B24" s="109"/>
      <c r="C24" s="109"/>
      <c r="D24" s="109"/>
      <c r="E24" s="109"/>
      <c r="F24" s="109"/>
      <c r="G24" s="109"/>
      <c r="H24" s="109"/>
      <c r="I24" s="109"/>
      <c r="J24" s="109"/>
      <c r="K24" s="109"/>
      <c r="L24" s="109"/>
      <c r="M24" s="109"/>
    </row>
    <row r="25" spans="2:31" ht="12.6" customHeight="1" x14ac:dyDescent="0.35">
      <c r="B25" s="109"/>
      <c r="C25" s="109"/>
      <c r="D25" s="109"/>
      <c r="E25" s="109"/>
      <c r="F25" s="109"/>
      <c r="G25" s="109"/>
      <c r="H25" s="109"/>
      <c r="I25" s="109"/>
      <c r="J25" s="109"/>
      <c r="K25" s="109"/>
      <c r="L25" s="109"/>
      <c r="M25" s="109"/>
      <c r="O25" s="110" t="str">
        <f>O$10</f>
        <v>Period</v>
      </c>
      <c r="P25" s="111" t="str">
        <f t="shared" ref="P25:AE25" si="2">P$10</f>
        <v>RY09</v>
      </c>
      <c r="Q25" s="111" t="str">
        <f t="shared" si="2"/>
        <v>RY10</v>
      </c>
      <c r="R25" s="111" t="str">
        <f t="shared" si="2"/>
        <v>RY11</v>
      </c>
      <c r="S25" s="111" t="str">
        <f t="shared" si="2"/>
        <v>RY12</v>
      </c>
      <c r="T25" s="111" t="str">
        <f t="shared" si="2"/>
        <v>RY13</v>
      </c>
      <c r="U25" s="111" t="str">
        <f t="shared" si="2"/>
        <v>RY14</v>
      </c>
      <c r="V25" s="111" t="str">
        <f t="shared" si="2"/>
        <v>RY15</v>
      </c>
      <c r="W25" s="111" t="str">
        <f t="shared" si="2"/>
        <v>RY16</v>
      </c>
      <c r="X25" s="111" t="str">
        <f t="shared" si="2"/>
        <v>RY17</v>
      </c>
      <c r="Y25" s="111" t="str">
        <f t="shared" si="2"/>
        <v>RY18</v>
      </c>
      <c r="Z25" s="111" t="str">
        <f t="shared" si="2"/>
        <v>RY19</v>
      </c>
      <c r="AA25" s="111" t="str">
        <f t="shared" si="2"/>
        <v>RY20</v>
      </c>
      <c r="AB25" s="111" t="str">
        <f t="shared" si="2"/>
        <v>RY21</v>
      </c>
      <c r="AC25" s="111" t="str">
        <f t="shared" si="2"/>
        <v>RY22</v>
      </c>
      <c r="AD25" s="111" t="str">
        <f t="shared" si="2"/>
        <v>RY23</v>
      </c>
      <c r="AE25" s="111" t="str">
        <f t="shared" si="2"/>
        <v>RY24</v>
      </c>
    </row>
    <row r="26" spans="2:31" ht="12.6" customHeight="1" x14ac:dyDescent="0.35">
      <c r="B26" s="109"/>
      <c r="C26" s="109"/>
      <c r="D26" s="109"/>
      <c r="E26" s="109"/>
      <c r="F26" s="109"/>
      <c r="G26" s="109"/>
      <c r="H26" s="109"/>
      <c r="I26" s="109"/>
      <c r="J26" s="109"/>
      <c r="K26" s="109"/>
      <c r="L26" s="109"/>
      <c r="M26" s="109"/>
      <c r="O26" s="112" t="s">
        <v>227</v>
      </c>
      <c r="P26" s="113" t="e">
        <f>NA()</f>
        <v>#N/A</v>
      </c>
      <c r="Q26" s="113" t="e">
        <f>NA()</f>
        <v>#N/A</v>
      </c>
      <c r="R26" s="113" t="e">
        <f>NA()</f>
        <v>#N/A</v>
      </c>
      <c r="S26" s="113" t="e">
        <f>NA()</f>
        <v>#N/A</v>
      </c>
      <c r="T26" s="113" t="e">
        <f>NA()</f>
        <v>#N/A</v>
      </c>
      <c r="U26" s="113" t="e">
        <f>NA()</f>
        <v>#N/A</v>
      </c>
      <c r="V26" s="131">
        <v>74.701954909066416</v>
      </c>
      <c r="W26" s="131">
        <v>80.391768098743199</v>
      </c>
      <c r="X26" s="131">
        <v>67.344648789569973</v>
      </c>
      <c r="Y26" s="113">
        <f>Y51*Input_Inflation!S$39</f>
        <v>73.39540570234206</v>
      </c>
      <c r="Z26" s="113">
        <f>Z51*Input_Inflation!T$39</f>
        <v>74.955001926459616</v>
      </c>
    </row>
    <row r="27" spans="2:31" ht="12.6" customHeight="1" x14ac:dyDescent="0.35">
      <c r="B27" s="109"/>
      <c r="C27" s="109"/>
      <c r="D27" s="109"/>
      <c r="E27" s="109"/>
      <c r="F27" s="109"/>
      <c r="G27" s="109"/>
      <c r="H27" s="109"/>
      <c r="I27" s="109"/>
      <c r="J27" s="109"/>
      <c r="K27" s="109"/>
      <c r="L27" s="109"/>
      <c r="M27" s="109"/>
      <c r="O27" s="112" t="s">
        <v>228</v>
      </c>
      <c r="P27" s="113" t="e">
        <f>NA()</f>
        <v>#N/A</v>
      </c>
      <c r="Q27" s="113" t="e">
        <f>NA()</f>
        <v>#N/A</v>
      </c>
      <c r="R27" s="113" t="e">
        <f>NA()</f>
        <v>#N/A</v>
      </c>
      <c r="S27" s="113" t="e">
        <f>NA()</f>
        <v>#N/A</v>
      </c>
      <c r="T27" s="113" t="e">
        <f>NA()</f>
        <v>#N/A</v>
      </c>
      <c r="U27" s="113" t="e">
        <f>NA()</f>
        <v>#N/A</v>
      </c>
      <c r="V27" s="131">
        <v>4.2483179513140481</v>
      </c>
      <c r="W27" s="131">
        <v>5.2212246691229414</v>
      </c>
      <c r="X27" s="131">
        <v>4.3213499639409543</v>
      </c>
      <c r="Y27" s="113">
        <f>Y52*Input_Inflation!S$39</f>
        <v>4.7058782074735843</v>
      </c>
      <c r="Z27" s="113">
        <f>Z52*Input_Inflation!T$39</f>
        <v>4.8058745194130212</v>
      </c>
    </row>
    <row r="28" spans="2:31" ht="12.6" customHeight="1" x14ac:dyDescent="0.35">
      <c r="B28" s="109"/>
      <c r="C28" s="109"/>
      <c r="D28" s="109"/>
      <c r="E28" s="109"/>
      <c r="F28" s="109"/>
      <c r="G28" s="109"/>
      <c r="H28" s="109"/>
      <c r="I28" s="109"/>
      <c r="J28" s="109"/>
      <c r="K28" s="109"/>
      <c r="L28" s="109"/>
      <c r="M28" s="109"/>
      <c r="O28" s="112" t="s">
        <v>229</v>
      </c>
      <c r="P28" s="113" t="e">
        <f>NA()</f>
        <v>#N/A</v>
      </c>
      <c r="Q28" s="113" t="e">
        <f>NA()</f>
        <v>#N/A</v>
      </c>
      <c r="R28" s="113" t="e">
        <f>NA()</f>
        <v>#N/A</v>
      </c>
      <c r="S28" s="113" t="e">
        <f>NA()</f>
        <v>#N/A</v>
      </c>
      <c r="T28" s="113" t="e">
        <f>NA()</f>
        <v>#N/A</v>
      </c>
      <c r="U28" s="113" t="e">
        <f>NA()</f>
        <v>#N/A</v>
      </c>
      <c r="V28" s="113">
        <f>SUM(V26:V27)</f>
        <v>78.950272860380466</v>
      </c>
      <c r="W28" s="113">
        <f t="shared" ref="W28:Z28" si="3">SUM(W26:W27)</f>
        <v>85.612992767866146</v>
      </c>
      <c r="X28" s="113">
        <f t="shared" si="3"/>
        <v>71.665998753510934</v>
      </c>
      <c r="Y28" s="113">
        <f t="shared" si="3"/>
        <v>78.101283909815649</v>
      </c>
      <c r="Z28" s="113">
        <f t="shared" si="3"/>
        <v>79.76087644587264</v>
      </c>
    </row>
    <row r="29" spans="2:31" ht="12.6" customHeight="1" x14ac:dyDescent="0.35">
      <c r="B29" s="109"/>
      <c r="C29" s="109"/>
      <c r="D29" s="109"/>
      <c r="E29" s="109"/>
      <c r="F29" s="109"/>
      <c r="G29" s="109"/>
      <c r="H29" s="109"/>
      <c r="I29" s="109"/>
      <c r="J29" s="109"/>
      <c r="K29" s="109"/>
      <c r="L29" s="109"/>
      <c r="M29" s="109"/>
      <c r="Y29" s="113"/>
      <c r="Z29" s="113"/>
    </row>
    <row r="30" spans="2:31" ht="12.6" customHeight="1" x14ac:dyDescent="0.35">
      <c r="B30" s="109"/>
      <c r="C30" s="109"/>
      <c r="D30" s="109"/>
      <c r="E30" s="109"/>
      <c r="F30" s="109"/>
      <c r="G30" s="109"/>
      <c r="H30" s="109"/>
      <c r="I30" s="109"/>
      <c r="J30" s="109"/>
      <c r="K30" s="109"/>
      <c r="L30" s="109"/>
      <c r="M30" s="109"/>
      <c r="Y30" s="113"/>
      <c r="Z30" s="113"/>
    </row>
    <row r="31" spans="2:31" ht="12.3" x14ac:dyDescent="0.35">
      <c r="B31" s="109"/>
      <c r="C31" s="109"/>
      <c r="D31" s="109"/>
      <c r="E31" s="109"/>
      <c r="F31" s="109"/>
      <c r="G31" s="109"/>
      <c r="H31" s="109"/>
      <c r="I31" s="109"/>
      <c r="J31" s="109"/>
      <c r="K31" s="109"/>
      <c r="L31" s="109"/>
      <c r="M31" s="109"/>
      <c r="Y31" s="113"/>
      <c r="Z31" s="113"/>
    </row>
    <row r="32" spans="2:31" x14ac:dyDescent="0.35">
      <c r="B32" s="109"/>
      <c r="C32" s="109"/>
      <c r="D32" s="109"/>
      <c r="E32" s="109"/>
      <c r="F32" s="109"/>
      <c r="G32" s="109"/>
      <c r="H32" s="109"/>
      <c r="I32" s="109"/>
      <c r="J32" s="109"/>
      <c r="K32" s="109"/>
      <c r="L32" s="109"/>
      <c r="M32" s="109"/>
    </row>
    <row r="33" spans="2:35" s="162" customFormat="1" ht="14.4" x14ac:dyDescent="0.35">
      <c r="C33" s="162" t="str">
        <f>B6&amp;" - "&amp;P46</f>
        <v>Opex Summary - Real $2019</v>
      </c>
    </row>
    <row r="34" spans="2:35" x14ac:dyDescent="0.35">
      <c r="B34" s="109"/>
      <c r="C34" s="109"/>
      <c r="D34" s="109"/>
      <c r="E34" s="109"/>
      <c r="F34" s="109"/>
      <c r="G34" s="109"/>
      <c r="H34" s="109"/>
      <c r="I34" s="109"/>
      <c r="J34" s="109"/>
      <c r="K34" s="109"/>
      <c r="L34" s="109"/>
      <c r="M34" s="109"/>
      <c r="N34" s="109"/>
    </row>
    <row r="35" spans="2:35" ht="12.6" customHeight="1" x14ac:dyDescent="0.35">
      <c r="B35" s="109"/>
      <c r="C35" s="109"/>
      <c r="D35" s="109"/>
      <c r="E35" s="109"/>
      <c r="F35" s="109"/>
      <c r="G35" s="109"/>
      <c r="H35" s="109"/>
      <c r="I35" s="109"/>
      <c r="J35" s="109"/>
      <c r="K35" s="109"/>
      <c r="L35" s="109"/>
      <c r="M35" s="109"/>
      <c r="N35" s="109"/>
      <c r="O35" s="110" t="str">
        <f>O$10</f>
        <v>Period</v>
      </c>
      <c r="P35" s="111" t="str">
        <f t="shared" ref="P35:AE35" si="4">P$10</f>
        <v>RY09</v>
      </c>
      <c r="Q35" s="111" t="str">
        <f t="shared" si="4"/>
        <v>RY10</v>
      </c>
      <c r="R35" s="111" t="str">
        <f t="shared" si="4"/>
        <v>RY11</v>
      </c>
      <c r="S35" s="111" t="str">
        <f t="shared" si="4"/>
        <v>RY12</v>
      </c>
      <c r="T35" s="111" t="str">
        <f t="shared" si="4"/>
        <v>RY13</v>
      </c>
      <c r="U35" s="111" t="str">
        <f t="shared" si="4"/>
        <v>RY14</v>
      </c>
      <c r="V35" s="111" t="str">
        <f t="shared" si="4"/>
        <v>RY15</v>
      </c>
      <c r="W35" s="111" t="str">
        <f t="shared" si="4"/>
        <v>RY16</v>
      </c>
      <c r="X35" s="111" t="str">
        <f t="shared" si="4"/>
        <v>RY17</v>
      </c>
      <c r="Y35" s="111" t="str">
        <f t="shared" si="4"/>
        <v>RY18</v>
      </c>
      <c r="Z35" s="111" t="str">
        <f t="shared" si="4"/>
        <v>RY19</v>
      </c>
      <c r="AA35" s="111" t="str">
        <f t="shared" si="4"/>
        <v>RY20</v>
      </c>
      <c r="AB35" s="111" t="str">
        <f t="shared" si="4"/>
        <v>RY21</v>
      </c>
      <c r="AC35" s="111" t="str">
        <f t="shared" si="4"/>
        <v>RY22</v>
      </c>
      <c r="AD35" s="111" t="str">
        <f t="shared" si="4"/>
        <v>RY23</v>
      </c>
      <c r="AE35" s="111" t="str">
        <f t="shared" si="4"/>
        <v>RY24</v>
      </c>
    </row>
    <row r="36" spans="2:35" ht="12.6" customHeight="1" x14ac:dyDescent="0.35">
      <c r="B36" s="109"/>
      <c r="C36" s="109"/>
      <c r="D36" s="109"/>
      <c r="E36" s="109"/>
      <c r="F36" s="109"/>
      <c r="G36" s="109"/>
      <c r="H36" s="109"/>
      <c r="I36" s="109"/>
      <c r="J36" s="109"/>
      <c r="K36" s="109"/>
      <c r="L36" s="109"/>
      <c r="M36" s="109"/>
      <c r="N36" s="109"/>
      <c r="O36" s="112" t="str">
        <f>O11</f>
        <v>UC Allowance</v>
      </c>
      <c r="P36" s="113" t="e">
        <f>NA()</f>
        <v>#N/A</v>
      </c>
      <c r="Q36" s="113" t="e">
        <f>NA()</f>
        <v>#N/A</v>
      </c>
      <c r="R36" s="113" t="e">
        <f>NA()</f>
        <v>#N/A</v>
      </c>
      <c r="S36" s="113" t="e">
        <f>NA()</f>
        <v>#N/A</v>
      </c>
      <c r="T36" s="113" t="e">
        <f>NA()</f>
        <v>#N/A</v>
      </c>
      <c r="U36" s="113" t="e">
        <f>NA()</f>
        <v>#N/A</v>
      </c>
      <c r="V36" s="131">
        <v>103.17711806317809</v>
      </c>
      <c r="W36" s="131">
        <v>96.644677469302408</v>
      </c>
      <c r="X36" s="131">
        <v>92.900926305664427</v>
      </c>
      <c r="Y36" s="131">
        <v>85.398520331094829</v>
      </c>
      <c r="Z36" s="131">
        <v>77.814924514330201</v>
      </c>
      <c r="AA36" s="113" t="e">
        <f>NA()</f>
        <v>#N/A</v>
      </c>
      <c r="AB36" s="113" t="e">
        <f>NA()</f>
        <v>#N/A</v>
      </c>
      <c r="AC36" s="113" t="e">
        <f>NA()</f>
        <v>#N/A</v>
      </c>
      <c r="AD36" s="113" t="e">
        <f>NA()</f>
        <v>#N/A</v>
      </c>
      <c r="AE36" s="113" t="e">
        <f>NA()</f>
        <v>#N/A</v>
      </c>
      <c r="AH36" s="114" t="s">
        <v>234</v>
      </c>
      <c r="AI36" s="115">
        <f>'11'!L40</f>
        <v>0.03</v>
      </c>
    </row>
    <row r="37" spans="2:35" ht="12.6" customHeight="1" x14ac:dyDescent="0.35">
      <c r="B37" s="109"/>
      <c r="C37" s="109"/>
      <c r="D37" s="109"/>
      <c r="E37" s="109"/>
      <c r="F37" s="109"/>
      <c r="G37" s="109"/>
      <c r="H37" s="109"/>
      <c r="I37" s="109"/>
      <c r="J37" s="109"/>
      <c r="K37" s="109"/>
      <c r="L37" s="109"/>
      <c r="M37" s="109"/>
      <c r="N37" s="109"/>
      <c r="O37" s="112" t="str">
        <f t="shared" ref="O37:O39" si="5">O12</f>
        <v>UC/MD Allowance</v>
      </c>
      <c r="P37" s="113" t="e">
        <f>NA()</f>
        <v>#N/A</v>
      </c>
      <c r="Q37" s="113" t="e">
        <f>NA()</f>
        <v>#N/A</v>
      </c>
      <c r="R37" s="113" t="e">
        <f>NA()</f>
        <v>#N/A</v>
      </c>
      <c r="S37" s="113" t="e">
        <f>NA()</f>
        <v>#N/A</v>
      </c>
      <c r="T37" s="113" t="e">
        <f>NA()</f>
        <v>#N/A</v>
      </c>
      <c r="U37" s="113" t="e">
        <f>NA()</f>
        <v>#N/A</v>
      </c>
      <c r="V37" s="131">
        <f>[3]Input!G179*Input_Inflation!P47*(1-$AI$36)</f>
        <v>103.17711806317809</v>
      </c>
      <c r="W37" s="131">
        <f>[3]Input!H179*Input_Inflation!Q47*(1-$AI$36)</f>
        <v>96.644677469302408</v>
      </c>
      <c r="X37" s="131">
        <f>[3]Input!I179*Input_Inflation!R47*(1-$AI$36)</f>
        <v>92.900926305664427</v>
      </c>
      <c r="Y37" s="131">
        <f>[3]Input!J179*Input_Inflation!S47*(1-$AI$36)</f>
        <v>85.398520331094829</v>
      </c>
      <c r="Z37" s="131">
        <f>[3]Input!K179*Input_Inflation!T47*(1-$AI$36)</f>
        <v>77.814924514330201</v>
      </c>
      <c r="AA37" s="113" t="e">
        <f>NA()</f>
        <v>#N/A</v>
      </c>
      <c r="AB37" s="113" t="e">
        <f>NA()</f>
        <v>#N/A</v>
      </c>
      <c r="AC37" s="113" t="e">
        <f>NA()</f>
        <v>#N/A</v>
      </c>
      <c r="AD37" s="113" t="e">
        <f>NA()</f>
        <v>#N/A</v>
      </c>
      <c r="AE37" s="113" t="e">
        <f>NA()</f>
        <v>#N/A</v>
      </c>
    </row>
    <row r="38" spans="2:35" ht="12.6" customHeight="1" x14ac:dyDescent="0.35">
      <c r="B38" s="109"/>
      <c r="C38" s="109"/>
      <c r="D38" s="109"/>
      <c r="E38" s="109"/>
      <c r="F38" s="109"/>
      <c r="G38" s="109"/>
      <c r="H38" s="109"/>
      <c r="I38" s="109"/>
      <c r="J38" s="109"/>
      <c r="K38" s="109"/>
      <c r="L38" s="109"/>
      <c r="M38" s="109"/>
      <c r="N38" s="109"/>
    </row>
    <row r="39" spans="2:35" ht="12.6" customHeight="1" x14ac:dyDescent="0.35">
      <c r="B39" s="109"/>
      <c r="C39" s="109"/>
      <c r="D39" s="109"/>
      <c r="E39" s="109"/>
      <c r="F39" s="109"/>
      <c r="G39" s="109"/>
      <c r="H39" s="109"/>
      <c r="I39" s="109"/>
      <c r="J39" s="109"/>
      <c r="K39" s="109"/>
      <c r="L39" s="109"/>
      <c r="M39" s="109"/>
      <c r="N39" s="109"/>
      <c r="O39" s="112" t="str">
        <f t="shared" si="5"/>
        <v>Actuals</v>
      </c>
      <c r="P39" s="113" t="e">
        <f>NA()</f>
        <v>#N/A</v>
      </c>
      <c r="Q39" s="113" t="e">
        <f>NA()</f>
        <v>#N/A</v>
      </c>
      <c r="R39" s="113" t="e">
        <f>NA()</f>
        <v>#N/A</v>
      </c>
      <c r="S39" s="113" t="e">
        <f>NA()</f>
        <v>#N/A</v>
      </c>
      <c r="T39" s="113" t="e">
        <f>NA()</f>
        <v>#N/A</v>
      </c>
      <c r="U39" s="113" t="e">
        <f>NA()</f>
        <v>#N/A</v>
      </c>
      <c r="V39" s="113">
        <f>V26/Input_Inflation!P$39</f>
        <v>80.833403341474423</v>
      </c>
      <c r="W39" s="113">
        <f>W26/Input_Inflation!Q$39</f>
        <v>85.9020533380328</v>
      </c>
      <c r="X39" s="113">
        <f>X26/Input_Inflation!R$39</f>
        <v>70.912937930713994</v>
      </c>
      <c r="Y39" s="113">
        <f>Y51</f>
        <v>75.793555074662947</v>
      </c>
      <c r="Z39" s="113">
        <f>Z51</f>
        <v>75.793555074662947</v>
      </c>
      <c r="AA39" s="113" t="e">
        <f>NA()</f>
        <v>#N/A</v>
      </c>
      <c r="AB39" s="113" t="e">
        <f>NA()</f>
        <v>#N/A</v>
      </c>
      <c r="AC39" s="113" t="e">
        <f>NA()</f>
        <v>#N/A</v>
      </c>
      <c r="AD39" s="113" t="e">
        <f>NA()</f>
        <v>#N/A</v>
      </c>
      <c r="AE39" s="113" t="e">
        <f>NA()</f>
        <v>#N/A</v>
      </c>
    </row>
    <row r="40" spans="2:35" ht="12.6" customHeight="1" x14ac:dyDescent="0.35">
      <c r="B40" s="109"/>
      <c r="C40" s="109"/>
      <c r="D40" s="109"/>
      <c r="E40" s="109"/>
      <c r="F40" s="109"/>
      <c r="G40" s="109"/>
      <c r="H40" s="109"/>
      <c r="I40" s="109"/>
      <c r="J40" s="109"/>
      <c r="K40" s="109"/>
      <c r="L40" s="109"/>
      <c r="M40" s="109"/>
      <c r="N40" s="109"/>
      <c r="O40" s="112" t="str">
        <f>O15</f>
        <v>Forecast</v>
      </c>
      <c r="P40" s="113" t="e">
        <f>NA()</f>
        <v>#N/A</v>
      </c>
      <c r="Q40" s="113" t="e">
        <f>NA()</f>
        <v>#N/A</v>
      </c>
      <c r="R40" s="113" t="e">
        <f>NA()</f>
        <v>#N/A</v>
      </c>
      <c r="S40" s="113" t="e">
        <f>NA()</f>
        <v>#N/A</v>
      </c>
      <c r="T40" s="113" t="e">
        <f>NA()</f>
        <v>#N/A</v>
      </c>
      <c r="U40" s="113" t="e">
        <f>NA()</f>
        <v>#N/A</v>
      </c>
      <c r="V40" s="113" t="e">
        <f>NA()</f>
        <v>#N/A</v>
      </c>
      <c r="W40" s="113" t="e">
        <f>NA()</f>
        <v>#N/A</v>
      </c>
      <c r="X40" s="113" t="e">
        <f>NA()</f>
        <v>#N/A</v>
      </c>
      <c r="Y40" s="113" t="e">
        <f>NA()</f>
        <v>#N/A</v>
      </c>
      <c r="Z40" s="113" t="e">
        <f>NA()</f>
        <v>#N/A</v>
      </c>
      <c r="AA40" s="113">
        <f>AA51</f>
        <v>66.045886352030877</v>
      </c>
      <c r="AB40" s="113">
        <f t="shared" ref="AB40:AE40" si="6">AB51</f>
        <v>66.948958828524951</v>
      </c>
      <c r="AC40" s="113">
        <f t="shared" si="6"/>
        <v>67.954893904293939</v>
      </c>
      <c r="AD40" s="113">
        <f t="shared" si="6"/>
        <v>68.783794117626343</v>
      </c>
      <c r="AE40" s="113">
        <f t="shared" si="6"/>
        <v>69.517568954487444</v>
      </c>
    </row>
    <row r="41" spans="2:35" ht="12.6" customHeight="1" x14ac:dyDescent="0.35">
      <c r="B41" s="109"/>
      <c r="C41" s="109"/>
      <c r="D41" s="109"/>
      <c r="E41" s="109"/>
      <c r="F41" s="109"/>
      <c r="G41" s="109"/>
      <c r="H41" s="109"/>
      <c r="I41" s="109"/>
      <c r="J41" s="109"/>
      <c r="K41" s="109"/>
      <c r="L41" s="109"/>
      <c r="M41" s="109"/>
      <c r="N41" s="109"/>
      <c r="O41" s="112" t="str">
        <f>$O$16</f>
        <v>Avg: 10-14</v>
      </c>
      <c r="P41" s="113" t="e">
        <f>NA()</f>
        <v>#N/A</v>
      </c>
      <c r="Q41" s="113" t="e">
        <f>NA()</f>
        <v>#N/A</v>
      </c>
      <c r="R41" s="113" t="e">
        <f>NA()</f>
        <v>#N/A</v>
      </c>
      <c r="S41" s="113" t="e">
        <f>NA()</f>
        <v>#N/A</v>
      </c>
      <c r="T41" s="113" t="e">
        <f>NA()</f>
        <v>#N/A</v>
      </c>
      <c r="U41" s="113" t="e">
        <f>NA()</f>
        <v>#N/A</v>
      </c>
      <c r="V41" s="113" t="e">
        <f>NA()</f>
        <v>#N/A</v>
      </c>
      <c r="W41" s="113" t="e">
        <f>NA()</f>
        <v>#N/A</v>
      </c>
      <c r="X41" s="113" t="e">
        <f>NA()</f>
        <v>#N/A</v>
      </c>
      <c r="Y41" s="113" t="e">
        <f>NA()</f>
        <v>#N/A</v>
      </c>
      <c r="Z41" s="113" t="e">
        <f>NA()</f>
        <v>#N/A</v>
      </c>
      <c r="AA41" s="113" t="e">
        <f>NA()</f>
        <v>#N/A</v>
      </c>
      <c r="AB41" s="113" t="e">
        <f>NA()</f>
        <v>#N/A</v>
      </c>
      <c r="AC41" s="113" t="e">
        <f>NA()</f>
        <v>#N/A</v>
      </c>
      <c r="AD41" s="113" t="e">
        <f>NA()</f>
        <v>#N/A</v>
      </c>
      <c r="AE41" s="113" t="e">
        <f>NA()</f>
        <v>#N/A</v>
      </c>
    </row>
    <row r="42" spans="2:35" ht="12.6" customHeight="1" x14ac:dyDescent="0.35">
      <c r="B42" s="109"/>
      <c r="C42" s="109"/>
      <c r="D42" s="109"/>
      <c r="E42" s="109"/>
      <c r="F42" s="109"/>
      <c r="G42" s="109"/>
      <c r="H42" s="109"/>
      <c r="I42" s="109"/>
      <c r="J42" s="109"/>
      <c r="K42" s="109"/>
      <c r="L42" s="109"/>
      <c r="M42" s="109"/>
      <c r="N42" s="109"/>
      <c r="O42" s="112" t="str">
        <f>$O$17</f>
        <v>Avg: 15-19</v>
      </c>
      <c r="P42" s="113" t="e">
        <f>NA()</f>
        <v>#N/A</v>
      </c>
      <c r="Q42" s="113" t="e">
        <f>NA()</f>
        <v>#N/A</v>
      </c>
      <c r="R42" s="113" t="e">
        <f>NA()</f>
        <v>#N/A</v>
      </c>
      <c r="S42" s="113" t="e">
        <f>NA()</f>
        <v>#N/A</v>
      </c>
      <c r="T42" s="113" t="e">
        <f>NA()</f>
        <v>#N/A</v>
      </c>
      <c r="U42" s="113" t="e">
        <f>NA()</f>
        <v>#N/A</v>
      </c>
      <c r="V42" s="113">
        <f>AVERAGE($V$36:$Z$36)</f>
        <v>91.187233336713987</v>
      </c>
      <c r="W42" s="113">
        <f t="shared" ref="W42:Z42" si="7">AVERAGE($V$36:$Z$36)</f>
        <v>91.187233336713987</v>
      </c>
      <c r="X42" s="113">
        <f t="shared" si="7"/>
        <v>91.187233336713987</v>
      </c>
      <c r="Y42" s="113">
        <f t="shared" si="7"/>
        <v>91.187233336713987</v>
      </c>
      <c r="Z42" s="113">
        <f t="shared" si="7"/>
        <v>91.187233336713987</v>
      </c>
      <c r="AA42" s="113" t="e">
        <f>NA()</f>
        <v>#N/A</v>
      </c>
      <c r="AB42" s="113" t="e">
        <f>NA()</f>
        <v>#N/A</v>
      </c>
      <c r="AC42" s="113" t="e">
        <f>NA()</f>
        <v>#N/A</v>
      </c>
      <c r="AD42" s="113" t="e">
        <f>NA()</f>
        <v>#N/A</v>
      </c>
      <c r="AE42" s="113" t="e">
        <f>NA()</f>
        <v>#N/A</v>
      </c>
    </row>
    <row r="43" spans="2:35" ht="12.6" customHeight="1" x14ac:dyDescent="0.35">
      <c r="B43" s="109"/>
      <c r="C43" s="109"/>
      <c r="D43" s="109"/>
      <c r="E43" s="109"/>
      <c r="F43" s="109"/>
      <c r="G43" s="109"/>
      <c r="H43" s="109"/>
      <c r="I43" s="109"/>
      <c r="J43" s="109"/>
      <c r="K43" s="109"/>
      <c r="L43" s="109"/>
      <c r="M43" s="109"/>
      <c r="N43" s="109"/>
      <c r="O43" s="112" t="str">
        <f>$O$18</f>
        <v>Avg: 20-24</v>
      </c>
      <c r="P43" s="113" t="e">
        <f>NA()</f>
        <v>#N/A</v>
      </c>
      <c r="Q43" s="113" t="e">
        <f>NA()</f>
        <v>#N/A</v>
      </c>
      <c r="R43" s="113" t="e">
        <f>NA()</f>
        <v>#N/A</v>
      </c>
      <c r="S43" s="113" t="e">
        <f>NA()</f>
        <v>#N/A</v>
      </c>
      <c r="T43" s="113" t="e">
        <f>NA()</f>
        <v>#N/A</v>
      </c>
      <c r="U43" s="113" t="e">
        <f>NA()</f>
        <v>#N/A</v>
      </c>
      <c r="V43" s="113" t="e">
        <f>NA()</f>
        <v>#N/A</v>
      </c>
      <c r="W43" s="113" t="e">
        <f>NA()</f>
        <v>#N/A</v>
      </c>
      <c r="X43" s="113" t="e">
        <f>NA()</f>
        <v>#N/A</v>
      </c>
      <c r="Y43" s="113" t="e">
        <f>NA()</f>
        <v>#N/A</v>
      </c>
      <c r="Z43" s="113" t="e">
        <f>NA()</f>
        <v>#N/A</v>
      </c>
      <c r="AA43" s="113">
        <f>AVERAGE($AA$40:$AE$40)</f>
        <v>67.850220431392714</v>
      </c>
      <c r="AB43" s="113">
        <f>AVERAGE($AA$40:$AE$40)</f>
        <v>67.850220431392714</v>
      </c>
      <c r="AC43" s="113">
        <f>AVERAGE($AA$40:$AE$40)</f>
        <v>67.850220431392714</v>
      </c>
      <c r="AD43" s="113">
        <f>AVERAGE($AA$40:$AE$40)</f>
        <v>67.850220431392714</v>
      </c>
      <c r="AE43" s="113">
        <f>AVERAGE($AA$40:$AE$40)</f>
        <v>67.850220431392714</v>
      </c>
    </row>
    <row r="44" spans="2:35" ht="12.6" customHeight="1" x14ac:dyDescent="0.35">
      <c r="B44" s="109"/>
      <c r="C44" s="109"/>
      <c r="D44" s="109"/>
      <c r="E44" s="109"/>
      <c r="F44" s="109"/>
      <c r="G44" s="109"/>
      <c r="H44" s="109"/>
      <c r="I44" s="109"/>
      <c r="J44" s="109"/>
      <c r="K44" s="109"/>
      <c r="L44" s="109"/>
      <c r="M44" s="109"/>
      <c r="N44" s="109"/>
    </row>
    <row r="45" spans="2:35" ht="12.6" customHeight="1" x14ac:dyDescent="0.35">
      <c r="B45" s="109"/>
      <c r="C45" s="109"/>
      <c r="D45" s="109"/>
      <c r="E45" s="109"/>
      <c r="F45" s="109"/>
      <c r="G45" s="109"/>
      <c r="H45" s="109"/>
      <c r="I45" s="109"/>
      <c r="J45" s="109"/>
      <c r="K45" s="109"/>
      <c r="L45" s="109"/>
      <c r="M45" s="109"/>
      <c r="N45" s="109"/>
      <c r="O45" s="112" t="str">
        <f>$O$20</f>
        <v>Chart Name:</v>
      </c>
      <c r="P45" s="112" t="str">
        <f>B6</f>
        <v>Opex Summary</v>
      </c>
    </row>
    <row r="46" spans="2:35" ht="12.6" customHeight="1" x14ac:dyDescent="0.35">
      <c r="B46" s="109"/>
      <c r="C46" s="109"/>
      <c r="D46" s="109"/>
      <c r="E46" s="109"/>
      <c r="F46" s="109"/>
      <c r="G46" s="109"/>
      <c r="H46" s="109"/>
      <c r="I46" s="109"/>
      <c r="J46" s="109"/>
      <c r="K46" s="109"/>
      <c r="L46" s="109"/>
      <c r="M46" s="109"/>
      <c r="N46" s="109"/>
      <c r="O46" s="112" t="str">
        <f>$O$21</f>
        <v>Dollar Basis:</v>
      </c>
      <c r="P46" s="112" t="str">
        <f>Real2019</f>
        <v>Real $2019</v>
      </c>
    </row>
    <row r="47" spans="2:35" ht="12.6" customHeight="1" x14ac:dyDescent="0.35">
      <c r="B47" s="109"/>
      <c r="C47" s="109"/>
      <c r="D47" s="109"/>
      <c r="E47" s="109"/>
      <c r="F47" s="109"/>
      <c r="G47" s="109"/>
      <c r="H47" s="109"/>
      <c r="I47" s="109"/>
      <c r="J47" s="109"/>
      <c r="K47" s="109"/>
      <c r="L47" s="109"/>
      <c r="M47" s="109"/>
      <c r="N47" s="109"/>
      <c r="O47" s="112" t="str">
        <f>$O$22</f>
        <v>Units:</v>
      </c>
      <c r="P47" s="112" t="str">
        <f>Millions</f>
        <v>$Millions</v>
      </c>
    </row>
    <row r="48" spans="2:35" ht="12.6" customHeight="1" x14ac:dyDescent="0.35">
      <c r="B48" s="109"/>
      <c r="C48" s="109"/>
      <c r="D48" s="109"/>
      <c r="E48" s="109"/>
      <c r="F48" s="109"/>
      <c r="G48" s="109"/>
      <c r="H48" s="109"/>
      <c r="I48" s="109"/>
      <c r="J48" s="109"/>
      <c r="K48" s="109"/>
      <c r="L48" s="109"/>
      <c r="M48" s="109"/>
      <c r="N48" s="109"/>
      <c r="O48" s="112" t="str">
        <f>$O$23</f>
        <v>Full Chart Title:</v>
      </c>
      <c r="P48" s="112" t="str">
        <f>P45&amp;" ("&amp;P46&amp;", "&amp;P47&amp;")"</f>
        <v>Opex Summary (Real $2019, $Millions)</v>
      </c>
    </row>
    <row r="49" spans="2:31" ht="12.6" customHeight="1" x14ac:dyDescent="0.35">
      <c r="B49" s="109"/>
      <c r="C49" s="109"/>
      <c r="D49" s="109"/>
      <c r="E49" s="109"/>
      <c r="F49" s="109"/>
      <c r="G49" s="109"/>
      <c r="H49" s="109"/>
      <c r="I49" s="109"/>
      <c r="J49" s="109"/>
      <c r="K49" s="109"/>
      <c r="L49" s="109"/>
      <c r="M49" s="109"/>
      <c r="N49" s="109"/>
    </row>
    <row r="50" spans="2:31" ht="12.6" customHeight="1" x14ac:dyDescent="0.35">
      <c r="B50" s="109"/>
      <c r="C50" s="109"/>
      <c r="D50" s="109"/>
      <c r="E50" s="109"/>
      <c r="F50" s="109"/>
      <c r="G50" s="109"/>
      <c r="H50" s="109"/>
      <c r="I50" s="109"/>
      <c r="J50" s="109"/>
      <c r="K50" s="109"/>
      <c r="L50" s="109"/>
      <c r="M50" s="109"/>
      <c r="N50" s="109"/>
      <c r="O50" s="110" t="str">
        <f>O$10</f>
        <v>Period</v>
      </c>
      <c r="P50" s="111" t="str">
        <f t="shared" ref="P50:AE50" si="8">P$10</f>
        <v>RY09</v>
      </c>
      <c r="Q50" s="111" t="str">
        <f t="shared" si="8"/>
        <v>RY10</v>
      </c>
      <c r="R50" s="111" t="str">
        <f t="shared" si="8"/>
        <v>RY11</v>
      </c>
      <c r="S50" s="111" t="str">
        <f t="shared" si="8"/>
        <v>RY12</v>
      </c>
      <c r="T50" s="111" t="str">
        <f t="shared" si="8"/>
        <v>RY13</v>
      </c>
      <c r="U50" s="111" t="str">
        <f t="shared" si="8"/>
        <v>RY14</v>
      </c>
      <c r="V50" s="111" t="str">
        <f t="shared" si="8"/>
        <v>RY15</v>
      </c>
      <c r="W50" s="111" t="str">
        <f t="shared" si="8"/>
        <v>RY16</v>
      </c>
      <c r="X50" s="111" t="str">
        <f t="shared" si="8"/>
        <v>RY17</v>
      </c>
      <c r="Y50" s="111" t="str">
        <f t="shared" si="8"/>
        <v>RY18</v>
      </c>
      <c r="Z50" s="111" t="str">
        <f t="shared" si="8"/>
        <v>RY19</v>
      </c>
      <c r="AA50" s="111" t="str">
        <f t="shared" si="8"/>
        <v>RY20</v>
      </c>
      <c r="AB50" s="111" t="str">
        <f t="shared" si="8"/>
        <v>RY21</v>
      </c>
      <c r="AC50" s="111" t="str">
        <f t="shared" si="8"/>
        <v>RY22</v>
      </c>
      <c r="AD50" s="111" t="str">
        <f t="shared" si="8"/>
        <v>RY23</v>
      </c>
      <c r="AE50" s="111" t="str">
        <f t="shared" si="8"/>
        <v>RY24</v>
      </c>
    </row>
    <row r="51" spans="2:31" ht="12.6" customHeight="1" x14ac:dyDescent="0.35">
      <c r="B51" s="109"/>
      <c r="C51" s="109"/>
      <c r="D51" s="109"/>
      <c r="E51" s="109"/>
      <c r="F51" s="109"/>
      <c r="G51" s="109"/>
      <c r="H51" s="109"/>
      <c r="I51" s="109"/>
      <c r="J51" s="109"/>
      <c r="K51" s="109"/>
      <c r="L51" s="109"/>
      <c r="M51" s="109"/>
      <c r="N51" s="109"/>
      <c r="O51" s="112" t="s">
        <v>222</v>
      </c>
      <c r="Y51" s="131">
        <f>'[5]Calc|Opex forecast'!M$69</f>
        <v>75.793555074662947</v>
      </c>
      <c r="Z51" s="131">
        <f>'[5]Calc|Opex forecast'!N$69</f>
        <v>75.793555074662947</v>
      </c>
      <c r="AA51" s="131">
        <f>'[2]Revenue summary'!G32</f>
        <v>66.045886352030877</v>
      </c>
      <c r="AB51" s="131">
        <f>'[2]Revenue summary'!H32</f>
        <v>66.948958828524951</v>
      </c>
      <c r="AC51" s="131">
        <f>'[2]Revenue summary'!I32</f>
        <v>67.954893904293939</v>
      </c>
      <c r="AD51" s="131">
        <f>'[2]Revenue summary'!J32</f>
        <v>68.783794117626343</v>
      </c>
      <c r="AE51" s="131">
        <f>'[2]Revenue summary'!K32</f>
        <v>69.517568954487444</v>
      </c>
    </row>
    <row r="52" spans="2:31" ht="12.6" customHeight="1" x14ac:dyDescent="0.35">
      <c r="B52" s="109"/>
      <c r="C52" s="109"/>
      <c r="D52" s="109"/>
      <c r="E52" s="109"/>
      <c r="F52" s="109"/>
      <c r="G52" s="109"/>
      <c r="H52" s="109"/>
      <c r="I52" s="109"/>
      <c r="J52" s="109"/>
      <c r="K52" s="109"/>
      <c r="L52" s="109"/>
      <c r="M52" s="109"/>
      <c r="N52" s="109"/>
      <c r="O52" s="112" t="s">
        <v>223</v>
      </c>
      <c r="Y52" s="131">
        <f>'[6]Calc|Opex forecast'!M$69</f>
        <v>4.8596398600113426</v>
      </c>
      <c r="Z52" s="131">
        <f>'[6]Calc|Opex forecast'!N$69</f>
        <v>4.8596398600113426</v>
      </c>
      <c r="AA52" s="131">
        <f>'[7]Revenue summary'!G32</f>
        <v>4.9862840639356971</v>
      </c>
      <c r="AB52" s="131">
        <f>'[7]Revenue summary'!H32</f>
        <v>4.9211243284979282</v>
      </c>
      <c r="AC52" s="131">
        <f>'[7]Revenue summary'!I32</f>
        <v>4.8577657152631089</v>
      </c>
      <c r="AD52" s="131">
        <f>'[7]Revenue summary'!J32</f>
        <v>4.7841373734728982</v>
      </c>
      <c r="AE52" s="131">
        <f>'[7]Revenue summary'!K32</f>
        <v>4.7127700259164866</v>
      </c>
    </row>
    <row r="53" spans="2:31" ht="12.6" customHeight="1" x14ac:dyDescent="0.35">
      <c r="B53" s="109"/>
      <c r="C53" s="109"/>
      <c r="D53" s="109"/>
      <c r="E53" s="109"/>
      <c r="F53" s="109"/>
      <c r="G53" s="109"/>
      <c r="H53" s="109"/>
      <c r="I53" s="109"/>
      <c r="J53" s="109"/>
      <c r="K53" s="109"/>
      <c r="L53" s="109"/>
      <c r="M53" s="109"/>
      <c r="N53" s="109"/>
      <c r="O53" s="112" t="s">
        <v>158</v>
      </c>
      <c r="P53" s="113" t="e">
        <f>NA()</f>
        <v>#N/A</v>
      </c>
      <c r="Q53" s="113" t="e">
        <f>NA()</f>
        <v>#N/A</v>
      </c>
      <c r="R53" s="113" t="e">
        <f>NA()</f>
        <v>#N/A</v>
      </c>
      <c r="S53" s="113" t="e">
        <f>NA()</f>
        <v>#N/A</v>
      </c>
      <c r="T53" s="113" t="e">
        <f>NA()</f>
        <v>#N/A</v>
      </c>
      <c r="U53" s="113" t="e">
        <f>NA()</f>
        <v>#N/A</v>
      </c>
      <c r="V53" s="113" t="e">
        <f>NA()</f>
        <v>#N/A</v>
      </c>
      <c r="W53" s="113" t="e">
        <f>NA()</f>
        <v>#N/A</v>
      </c>
      <c r="X53" s="131">
        <f>Y53</f>
        <v>12.694556865798416</v>
      </c>
      <c r="Y53" s="131">
        <f>'[4]Capitalised OH'!H32*(1+'[4]Total by category'!$I$22)</f>
        <v>12.694556865798416</v>
      </c>
      <c r="Z53" s="131">
        <f>'[4]Capitalised OH'!I32*(1+'[4]Total by category'!$I$22)</f>
        <v>12.857796817934315</v>
      </c>
      <c r="AA53" s="131">
        <f>'[4]Capitalised OH'!J32*(1+'[4]Total by category'!$I$22)</f>
        <v>13.012869520178294</v>
      </c>
      <c r="AB53" s="131">
        <f>'[4]Capitalised OH'!K32*(1+'[4]Total by category'!$I$22)</f>
        <v>13.191144558700126</v>
      </c>
      <c r="AC53" s="131">
        <f>'[4]Capitalised OH'!L32*(1+'[4]Total by category'!$I$22)</f>
        <v>13.393456838449177</v>
      </c>
      <c r="AD53" s="131">
        <f>'[4]Capitalised OH'!M32*(1+'[4]Total by category'!$I$22)</f>
        <v>13.557488562506315</v>
      </c>
      <c r="AE53" s="131">
        <f>'[4]Capitalised OH'!N32*(1+'[4]Total by category'!$I$22)</f>
        <v>13.705951532618363</v>
      </c>
    </row>
    <row r="54" spans="2:31" ht="12.6" customHeight="1" x14ac:dyDescent="0.35">
      <c r="B54" s="109"/>
      <c r="C54" s="109"/>
      <c r="D54" s="109"/>
      <c r="E54" s="109"/>
      <c r="F54" s="109"/>
      <c r="G54" s="109"/>
      <c r="H54" s="109"/>
      <c r="I54" s="109"/>
      <c r="J54" s="109"/>
      <c r="K54" s="109"/>
      <c r="L54" s="109"/>
      <c r="M54" s="109"/>
      <c r="N54" s="109"/>
    </row>
    <row r="55" spans="2:31" ht="12.6" customHeight="1" x14ac:dyDescent="0.35">
      <c r="B55" s="109"/>
      <c r="C55" s="109"/>
      <c r="D55" s="109"/>
      <c r="E55" s="109"/>
      <c r="F55" s="109"/>
      <c r="G55" s="109"/>
      <c r="H55" s="109"/>
      <c r="I55" s="109"/>
      <c r="J55" s="109"/>
      <c r="K55" s="109"/>
      <c r="L55" s="109"/>
      <c r="M55" s="109"/>
      <c r="N55" s="109"/>
    </row>
    <row r="56" spans="2:31" x14ac:dyDescent="0.35">
      <c r="B56" s="109"/>
      <c r="C56" s="109"/>
      <c r="D56" s="109"/>
      <c r="E56" s="109"/>
      <c r="F56" s="109"/>
      <c r="G56" s="109"/>
      <c r="H56" s="109"/>
      <c r="I56" s="109"/>
      <c r="J56" s="109"/>
      <c r="K56" s="109"/>
      <c r="L56" s="109"/>
      <c r="M56" s="109"/>
      <c r="N56" s="109"/>
    </row>
    <row r="57" spans="2:31" s="139" customFormat="1" ht="12.9" x14ac:dyDescent="0.35">
      <c r="B57" s="139" t="s">
        <v>32</v>
      </c>
    </row>
  </sheetData>
  <conditionalFormatting sqref="B2">
    <cfRule type="cellIs" dxfId="44" priority="1" operator="notEqual">
      <formula>"No Errors Found"</formula>
    </cfRule>
  </conditionalFormatting>
  <hyperlinks>
    <hyperlink ref="B3:D3" location="Cover!A1" display="Go to Cover Shee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2A3D6F"/>
  </sheetPr>
  <dimension ref="A1:S43"/>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0" defaultRowHeight="12.9" zeroHeight="1" x14ac:dyDescent="0.5"/>
  <cols>
    <col min="1" max="3" width="4.1328125" style="137" customWidth="1"/>
    <col min="4" max="4" width="35.796875" style="137" customWidth="1"/>
    <col min="5" max="10" width="10.1328125" style="137" customWidth="1"/>
    <col min="11" max="14" width="12.33203125" style="137" customWidth="1"/>
    <col min="15" max="19" width="12.33203125" style="137" hidden="1" customWidth="1"/>
    <col min="20" max="16384" width="9.1328125" style="137" hidden="1"/>
  </cols>
  <sheetData>
    <row r="1" spans="2:2" ht="20.399999999999999" x14ac:dyDescent="0.5">
      <c r="B1" s="136" t="s">
        <v>377</v>
      </c>
    </row>
    <row r="2" spans="2:2" x14ac:dyDescent="0.5"/>
    <row r="3" spans="2:2" x14ac:dyDescent="0.5">
      <c r="B3" s="138" t="str">
        <f>Cover!$B$3</f>
        <v>Power and Water Corporation (PWC) - Regulatory Proposal Tables and Charts</v>
      </c>
    </row>
    <row r="4" spans="2:2" x14ac:dyDescent="0.5"/>
    <row r="5" spans="2:2" x14ac:dyDescent="0.5"/>
    <row r="6" spans="2:2" x14ac:dyDescent="0.5"/>
    <row r="7" spans="2:2" x14ac:dyDescent="0.5"/>
    <row r="8" spans="2:2" x14ac:dyDescent="0.5"/>
    <row r="9" spans="2:2" x14ac:dyDescent="0.5"/>
    <row r="10" spans="2:2" x14ac:dyDescent="0.5"/>
    <row r="11" spans="2:2" x14ac:dyDescent="0.5"/>
    <row r="12" spans="2:2" x14ac:dyDescent="0.5"/>
    <row r="13" spans="2:2" x14ac:dyDescent="0.5"/>
    <row r="14" spans="2:2" x14ac:dyDescent="0.5"/>
    <row r="15" spans="2:2" x14ac:dyDescent="0.5"/>
    <row r="16" spans="2:2" x14ac:dyDescent="0.5"/>
    <row r="17" x14ac:dyDescent="0.5"/>
    <row r="18" x14ac:dyDescent="0.5"/>
    <row r="19" x14ac:dyDescent="0.5"/>
    <row r="20" x14ac:dyDescent="0.5"/>
    <row r="21" x14ac:dyDescent="0.5"/>
    <row r="22" x14ac:dyDescent="0.5"/>
    <row r="23" x14ac:dyDescent="0.5"/>
    <row r="24" x14ac:dyDescent="0.5"/>
    <row r="25" hidden="1" x14ac:dyDescent="0.5"/>
    <row r="26" hidden="1" x14ac:dyDescent="0.5"/>
    <row r="27" hidden="1" x14ac:dyDescent="0.5"/>
    <row r="28" hidden="1" x14ac:dyDescent="0.5"/>
    <row r="29" hidden="1" x14ac:dyDescent="0.5"/>
    <row r="30" hidden="1" x14ac:dyDescent="0.5"/>
    <row r="31" hidden="1" x14ac:dyDescent="0.5"/>
    <row r="32" hidden="1" x14ac:dyDescent="0.5"/>
    <row r="33" hidden="1" x14ac:dyDescent="0.5"/>
    <row r="34" hidden="1" x14ac:dyDescent="0.5"/>
    <row r="35" hidden="1" x14ac:dyDescent="0.5"/>
    <row r="36" hidden="1" x14ac:dyDescent="0.5"/>
    <row r="37" hidden="1" x14ac:dyDescent="0.5"/>
    <row r="38" hidden="1" x14ac:dyDescent="0.5"/>
    <row r="39" hidden="1" x14ac:dyDescent="0.5"/>
    <row r="40" hidden="1" x14ac:dyDescent="0.5"/>
    <row r="41" hidden="1" x14ac:dyDescent="0.5"/>
    <row r="42" hidden="1" x14ac:dyDescent="0.5"/>
    <row r="43" hidden="1" x14ac:dyDescent="0.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J47"/>
  <sheetViews>
    <sheetView showGridLines="0" workbookViewId="0">
      <pane xSplit="1" ySplit="4" topLeftCell="B5" activePane="bottomRight" state="frozen"/>
      <selection activeCell="F202" sqref="F202"/>
      <selection pane="topRight" activeCell="F202" sqref="F202"/>
      <selection pane="bottomLeft" activeCell="F202" sqref="F202"/>
      <selection pane="bottomRight" activeCell="B5" sqref="B5"/>
    </sheetView>
  </sheetViews>
  <sheetFormatPr defaultColWidth="9.1328125" defaultRowHeight="12.9" x14ac:dyDescent="0.5"/>
  <cols>
    <col min="1" max="3" width="4.1328125" style="137" customWidth="1"/>
    <col min="4" max="4" width="35.796875" style="137" customWidth="1"/>
    <col min="5" max="10" width="10.1328125" style="137" customWidth="1"/>
    <col min="11" max="19" width="12.33203125" style="137" customWidth="1"/>
    <col min="20" max="16384" width="9.1328125" style="137"/>
  </cols>
  <sheetData>
    <row r="1" spans="1:10" ht="20.399999999999999" x14ac:dyDescent="0.5">
      <c r="A1" s="65">
        <f>IF(SUM($A27:$A38)&gt;0,1,0)</f>
        <v>0</v>
      </c>
      <c r="B1" s="136" t="s">
        <v>235</v>
      </c>
    </row>
    <row r="2" spans="1:10" s="104" customFormat="1" ht="10.199999999999999" x14ac:dyDescent="0.35">
      <c r="B2" s="105" t="str">
        <f>Title_Msg</f>
        <v>No Errors Found</v>
      </c>
    </row>
    <row r="3" spans="1:10" s="104" customFormat="1" ht="12.3" x14ac:dyDescent="0.35">
      <c r="B3" s="106" t="s">
        <v>51</v>
      </c>
      <c r="C3" s="106"/>
      <c r="D3" s="106"/>
      <c r="E3" s="107"/>
    </row>
    <row r="4" spans="1:10" s="104" customFormat="1" ht="12.3" x14ac:dyDescent="0.35">
      <c r="B4" s="108" t="str">
        <f>Model_Name</f>
        <v>Power and Water Corporation (PWC) - Regulatory Proposal Tables and Charts</v>
      </c>
    </row>
    <row r="6" spans="1:10" s="139" customFormat="1" x14ac:dyDescent="0.35">
      <c r="B6" s="139" t="s">
        <v>839</v>
      </c>
    </row>
    <row r="7" spans="1:10" ht="13.2" thickBot="1" x14ac:dyDescent="0.55000000000000004"/>
    <row r="8" spans="1:10" ht="13.2" thickBot="1" x14ac:dyDescent="0.55000000000000004">
      <c r="D8" s="146" t="str">
        <f>'17'!D8</f>
        <v>$M, Nominal</v>
      </c>
      <c r="E8" s="280" t="str">
        <f>'17'!E8</f>
        <v>2019-20</v>
      </c>
      <c r="F8" s="280" t="str">
        <f>'17'!F8</f>
        <v>2020-21</v>
      </c>
      <c r="G8" s="280" t="str">
        <f>'17'!G8</f>
        <v>2021-22</v>
      </c>
      <c r="H8" s="280" t="str">
        <f>'17'!H8</f>
        <v>2022-23</v>
      </c>
      <c r="I8" s="280" t="str">
        <f>'17'!I8</f>
        <v>2023-24</v>
      </c>
      <c r="J8" s="280" t="str">
        <f>'17'!J8</f>
        <v>Total</v>
      </c>
    </row>
    <row r="9" spans="1:10" ht="13.8" thickBot="1" x14ac:dyDescent="0.55000000000000004">
      <c r="D9" s="142" t="str">
        <f>'17'!D9</f>
        <v>Return on capital</v>
      </c>
      <c r="E9" s="178">
        <f>'17'!E9</f>
        <v>64.469104013924394</v>
      </c>
      <c r="F9" s="178">
        <f>'17'!F9</f>
        <v>69.428642857447613</v>
      </c>
      <c r="G9" s="178">
        <f>'17'!G9</f>
        <v>72.616076482575622</v>
      </c>
      <c r="H9" s="178">
        <f>'17'!H9</f>
        <v>77.399981559803237</v>
      </c>
      <c r="I9" s="178">
        <f>'17'!I9</f>
        <v>79.765849946684853</v>
      </c>
      <c r="J9" s="178">
        <f>'17'!J9</f>
        <v>363.67965486043573</v>
      </c>
    </row>
    <row r="10" spans="1:10" ht="13.8" thickBot="1" x14ac:dyDescent="0.55000000000000004">
      <c r="D10" s="142" t="str">
        <f>'17'!D10</f>
        <v xml:space="preserve">Regulatory depreciation </v>
      </c>
      <c r="E10" s="178">
        <f>'17'!E10</f>
        <v>24.608743790271976</v>
      </c>
      <c r="F10" s="178">
        <f>'17'!F10</f>
        <v>29.426830583361696</v>
      </c>
      <c r="G10" s="178">
        <f>'17'!G10</f>
        <v>31.490365602000853</v>
      </c>
      <c r="H10" s="178">
        <f>'17'!H10</f>
        <v>35.804812873263941</v>
      </c>
      <c r="I10" s="178">
        <f>'17'!I10</f>
        <v>39.679687277210554</v>
      </c>
      <c r="J10" s="178">
        <f>'17'!J10</f>
        <v>161.01044012610902</v>
      </c>
    </row>
    <row r="11" spans="1:10" ht="13.8" thickBot="1" x14ac:dyDescent="0.55000000000000004">
      <c r="D11" s="142" t="str">
        <f>'17'!D11</f>
        <v>Opex (including Debt Raising)</v>
      </c>
      <c r="E11" s="178">
        <f>'17'!E11</f>
        <v>67.647416312528719</v>
      </c>
      <c r="F11" s="178">
        <f>'17'!F11</f>
        <v>70.235181603069961</v>
      </c>
      <c r="G11" s="178">
        <f>'17'!G11</f>
        <v>73.019198609943757</v>
      </c>
      <c r="H11" s="178">
        <f>'17'!H11</f>
        <v>75.702093960239722</v>
      </c>
      <c r="I11" s="178">
        <f>'17'!I11</f>
        <v>78.364935796174407</v>
      </c>
      <c r="J11" s="178">
        <f>'17'!J11</f>
        <v>364.96882628195658</v>
      </c>
    </row>
    <row r="12" spans="1:10" ht="13.8" thickBot="1" x14ac:dyDescent="0.55000000000000004">
      <c r="D12" s="142" t="s">
        <v>1004</v>
      </c>
      <c r="E12" s="178">
        <f>'17'!E12</f>
        <v>6.8176410127145842E-2</v>
      </c>
      <c r="F12" s="178">
        <f>'17'!F12</f>
        <v>7.5878342662796888E-2</v>
      </c>
      <c r="G12" s="178">
        <f>'17'!G12</f>
        <v>8.0118481645443593E-2</v>
      </c>
      <c r="H12" s="178">
        <f>'17'!H12</f>
        <v>8.7164301497993396E-2</v>
      </c>
      <c r="I12" s="178">
        <f>'17'!I12</f>
        <v>9.2579370796209912E-2</v>
      </c>
      <c r="J12" s="178">
        <f>'17'!J12</f>
        <v>0.40391690672958969</v>
      </c>
    </row>
    <row r="13" spans="1:10" ht="13.8" thickBot="1" x14ac:dyDescent="0.55000000000000004">
      <c r="D13" s="142" t="str">
        <f>'17'!D13</f>
        <v>Corporate income tax</v>
      </c>
      <c r="E13" s="178">
        <f>'17'!E13</f>
        <v>8.205150177036229</v>
      </c>
      <c r="F13" s="178">
        <f>'17'!F13</f>
        <v>7.9041017940767802</v>
      </c>
      <c r="G13" s="178">
        <f>'17'!G13</f>
        <v>7.3612628549806258</v>
      </c>
      <c r="H13" s="178">
        <f>'17'!H13</f>
        <v>6.8576541203439483</v>
      </c>
      <c r="I13" s="178">
        <f>'17'!I13</f>
        <v>7.1030399278032865</v>
      </c>
      <c r="J13" s="178">
        <f>'17'!J13</f>
        <v>37.431208874240873</v>
      </c>
    </row>
    <row r="14" spans="1:10" ht="26.1" thickBot="1" x14ac:dyDescent="0.55000000000000004">
      <c r="D14" s="151" t="str">
        <f>'17'!D14</f>
        <v>Annual revenue requirement (unsmoothed)</v>
      </c>
      <c r="E14" s="187">
        <f>'17'!E14</f>
        <v>164.99859070388845</v>
      </c>
      <c r="F14" s="187">
        <f>'17'!F14</f>
        <v>177.07063518061886</v>
      </c>
      <c r="G14" s="187">
        <f>'17'!G14</f>
        <v>184.56702203114631</v>
      </c>
      <c r="H14" s="187">
        <f>'17'!H14</f>
        <v>195.85170681514884</v>
      </c>
      <c r="I14" s="187">
        <f>'17'!I14</f>
        <v>205.00609231866932</v>
      </c>
      <c r="J14" s="187">
        <f>'17'!J14</f>
        <v>927.49404704947176</v>
      </c>
    </row>
    <row r="15" spans="1:10" ht="13.2" thickBot="1" x14ac:dyDescent="0.55000000000000004">
      <c r="D15" s="151" t="str">
        <f>'17'!D15</f>
        <v>X factors</v>
      </c>
      <c r="E15" s="190">
        <f>'17'!E15</f>
        <v>9.4182208389897021E-2</v>
      </c>
      <c r="F15" s="190">
        <f>'17'!F15</f>
        <v>-3.3760666814186872E-2</v>
      </c>
      <c r="G15" s="190">
        <f>'17'!G15</f>
        <v>-3.3760666814186872E-2</v>
      </c>
      <c r="H15" s="190">
        <f>'17'!H15</f>
        <v>-3.3760666814186872E-2</v>
      </c>
      <c r="I15" s="190">
        <f>'17'!I15</f>
        <v>-3.3760666814186872E-2</v>
      </c>
      <c r="J15" s="190" t="str">
        <f>'17'!J15</f>
        <v>N/A</v>
      </c>
    </row>
    <row r="16" spans="1:10" ht="26.1" thickBot="1" x14ac:dyDescent="0.55000000000000004">
      <c r="D16" s="151" t="str">
        <f>'17'!D16</f>
        <v xml:space="preserve">Maximum allowed revenue requirement (smoothed)      </v>
      </c>
      <c r="E16" s="187">
        <f>'17'!E16</f>
        <v>164.99861387816443</v>
      </c>
      <c r="F16" s="187">
        <f>'17'!F16</f>
        <v>174.7051634304531</v>
      </c>
      <c r="G16" s="187">
        <f>'17'!G16</f>
        <v>184.98273053250497</v>
      </c>
      <c r="H16" s="187">
        <f>'17'!H16</f>
        <v>195.86490704313468</v>
      </c>
      <c r="I16" s="187">
        <f>'17'!I16</f>
        <v>207.387260965286</v>
      </c>
      <c r="J16" s="187">
        <f>'17'!J16</f>
        <v>927.93867584954319</v>
      </c>
    </row>
    <row r="18" spans="1:10" s="139" customFormat="1" x14ac:dyDescent="0.35">
      <c r="B18" s="139" t="s">
        <v>840</v>
      </c>
    </row>
    <row r="19" spans="1:10" ht="13.2" thickBot="1" x14ac:dyDescent="0.55000000000000004"/>
    <row r="20" spans="1:10" ht="15.3" thickBot="1" x14ac:dyDescent="0.55000000000000004">
      <c r="D20" s="285" t="s">
        <v>245</v>
      </c>
      <c r="E20" s="206" t="s">
        <v>236</v>
      </c>
      <c r="F20" s="206" t="s">
        <v>237</v>
      </c>
      <c r="G20" s="206" t="s">
        <v>238</v>
      </c>
      <c r="H20" s="206" t="s">
        <v>239</v>
      </c>
      <c r="I20" s="206" t="s">
        <v>240</v>
      </c>
      <c r="J20" s="206" t="s">
        <v>112</v>
      </c>
    </row>
    <row r="21" spans="1:10" ht="30.3" thickBot="1" x14ac:dyDescent="0.55000000000000004">
      <c r="D21" s="286" t="s">
        <v>950</v>
      </c>
      <c r="E21" s="289">
        <f>'[2]PTRM input'!G173</f>
        <v>95.212310568172128</v>
      </c>
      <c r="F21" s="289">
        <f>'[2]PTRM input'!H173</f>
        <v>72.459369194288428</v>
      </c>
      <c r="G21" s="289">
        <f>'[2]PTRM input'!I173</f>
        <v>94.615337615204794</v>
      </c>
      <c r="H21" s="289">
        <f>'[2]PTRM input'!J173</f>
        <v>63.70094825007547</v>
      </c>
      <c r="I21" s="289">
        <f>'[2]PTRM input'!K173</f>
        <v>58.214778380931023</v>
      </c>
      <c r="J21" s="289">
        <f>SUM(E21:I21)</f>
        <v>384.2027440086718</v>
      </c>
    </row>
    <row r="22" spans="1:10" ht="15.3" thickBot="1" x14ac:dyDescent="0.55000000000000004">
      <c r="D22" s="286" t="s">
        <v>836</v>
      </c>
      <c r="E22" s="289">
        <f>[2]Assets!G466</f>
        <v>1023.5733800213877</v>
      </c>
      <c r="F22" s="289">
        <f>[2]Assets!H466</f>
        <v>1045.2198414175655</v>
      </c>
      <c r="G22" s="289">
        <f>[2]Assets!I466</f>
        <v>1087.7028877602206</v>
      </c>
      <c r="H22" s="289">
        <f>[2]Assets!J466</f>
        <v>1094.4123377184414</v>
      </c>
      <c r="I22" s="289">
        <f>[2]Assets!K466</f>
        <v>1092.6982844557308</v>
      </c>
      <c r="J22" s="289" t="str">
        <f>NA</f>
        <v>N/A</v>
      </c>
    </row>
    <row r="24" spans="1:10" x14ac:dyDescent="0.5">
      <c r="A24" s="70">
        <f>IF(SUM(E24:I24)&lt;&gt;0,1,0)</f>
        <v>0</v>
      </c>
      <c r="D24" s="12" t="s">
        <v>1360</v>
      </c>
      <c r="E24" s="70">
        <f>IF(ROUND(SUM('12'!E76:E78)-E21,4)&lt;&gt;0,1,0)</f>
        <v>0</v>
      </c>
      <c r="F24" s="70">
        <f>IF(ROUND(SUM('12'!F76:F78)-F21,4)&lt;&gt;0,1,0)</f>
        <v>0</v>
      </c>
      <c r="G24" s="70">
        <f>IF(ROUND(SUM('12'!G76:G78)-G21,4)&lt;&gt;0,1,0)</f>
        <v>0</v>
      </c>
      <c r="H24" s="70">
        <f>IF(ROUND(SUM('12'!H76:H78)-H21,4)&lt;&gt;0,1,0)</f>
        <v>0</v>
      </c>
      <c r="I24" s="70">
        <f>IF(ROUND(SUM('12'!I76:I78)-I21,4)&lt;&gt;0,1,0)</f>
        <v>0</v>
      </c>
    </row>
    <row r="25" spans="1:10" x14ac:dyDescent="0.5">
      <c r="A25" s="70">
        <f>IF(SUM(E25:I25)&lt;&gt;0,1,0)</f>
        <v>0</v>
      </c>
      <c r="D25" s="12" t="s">
        <v>1359</v>
      </c>
      <c r="E25" s="70">
        <f>IF(ROUND('12'!E81-E22,4)&lt;&gt;0,1,0)</f>
        <v>0</v>
      </c>
      <c r="F25" s="70">
        <f>IF(ROUND('12'!F81-F22,4)&lt;&gt;0,1,0)</f>
        <v>0</v>
      </c>
      <c r="G25" s="70">
        <f>IF(ROUND('12'!G81-G22,4)&lt;&gt;0,1,0)</f>
        <v>0</v>
      </c>
      <c r="H25" s="70">
        <f>IF(ROUND('12'!H81-H22,4)&lt;&gt;0,1,0)</f>
        <v>0</v>
      </c>
      <c r="I25" s="70">
        <f>IF(ROUND('12'!I81-I22,4)&lt;&gt;0,1,0)</f>
        <v>0</v>
      </c>
    </row>
    <row r="27" spans="1:10" s="139" customFormat="1" x14ac:dyDescent="0.35">
      <c r="B27" s="139" t="s">
        <v>838</v>
      </c>
    </row>
    <row r="28" spans="1:10" ht="13.2" thickBot="1" x14ac:dyDescent="0.55000000000000004"/>
    <row r="29" spans="1:10" ht="13.2" thickBot="1" x14ac:dyDescent="0.55000000000000004">
      <c r="D29" s="146" t="str">
        <f>'18'!D8</f>
        <v>$M, Nominal</v>
      </c>
      <c r="E29" s="280" t="str">
        <f>'18'!E8</f>
        <v>2019-20</v>
      </c>
      <c r="F29" s="280" t="str">
        <f>'18'!F8</f>
        <v>2020-21</v>
      </c>
      <c r="G29" s="280" t="str">
        <f>'18'!G8</f>
        <v>2021-22</v>
      </c>
      <c r="H29" s="280" t="str">
        <f>'18'!H8</f>
        <v>2022-23</v>
      </c>
      <c r="I29" s="280" t="str">
        <f>'18'!I8</f>
        <v>2023-24</v>
      </c>
      <c r="J29" s="280" t="str">
        <f>'18'!J8</f>
        <v>Total</v>
      </c>
    </row>
    <row r="30" spans="1:10" ht="13.8" thickBot="1" x14ac:dyDescent="0.55000000000000004">
      <c r="D30" s="142" t="str">
        <f>'18'!D9</f>
        <v>Return on capital</v>
      </c>
      <c r="E30" s="178">
        <f>'18'!E9</f>
        <v>1.0934349756962416</v>
      </c>
      <c r="F30" s="178">
        <f>'18'!F9</f>
        <v>1.5154168051531065</v>
      </c>
      <c r="G30" s="178">
        <f>'18'!G9</f>
        <v>1.7033557267883765</v>
      </c>
      <c r="H30" s="178">
        <f>'18'!H9</f>
        <v>1.8839580202495554</v>
      </c>
      <c r="I30" s="178">
        <f>'18'!I9</f>
        <v>2.3268518483533542</v>
      </c>
      <c r="J30" s="178">
        <f>'18'!J9</f>
        <v>8.5230173762406345</v>
      </c>
    </row>
    <row r="31" spans="1:10" ht="13.8" thickBot="1" x14ac:dyDescent="0.55000000000000004">
      <c r="D31" s="142" t="str">
        <f>'18'!D10</f>
        <v xml:space="preserve">Regulatory depreciation </v>
      </c>
      <c r="E31" s="178">
        <f>'18'!E10</f>
        <v>0.74343571209177894</v>
      </c>
      <c r="F31" s="178">
        <f>'18'!F10</f>
        <v>1.1785219705898482</v>
      </c>
      <c r="G31" s="178">
        <f>'18'!G10</f>
        <v>1.4365462592975542</v>
      </c>
      <c r="H31" s="178">
        <f>'18'!H10</f>
        <v>1.7091912503690971</v>
      </c>
      <c r="I31" s="178">
        <f>'18'!I10</f>
        <v>2.2002061826027015</v>
      </c>
      <c r="J31" s="178">
        <f>'18'!J10</f>
        <v>7.2679013749509798</v>
      </c>
    </row>
    <row r="32" spans="1:10" ht="13.8" thickBot="1" x14ac:dyDescent="0.55000000000000004">
      <c r="D32" s="142" t="str">
        <f>'18'!D11</f>
        <v>Opex (including Debt Raising)</v>
      </c>
      <c r="E32" s="178">
        <f>'18'!E11</f>
        <v>5.1071952025550127</v>
      </c>
      <c r="F32" s="178">
        <f>'18'!F11</f>
        <v>5.1626801514360894</v>
      </c>
      <c r="G32" s="178">
        <f>'18'!G11</f>
        <v>5.2197882916709109</v>
      </c>
      <c r="H32" s="178">
        <f>'18'!H11</f>
        <v>5.2653277070758637</v>
      </c>
      <c r="I32" s="178">
        <f>'18'!I11</f>
        <v>5.3125551721302084</v>
      </c>
      <c r="J32" s="178">
        <f>'18'!J11</f>
        <v>26.067546524868085</v>
      </c>
    </row>
    <row r="33" spans="1:10" ht="13.8" thickBot="1" x14ac:dyDescent="0.55000000000000004">
      <c r="D33" s="142" t="str">
        <f>'18'!D12</f>
        <v>Corporate income tax</v>
      </c>
      <c r="E33" s="178">
        <f>'18'!E12</f>
        <v>8.7038907948608746E-2</v>
      </c>
      <c r="F33" s="178">
        <f>'18'!F12</f>
        <v>9.7960865727167543E-2</v>
      </c>
      <c r="G33" s="178">
        <f>'18'!G12</f>
        <v>0.13144893202953056</v>
      </c>
      <c r="H33" s="178">
        <f>'18'!H12</f>
        <v>0.16762273355169821</v>
      </c>
      <c r="I33" s="178">
        <f>'18'!I12</f>
        <v>0.17716982906627521</v>
      </c>
      <c r="J33" s="178">
        <f>'18'!J12</f>
        <v>0.66124126832328023</v>
      </c>
    </row>
    <row r="34" spans="1:10" ht="26.1" thickBot="1" x14ac:dyDescent="0.55000000000000004">
      <c r="D34" s="151" t="str">
        <f>'18'!D13</f>
        <v>Annual revenue requirement (unsmoothed)</v>
      </c>
      <c r="E34" s="189">
        <f>'18'!E13</f>
        <v>7.0311047982916417</v>
      </c>
      <c r="F34" s="189">
        <f>'18'!F13</f>
        <v>7.9545797929062116</v>
      </c>
      <c r="G34" s="189">
        <f>'18'!G13</f>
        <v>8.4911392097863718</v>
      </c>
      <c r="H34" s="189">
        <f>'18'!H13</f>
        <v>9.0260997112462142</v>
      </c>
      <c r="I34" s="189">
        <f>'18'!I13</f>
        <v>10.016783032152539</v>
      </c>
      <c r="J34" s="189">
        <f>'18'!J13</f>
        <v>42.519706544382977</v>
      </c>
    </row>
    <row r="35" spans="1:10" ht="13.2" thickBot="1" x14ac:dyDescent="0.55000000000000004">
      <c r="D35" s="151" t="str">
        <f>'18'!D14</f>
        <v>X factors</v>
      </c>
      <c r="E35" s="190">
        <f>'18'!E14</f>
        <v>0</v>
      </c>
      <c r="F35" s="190">
        <f>'18'!F14</f>
        <v>-6.9814577142962686E-2</v>
      </c>
      <c r="G35" s="190">
        <f>'18'!G14</f>
        <v>-6.9814577142962686E-2</v>
      </c>
      <c r="H35" s="190">
        <f>'18'!H14</f>
        <v>-6.9814577142962686E-2</v>
      </c>
      <c r="I35" s="190">
        <f>'18'!I14</f>
        <v>-6.9814577142962686E-2</v>
      </c>
      <c r="J35" s="161" t="str">
        <f>'18'!J14</f>
        <v>N/A</v>
      </c>
    </row>
    <row r="36" spans="1:10" ht="26.1" thickBot="1" x14ac:dyDescent="0.55000000000000004">
      <c r="D36" s="151" t="str">
        <f>'18'!D15</f>
        <v xml:space="preserve">Maximum allowed revenue requirement (smoothed)      </v>
      </c>
      <c r="E36" s="187">
        <f>'18'!E15</f>
        <v>7.0311047982916435</v>
      </c>
      <c r="F36" s="187">
        <f>'18'!F15</f>
        <v>7.704376954760261</v>
      </c>
      <c r="G36" s="187">
        <f>'18'!G15</f>
        <v>8.4421191212315794</v>
      </c>
      <c r="H36" s="187">
        <f>'18'!H15</f>
        <v>9.2505047034373185</v>
      </c>
      <c r="I36" s="187">
        <f>'18'!I15</f>
        <v>10.136298249228245</v>
      </c>
      <c r="J36" s="187">
        <f>'18'!J15</f>
        <v>42.564403826949047</v>
      </c>
    </row>
    <row r="38" spans="1:10" s="139" customFormat="1" x14ac:dyDescent="0.35">
      <c r="B38" s="139" t="s">
        <v>837</v>
      </c>
    </row>
    <row r="39" spans="1:10" ht="13.2" thickBot="1" x14ac:dyDescent="0.55000000000000004"/>
    <row r="40" spans="1:10" ht="15.3" thickBot="1" x14ac:dyDescent="0.55000000000000004">
      <c r="D40" s="285" t="s">
        <v>245</v>
      </c>
      <c r="E40" s="206" t="s">
        <v>236</v>
      </c>
      <c r="F40" s="206" t="s">
        <v>237</v>
      </c>
      <c r="G40" s="206" t="s">
        <v>238</v>
      </c>
      <c r="H40" s="206" t="s">
        <v>239</v>
      </c>
      <c r="I40" s="206" t="s">
        <v>240</v>
      </c>
      <c r="J40" s="206" t="s">
        <v>112</v>
      </c>
    </row>
    <row r="41" spans="1:10" ht="30.3" thickBot="1" x14ac:dyDescent="0.55000000000000004">
      <c r="D41" s="286" t="s">
        <v>950</v>
      </c>
      <c r="E41" s="288">
        <f>'[7]PTRM input'!G173</f>
        <v>6.8089152561770545</v>
      </c>
      <c r="F41" s="288">
        <f>'[7]PTRM input'!H173</f>
        <v>3.7524143663033378</v>
      </c>
      <c r="G41" s="288">
        <f>'[7]PTRM input'!I173</f>
        <v>3.7978799723895018</v>
      </c>
      <c r="H41" s="288">
        <f>'[7]PTRM input'!J173</f>
        <v>7.4779427748406562</v>
      </c>
      <c r="I41" s="288">
        <f>'[7]PTRM input'!K173</f>
        <v>3.693421968848392</v>
      </c>
      <c r="J41" s="288">
        <f>SUM(E41:I41)</f>
        <v>25.530574338558942</v>
      </c>
    </row>
    <row r="42" spans="1:10" ht="15.3" thickBot="1" x14ac:dyDescent="0.55000000000000004">
      <c r="D42" s="286" t="s">
        <v>836</v>
      </c>
      <c r="E42" s="288">
        <f>[7]Assets!G466</f>
        <v>22.341503989594219</v>
      </c>
      <c r="F42" s="288">
        <f>[7]Assets!H466</f>
        <v>24.517727876121967</v>
      </c>
      <c r="G42" s="288">
        <f>[7]Assets!I466</f>
        <v>26.475285106640001</v>
      </c>
      <c r="H42" s="288">
        <f>[7]Assets!J466</f>
        <v>31.925133031027237</v>
      </c>
      <c r="I42" s="288">
        <f>[7]Assets!K466</f>
        <v>32.985855073086135</v>
      </c>
      <c r="J42" s="287" t="str">
        <f>NA</f>
        <v>N/A</v>
      </c>
    </row>
    <row r="44" spans="1:10" x14ac:dyDescent="0.5">
      <c r="A44" s="70">
        <f>IF(SUM(E44:I44)&lt;&gt;0,1,0)</f>
        <v>0</v>
      </c>
      <c r="D44" s="12" t="s">
        <v>1360</v>
      </c>
      <c r="E44" s="70">
        <f>IF(ROUND(SUM('18'!E24:E26)-E41,4)&lt;&gt;0,1,0)</f>
        <v>0</v>
      </c>
      <c r="F44" s="70">
        <f>IF(ROUND(SUM('18'!F24:F26)-F41,4)&lt;&gt;0,1,0)</f>
        <v>0</v>
      </c>
      <c r="G44" s="70">
        <f>IF(ROUND(SUM('18'!G24:G26)-G41,4)&lt;&gt;0,1,0)</f>
        <v>0</v>
      </c>
      <c r="H44" s="70">
        <f>IF(ROUND(SUM('18'!H24:H26)-H41,4)&lt;&gt;0,1,0)</f>
        <v>0</v>
      </c>
      <c r="I44" s="70">
        <f>IF(ROUND(SUM('18'!I24:I26)-I41,4)&lt;&gt;0,1,0)</f>
        <v>0</v>
      </c>
    </row>
    <row r="45" spans="1:10" x14ac:dyDescent="0.5">
      <c r="A45" s="70">
        <f>IF(SUM(E45:I45)&lt;&gt;0,1,0)</f>
        <v>0</v>
      </c>
      <c r="D45" s="12" t="s">
        <v>1359</v>
      </c>
      <c r="E45" s="70">
        <f>IF(ROUND('18'!E29-E42,4)&lt;&gt;0,1,0)</f>
        <v>0</v>
      </c>
      <c r="F45" s="70">
        <f>IF(ROUND('18'!F29-F42,4)&lt;&gt;0,1,0)</f>
        <v>0</v>
      </c>
      <c r="G45" s="70">
        <f>IF(ROUND('18'!G29-G42,4)&lt;&gt;0,1,0)</f>
        <v>0</v>
      </c>
      <c r="H45" s="70">
        <f>IF(ROUND('18'!H29-H42,4)&lt;&gt;0,1,0)</f>
        <v>0</v>
      </c>
      <c r="I45" s="70">
        <f>IF(ROUND('18'!I29-I42,4)&lt;&gt;0,1,0)</f>
        <v>0</v>
      </c>
    </row>
    <row r="47" spans="1:10" s="139" customFormat="1" x14ac:dyDescent="0.35">
      <c r="B47" s="139" t="s">
        <v>841</v>
      </c>
    </row>
  </sheetData>
  <conditionalFormatting sqref="B2">
    <cfRule type="cellIs" dxfId="43" priority="1" operator="notEqual">
      <formula>"No Errors Found"</formula>
    </cfRule>
  </conditionalFormatting>
  <hyperlinks>
    <hyperlink ref="B3:D3" location="Cover!A1" display="Go to Cover Sheet"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3BA3B04C24F8D74DBE21978B58C569F6" ma:contentTypeVersion="4" ma:contentTypeDescription="Create a new document." ma:contentTypeScope="" ma:versionID="adc0807dace506080b80eaaea3507f1c">
  <xsd:schema xmlns:xsd="http://www.w3.org/2001/XMLSchema" xmlns:xs="http://www.w3.org/2001/XMLSchema" xmlns:p="http://schemas.microsoft.com/office/2006/metadata/properties" xmlns:ns2="4eb6023d-658b-4527-be73-24b0518f0bf9" xmlns:ns3="7aa583b4-7878-4620-ad4f-d1b586498304" targetNamespace="http://schemas.microsoft.com/office/2006/metadata/properties" ma:root="true" ma:fieldsID="a11288c608cf05ce5d6a34290543d294" ns2:_="" ns3:_="">
    <xsd:import namespace="4eb6023d-658b-4527-be73-24b0518f0bf9"/>
    <xsd:import namespace="7aa583b4-7878-4620-ad4f-d1b58649830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a583b4-7878-4620-ad4f-d1b58649830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eb6023d-658b-4527-be73-24b0518f0bf9">
      <UserInfo>
        <DisplayName>Keith Hutchinson</DisplayName>
        <AccountId>281</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5796CA-6224-408E-AD4D-7FE5E6367B4E}">
  <ds:schemaRefs>
    <ds:schemaRef ds:uri="http://schemas.microsoft.com/PowerBIAddIn"/>
  </ds:schemaRefs>
</ds:datastoreItem>
</file>

<file path=customXml/itemProps2.xml><?xml version="1.0" encoding="utf-8"?>
<ds:datastoreItem xmlns:ds="http://schemas.openxmlformats.org/officeDocument/2006/customXml" ds:itemID="{D6F2218A-94CD-412D-B052-63E27B113E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b6023d-658b-4527-be73-24b0518f0bf9"/>
    <ds:schemaRef ds:uri="7aa583b4-7878-4620-ad4f-d1b5864983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97CDD1-FCE8-40FA-A22B-39998E6D97A8}">
  <ds:schemaRefs>
    <ds:schemaRef ds:uri="http://purl.org/dc/elements/1.1/"/>
    <ds:schemaRef ds:uri="http://schemas.microsoft.com/office/2006/metadata/properties"/>
    <ds:schemaRef ds:uri="4eb6023d-658b-4527-be73-24b0518f0bf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aa583b4-7878-4620-ad4f-d1b586498304"/>
    <ds:schemaRef ds:uri="http://www.w3.org/XML/1998/namespace"/>
    <ds:schemaRef ds:uri="http://purl.org/dc/dcmitype/"/>
  </ds:schemaRefs>
</ds:datastoreItem>
</file>

<file path=customXml/itemProps4.xml><?xml version="1.0" encoding="utf-8"?>
<ds:datastoreItem xmlns:ds="http://schemas.openxmlformats.org/officeDocument/2006/customXml" ds:itemID="{CA4CC24A-A301-4156-98D3-737AA101AD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51</vt:i4>
      </vt:variant>
    </vt:vector>
  </HeadingPairs>
  <TitlesOfParts>
    <vt:vector size="96" baseType="lpstr">
      <vt:lpstr>Cover</vt:lpstr>
      <vt:lpstr>TOC</vt:lpstr>
      <vt:lpstr>Format</vt:lpstr>
      <vt:lpstr>Input_Inflation</vt:lpstr>
      <vt:lpstr>Charts_Revenue</vt:lpstr>
      <vt:lpstr>Charts_Capex</vt:lpstr>
      <vt:lpstr>Charts_Opex</vt:lpstr>
      <vt:lpstr>Charts &amp; Tables-&gt;</vt: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ROD_A</vt:lpstr>
      <vt:lpstr>RAB_A</vt:lpstr>
      <vt:lpstr>TAB_A</vt:lpstr>
      <vt:lpstr>CAPEX_O</vt:lpstr>
      <vt:lpstr>CONNECT_O</vt:lpstr>
      <vt:lpstr>CUSTOMER_O</vt:lpstr>
      <vt:lpstr>ACS_O</vt:lpstr>
      <vt:lpstr>TSS</vt:lpstr>
      <vt:lpstr>TSS_O</vt:lpstr>
      <vt:lpstr>Lookup</vt:lpstr>
      <vt:lpstr>Checks</vt:lpstr>
      <vt:lpstr>'5'!_ftnref1</vt:lpstr>
      <vt:lpstr>'5'!_ftnref2</vt:lpstr>
      <vt:lpstr>ACS_O!_Ref493592504</vt:lpstr>
      <vt:lpstr>'21'!_Toc500250363</vt:lpstr>
      <vt:lpstr>'21'!_Toc500250364</vt:lpstr>
      <vt:lpstr>'21'!_Toc500250365</vt:lpstr>
      <vt:lpstr>'21'!_Toc500250366</vt:lpstr>
      <vt:lpstr>ACS_O!_Toc500250367</vt:lpstr>
      <vt:lpstr>ACS_O!_Toc500250368</vt:lpstr>
      <vt:lpstr>ACS_O!_Toc500250369</vt:lpstr>
      <vt:lpstr>Base_Year</vt:lpstr>
      <vt:lpstr>Days_In_Wk</vt:lpstr>
      <vt:lpstr>Days_In_Yr</vt:lpstr>
      <vt:lpstr>Dollars</vt:lpstr>
      <vt:lpstr>End_year</vt:lpstr>
      <vt:lpstr>Error</vt:lpstr>
      <vt:lpstr>Factor</vt:lpstr>
      <vt:lpstr>Half</vt:lpstr>
      <vt:lpstr>Kilometres</vt:lpstr>
      <vt:lpstr>LU_Basis</vt:lpstr>
      <vt:lpstr>LU_Dollar_Basis</vt:lpstr>
      <vt:lpstr>LU_Non_Network</vt:lpstr>
      <vt:lpstr>LU_Opex_View_1</vt:lpstr>
      <vt:lpstr>LU_Overheads</vt:lpstr>
      <vt:lpstr>LU_Service_Long</vt:lpstr>
      <vt:lpstr>LU_Service_Short</vt:lpstr>
      <vt:lpstr>LU_Timing</vt:lpstr>
      <vt:lpstr>LU_Timing_Value</vt:lpstr>
      <vt:lpstr>LU_Units</vt:lpstr>
      <vt:lpstr>Mid_year</vt:lpstr>
      <vt:lpstr>Million</vt:lpstr>
      <vt:lpstr>Millions</vt:lpstr>
      <vt:lpstr>Model_Name</vt:lpstr>
      <vt:lpstr>Model_Start_Date</vt:lpstr>
      <vt:lpstr>Mths_In_Mth</vt:lpstr>
      <vt:lpstr>Mths_In_Qtr</vt:lpstr>
      <vt:lpstr>Mths_In_Yr</vt:lpstr>
      <vt:lpstr>NA</vt:lpstr>
      <vt:lpstr>No</vt:lpstr>
      <vt:lpstr>Nominal</vt:lpstr>
      <vt:lpstr>Number</vt:lpstr>
      <vt:lpstr>Ok</vt:lpstr>
      <vt:lpstr>Percent</vt:lpstr>
      <vt:lpstr>Qtrs_In_Yr</vt:lpstr>
      <vt:lpstr>Real2018</vt:lpstr>
      <vt:lpstr>Real2019</vt:lpstr>
      <vt:lpstr>Start_year</vt:lpstr>
      <vt:lpstr>Thousands</vt:lpstr>
      <vt:lpstr>Title_Msg</vt:lpstr>
      <vt:lpstr>Yes</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and Water Corporation</dc:creator>
  <cp:lastModifiedBy>Ryan</cp:lastModifiedBy>
  <cp:lastPrinted>2017-09-21T03:25:38Z</cp:lastPrinted>
  <dcterms:created xsi:type="dcterms:W3CDTF">2012-02-19T06:14:59Z</dcterms:created>
  <dcterms:modified xsi:type="dcterms:W3CDTF">2018-03-16T04:25:16Z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0x0101003BA3B04C24F8D74DBE21978B58C569F6</vt:lpwstr>
  </property>
</Properties>
</file>