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showInkAnnotation="0" codeName="ThisWorkbook" defaultThemeVersion="124226"/>
  <mc:AlternateContent xmlns:mc="http://schemas.openxmlformats.org/markup-compatibility/2006">
    <mc:Choice Requires="x15">
      <x15ac:absPath xmlns:x15ac="http://schemas.microsoft.com/office/spreadsheetml/2010/11/ac" url="https://farrierswier.sharepoint.com/48417 PWC Modelling WACC/03. Working/Revenue Scenarios/IP13/Submission/"/>
    </mc:Choice>
  </mc:AlternateContent>
  <xr:revisionPtr revIDLastSave="1" documentId="11_8CBD394FBBEAAE07DDBF4E8FD2FAA0F7B3F8240A" xr6:coauthVersionLast="28" xr6:coauthVersionMax="28" xr10:uidLastSave="{E58969D9-0149-4A17-B9BC-E7DCA0E7707C}"/>
  <bookViews>
    <workbookView xWindow="0" yWindow="0" windowWidth="23040" windowHeight="7944" tabRatio="854" xr2:uid="{00000000-000D-0000-FFFF-FFFF00000000}"/>
  </bookViews>
  <sheets>
    <sheet name="Cover" sheetId="27" r:id="rId1"/>
    <sheet name="TOC" sheetId="45" r:id="rId2"/>
    <sheet name="Sources" sheetId="48" r:id="rId3"/>
    <sheet name="Inputs_General" sheetId="30" r:id="rId4"/>
    <sheet name="Inputs_&gt;750MWh" sheetId="31" r:id="rId5"/>
    <sheet name="Calc_Cost_of_Supply" sheetId="33" r:id="rId6"/>
    <sheet name="Calc_A_SA_Costs" sheetId="39" r:id="rId7"/>
    <sheet name="Calc_LRMC" sheetId="40" r:id="rId8"/>
    <sheet name="Calc_Network_Cost_Alloc" sheetId="36" r:id="rId9"/>
    <sheet name="Output_AER_Compliance" sheetId="32" r:id="rId10"/>
    <sheet name="Output_Cost_of_Supply" sheetId="34" r:id="rId11"/>
    <sheet name="Output_Impact&lt;750" sheetId="44" r:id="rId12"/>
    <sheet name="Output_Impact&gt;750" sheetId="41" r:id="rId13"/>
    <sheet name="Output_Tariff_Schedules_No GST" sheetId="37" r:id="rId14"/>
    <sheet name="Output_Tariff_Schedules_GST" sheetId="38" r:id="rId15"/>
    <sheet name="Lookup" sheetId="4" r:id="rId16"/>
    <sheet name="Checks" sheetId="25" r:id="rId17"/>
  </sheets>
  <externalReferences>
    <externalReference r:id="rId18"/>
    <externalReference r:id="rId19"/>
    <externalReference r:id="rId20"/>
  </externalReferences>
  <definedNames>
    <definedName name="_xlnm._FilterDatabase" localSheetId="12" hidden="1">'Output_Impact&gt;750'!$D$34:$AH$219</definedName>
    <definedName name="_SS_AC_0237486917" comment="Advanced Comment Name" hidden="1">Calc_Cost_of_Supply!$J$90:$AB$92</definedName>
    <definedName name="_SS_AC_0379579317" comment="Advanced Comment Name" hidden="1">Inputs_General!$L$177:$N$191</definedName>
    <definedName name="_SS_AC_1099353796" comment="Advanced Comment Name" localSheetId="2" hidden="1">'Inputs_&gt;750MWh'!#REF!</definedName>
    <definedName name="_SS_AC_1099353796" comment="Advanced Comment Name" hidden="1">'Inputs_&gt;750MWh'!$D$191:$CM$191</definedName>
    <definedName name="Asset_Class_Allocation">Lookup!$D$170:$D$176</definedName>
    <definedName name="Calender_Months">Lookup!$D$120:$D$131</definedName>
    <definedName name="Cents_In_Dollar">Lookup!$D$92</definedName>
    <definedName name="Currency">Lookup!$F$16</definedName>
    <definedName name="Cust_Type">Lookup!$D$160:$D$166</definedName>
    <definedName name="Dash_Periods">Lookup!$D$112:$D$115</definedName>
    <definedName name="Days_In_Wk">Lookup!$D$85</definedName>
    <definedName name="Days_In_Yr">Lookup!$D$91</definedName>
    <definedName name="Dep_Method">Lookup!$D$134:$D$135</definedName>
    <definedName name="Error">Lookup!$D$97</definedName>
    <definedName name="Fri">Lookup!$D$139</definedName>
    <definedName name="GST">Inputs_General!$F$10</definedName>
    <definedName name="Half">Lookup!$D$90</definedName>
    <definedName name="HTML_CodePage" hidden="1">1252</definedName>
    <definedName name="HTML_Control" localSheetId="2" hidden="1">{"'petroleum sales data'!$A$1:$L$49"}</definedName>
    <definedName name="HTML_Control" hidden="1">{"'petroleum sales data'!$A$1:$L$49"}</definedName>
    <definedName name="HTML_Description" hidden="1">"This is a chart of Petroleum Sales figures up to and including June 1998"</definedName>
    <definedName name="HTML_Email" hidden="1">"tony.waite@dme.nt.gov.au"</definedName>
    <definedName name="HTML_Header" hidden="1">"Petroleum Sales Figures 1998"</definedName>
    <definedName name="HTML_LastUpdate" hidden="1">"24/08/98"</definedName>
    <definedName name="HTML_LineAfter" hidden="1">FALSE</definedName>
    <definedName name="HTML_LineBefore" hidden="1">FALSE</definedName>
    <definedName name="HTML_Name" hidden="1">"Tony Waite"</definedName>
    <definedName name="HTML_OBDlg2" hidden="1">TRUE</definedName>
    <definedName name="HTML_OBDlg4" hidden="1">TRUE</definedName>
    <definedName name="HTML_OS" hidden="1">0</definedName>
    <definedName name="HTML_PathFile" hidden="1">"G:\Energy\Safety &amp; Environment\WEBPAGES\statistics\Production\MyHTML.htm"</definedName>
    <definedName name="HTML_Title" hidden="1">"petsale_1998"</definedName>
    <definedName name="Million">Lookup!$D$94</definedName>
    <definedName name="Model_Name">Cover!$B$3</definedName>
    <definedName name="Mon">Lookup!$D$135</definedName>
    <definedName name="Mth_Count_In_Qtr">Lookup!$E$120:$E$131</definedName>
    <definedName name="Mths_In_Mth">Lookup!$D$82</definedName>
    <definedName name="Mths_In_Qtr">Lookup!$D$83</definedName>
    <definedName name="Mths_In_Yr">Lookup!$D$84</definedName>
    <definedName name="NA">Lookup!$D$95</definedName>
    <definedName name="No">Lookup!$D$102</definedName>
    <definedName name="Ok">Lookup!$D$96</definedName>
    <definedName name="Period_Length">Lookup!$D$106:$D$108</definedName>
    <definedName name="Periods_Per_Year">Lookup!$F$12</definedName>
    <definedName name="_xlnm.Print_Area" localSheetId="11">'Output_Impact&lt;750'!$AC$44:$AJ$61</definedName>
    <definedName name="Qtr_1">Lookup!$D$86</definedName>
    <definedName name="Qtr_2">Lookup!$D$87</definedName>
    <definedName name="Qtr_3">Lookup!$D$88</definedName>
    <definedName name="Qtr_4">Lookup!$D$89</definedName>
    <definedName name="Sat">Lookup!$D$140</definedName>
    <definedName name="solver_cvg" hidden="1">0.0000001</definedName>
    <definedName name="solver_drv" hidden="1">1</definedName>
    <definedName name="solver_est" hidden="1">1</definedName>
    <definedName name="solver_itr" hidden="1">10000</definedName>
    <definedName name="solver_lin" hidden="1">2</definedName>
    <definedName name="solver_neg" hidden="1">2</definedName>
    <definedName name="solver_num" hidden="1">0</definedName>
    <definedName name="solver_nwt" hidden="1">1</definedName>
    <definedName name="solver_pre" hidden="1">0.000000001</definedName>
    <definedName name="solver_scl" hidden="1">2</definedName>
    <definedName name="solver_sho" hidden="1">2</definedName>
    <definedName name="solver_tim" hidden="1">1000</definedName>
    <definedName name="solver_tol" hidden="1">0.000000001</definedName>
    <definedName name="solver_typ" hidden="1">3</definedName>
    <definedName name="solver_val" hidden="1">0</definedName>
    <definedName name="Sun">Lookup!$D$141</definedName>
    <definedName name="Sys_Non_Sys_Assets">Lookup!$D$180:$D$184</definedName>
    <definedName name="Tariff_Type">Lookup!$D$155:$D$156</definedName>
    <definedName name="Tariff_Year">Inputs_General!$F$9</definedName>
    <definedName name="Tariff_Year_List">Lookup!$D$145:$D$151</definedName>
    <definedName name="Thousand">Lookup!$D$93</definedName>
    <definedName name="Thu">Lookup!$D$138</definedName>
    <definedName name="Title_Msg">Checks!$H$11</definedName>
    <definedName name="TiTree" localSheetId="2" hidden="1">{"'petroleum sales data'!$A$1:$L$49"}</definedName>
    <definedName name="TiTree" hidden="1">{"'petroleum sales data'!$A$1:$L$49"}</definedName>
    <definedName name="Transtariff">Lookup!$D$155</definedName>
    <definedName name="Tue">Lookup!$D$136</definedName>
    <definedName name="Wed">Lookup!$D$137</definedName>
    <definedName name="Yes">Lookup!$D$101</definedName>
    <definedName name="Yes_No">Lookup!$D$101:$D$102</definedName>
  </definedNames>
  <calcPr calcId="171027"/>
</workbook>
</file>

<file path=xl/calcChain.xml><?xml version="1.0" encoding="utf-8"?>
<calcChain xmlns="http://schemas.openxmlformats.org/spreadsheetml/2006/main">
  <c r="N164" i="30" l="1"/>
  <c r="M164" i="30"/>
  <c r="L164" i="30"/>
  <c r="K164" i="30"/>
  <c r="J164" i="30"/>
  <c r="N163" i="30"/>
  <c r="M163" i="30"/>
  <c r="L163" i="30"/>
  <c r="K163" i="30"/>
  <c r="J163" i="30"/>
  <c r="N162" i="30"/>
  <c r="M162" i="30"/>
  <c r="L162" i="30"/>
  <c r="K162" i="30"/>
  <c r="J162" i="30"/>
  <c r="N161" i="30"/>
  <c r="M161" i="30"/>
  <c r="L161" i="30"/>
  <c r="K161" i="30"/>
  <c r="J161" i="30"/>
  <c r="N160" i="30"/>
  <c r="M160" i="30"/>
  <c r="L160" i="30"/>
  <c r="K160" i="30"/>
  <c r="J160" i="30"/>
  <c r="N159" i="30"/>
  <c r="M159" i="30"/>
  <c r="L159" i="30"/>
  <c r="K159" i="30"/>
  <c r="J159" i="30"/>
  <c r="N158" i="30"/>
  <c r="M158" i="30"/>
  <c r="L158" i="30"/>
  <c r="K158" i="30"/>
  <c r="J158" i="30"/>
  <c r="N157" i="30"/>
  <c r="M157" i="30"/>
  <c r="L157" i="30"/>
  <c r="K157" i="30"/>
  <c r="J157" i="30"/>
  <c r="N156" i="30"/>
  <c r="M156" i="30"/>
  <c r="L156" i="30"/>
  <c r="K156" i="30"/>
  <c r="J156" i="30"/>
  <c r="N155" i="30"/>
  <c r="M155" i="30"/>
  <c r="L155" i="30"/>
  <c r="K155" i="30"/>
  <c r="J155" i="30"/>
  <c r="N154" i="30"/>
  <c r="M154" i="30"/>
  <c r="L154" i="30"/>
  <c r="K154" i="30"/>
  <c r="J154" i="30"/>
  <c r="N153" i="30"/>
  <c r="M153" i="30"/>
  <c r="L153" i="30"/>
  <c r="K153" i="30"/>
  <c r="J153" i="30"/>
  <c r="N152" i="30"/>
  <c r="M152" i="30"/>
  <c r="L152" i="30"/>
  <c r="K152" i="30"/>
  <c r="J152" i="30"/>
  <c r="N151" i="30"/>
  <c r="M151" i="30"/>
  <c r="L151" i="30"/>
  <c r="K151" i="30"/>
  <c r="J151" i="30"/>
  <c r="N150" i="30"/>
  <c r="M150" i="30"/>
  <c r="L150" i="30"/>
  <c r="K150" i="30"/>
  <c r="J150" i="30"/>
  <c r="N138" i="30"/>
  <c r="M138" i="30"/>
  <c r="L138" i="30"/>
  <c r="K138" i="30"/>
  <c r="J138" i="30"/>
  <c r="N137" i="30"/>
  <c r="M137" i="30"/>
  <c r="L137" i="30"/>
  <c r="K137" i="30"/>
  <c r="J137" i="30"/>
  <c r="N136" i="30"/>
  <c r="M136" i="30"/>
  <c r="L136" i="30"/>
  <c r="K136" i="30"/>
  <c r="J136" i="30"/>
  <c r="N135" i="30"/>
  <c r="M135" i="30"/>
  <c r="L135" i="30"/>
  <c r="K135" i="30"/>
  <c r="J135" i="30"/>
  <c r="N134" i="30"/>
  <c r="M134" i="30"/>
  <c r="L134" i="30"/>
  <c r="K134" i="30"/>
  <c r="J134" i="30"/>
  <c r="N133" i="30"/>
  <c r="M133" i="30"/>
  <c r="L133" i="30"/>
  <c r="K133" i="30"/>
  <c r="J133" i="30"/>
  <c r="N132" i="30"/>
  <c r="M132" i="30"/>
  <c r="L132" i="30"/>
  <c r="K132" i="30"/>
  <c r="J132" i="30"/>
  <c r="N131" i="30"/>
  <c r="M131" i="30"/>
  <c r="L131" i="30"/>
  <c r="K131" i="30"/>
  <c r="J131" i="30"/>
  <c r="N130" i="30"/>
  <c r="M130" i="30"/>
  <c r="L130" i="30"/>
  <c r="K130" i="30"/>
  <c r="J130" i="30"/>
  <c r="N129" i="30"/>
  <c r="M129" i="30"/>
  <c r="L129" i="30"/>
  <c r="K129" i="30"/>
  <c r="J129" i="30"/>
  <c r="N128" i="30"/>
  <c r="M128" i="30"/>
  <c r="L128" i="30"/>
  <c r="K128" i="30"/>
  <c r="J128" i="30"/>
  <c r="N127" i="30"/>
  <c r="M127" i="30"/>
  <c r="L127" i="30"/>
  <c r="K127" i="30"/>
  <c r="J127" i="30"/>
  <c r="N126" i="30"/>
  <c r="M126" i="30"/>
  <c r="L126" i="30"/>
  <c r="K126" i="30"/>
  <c r="J126" i="30"/>
  <c r="N125" i="30"/>
  <c r="M125" i="30"/>
  <c r="L125" i="30"/>
  <c r="K125" i="30"/>
  <c r="J125" i="30"/>
  <c r="N124" i="30"/>
  <c r="M124" i="30"/>
  <c r="L124" i="30"/>
  <c r="K124" i="30"/>
  <c r="J124" i="30"/>
  <c r="S18" i="30"/>
  <c r="R18" i="30"/>
  <c r="K18" i="30"/>
  <c r="J18" i="30"/>
  <c r="H263" i="30" l="1"/>
  <c r="H262" i="30"/>
  <c r="H261" i="30"/>
  <c r="I237" i="30"/>
  <c r="I236" i="30"/>
  <c r="I235" i="30"/>
  <c r="I234" i="30"/>
  <c r="I233" i="30"/>
  <c r="I232" i="30"/>
  <c r="I231" i="30"/>
  <c r="I230" i="30"/>
  <c r="I229" i="30"/>
  <c r="I228" i="30"/>
  <c r="I227" i="30"/>
  <c r="I226" i="30"/>
  <c r="I225" i="30"/>
  <c r="I224" i="30"/>
  <c r="H62" i="30"/>
  <c r="H61" i="30"/>
  <c r="N58" i="30"/>
  <c r="M58" i="30"/>
  <c r="L58" i="30"/>
  <c r="K58" i="30"/>
  <c r="J58" i="30"/>
  <c r="N57" i="30"/>
  <c r="M57" i="30"/>
  <c r="L57" i="30"/>
  <c r="K57" i="30"/>
  <c r="J57" i="30"/>
  <c r="I57" i="30"/>
  <c r="D26" i="45" l="1"/>
  <c r="B4" i="25" l="1"/>
  <c r="D19" i="45" l="1"/>
  <c r="B4" i="48" l="1"/>
  <c r="D10" i="45"/>
  <c r="B3" i="48"/>
  <c r="D13" i="27" l="1"/>
  <c r="B3" i="25"/>
  <c r="B4" i="4"/>
  <c r="B4" i="44"/>
  <c r="B4" i="41"/>
  <c r="B4" i="31"/>
  <c r="B4" i="30"/>
  <c r="D11" i="45"/>
  <c r="D12" i="45"/>
  <c r="D13" i="45"/>
  <c r="D14" i="45"/>
  <c r="D15" i="45"/>
  <c r="D16" i="45"/>
  <c r="D17" i="45"/>
  <c r="D18" i="45"/>
  <c r="D20" i="45"/>
  <c r="D21" i="45"/>
  <c r="D22" i="45"/>
  <c r="D27" i="45"/>
  <c r="B6" i="45"/>
  <c r="B4" i="45"/>
  <c r="B3" i="44" l="1"/>
  <c r="B25" i="38" l="1"/>
  <c r="B12" i="38"/>
  <c r="G8" i="38"/>
  <c r="G7" i="38"/>
  <c r="B36" i="38"/>
  <c r="N68" i="30" l="1"/>
  <c r="M68" i="30"/>
  <c r="L68" i="30"/>
  <c r="K68" i="30"/>
  <c r="J68" i="30"/>
  <c r="J189" i="30" l="1"/>
  <c r="S189" i="30" l="1"/>
  <c r="Z189" i="30" s="1"/>
  <c r="S190" i="30"/>
  <c r="Z190" i="30" s="1"/>
  <c r="S191" i="30"/>
  <c r="Z191" i="30" s="1"/>
  <c r="R177" i="30"/>
  <c r="Y177" i="30" s="1"/>
  <c r="R178" i="30"/>
  <c r="Y178" i="30" s="1"/>
  <c r="R179" i="30"/>
  <c r="Y179" i="30" s="1"/>
  <c r="R180" i="30"/>
  <c r="Y180" i="30" s="1"/>
  <c r="R181" i="30"/>
  <c r="R182" i="30"/>
  <c r="Y182" i="30" s="1"/>
  <c r="V19" i="30"/>
  <c r="B35" i="38"/>
  <c r="B34" i="38"/>
  <c r="J191" i="30"/>
  <c r="Q191" i="30" s="1"/>
  <c r="J190" i="30"/>
  <c r="Q190" i="30" s="1"/>
  <c r="X190" i="30" s="1"/>
  <c r="Q189" i="30"/>
  <c r="X189" i="30" s="1"/>
  <c r="U37" i="30"/>
  <c r="U38" i="30"/>
  <c r="U39" i="30"/>
  <c r="U40" i="30"/>
  <c r="U36" i="30"/>
  <c r="U34" i="30"/>
  <c r="V34" i="30" s="1"/>
  <c r="U33" i="30"/>
  <c r="V33" i="30" s="1"/>
  <c r="U32" i="30"/>
  <c r="V32" i="30" s="1"/>
  <c r="U31" i="30"/>
  <c r="V31" i="30" s="1"/>
  <c r="U30" i="30"/>
  <c r="U28" i="30"/>
  <c r="U27" i="30"/>
  <c r="U26" i="30"/>
  <c r="U25" i="30"/>
  <c r="U24" i="30"/>
  <c r="F24" i="38" s="1"/>
  <c r="B29" i="38"/>
  <c r="B3" i="38"/>
  <c r="B16" i="38"/>
  <c r="I52" i="30"/>
  <c r="V201" i="30"/>
  <c r="V202" i="30"/>
  <c r="V203" i="30"/>
  <c r="V204" i="30"/>
  <c r="V205" i="30"/>
  <c r="V206" i="30"/>
  <c r="V207" i="30"/>
  <c r="V208" i="30"/>
  <c r="V209" i="30"/>
  <c r="V210" i="30"/>
  <c r="V211" i="30"/>
  <c r="V212" i="30"/>
  <c r="V213" i="30"/>
  <c r="V214" i="30"/>
  <c r="V215" i="30"/>
  <c r="V216" i="30"/>
  <c r="V217" i="30"/>
  <c r="V218" i="30"/>
  <c r="V219" i="30"/>
  <c r="D18" i="25"/>
  <c r="D19" i="25"/>
  <c r="D20" i="25"/>
  <c r="AD52" i="30"/>
  <c r="AC52" i="30"/>
  <c r="V52" i="30"/>
  <c r="U52" i="30"/>
  <c r="H52" i="30"/>
  <c r="M52" i="30"/>
  <c r="N52" i="30"/>
  <c r="I51" i="30"/>
  <c r="J51" i="30"/>
  <c r="K51" i="30"/>
  <c r="L51" i="30"/>
  <c r="M51" i="30"/>
  <c r="N51" i="30"/>
  <c r="H51" i="30"/>
  <c r="B3" i="41"/>
  <c r="J168" i="30"/>
  <c r="K168" i="30" s="1"/>
  <c r="L168" i="30" s="1"/>
  <c r="M168" i="30" s="1"/>
  <c r="N168" i="30" s="1"/>
  <c r="O168" i="30" s="1"/>
  <c r="P168" i="30" s="1"/>
  <c r="Q168" i="30" s="1"/>
  <c r="R168" i="30" s="1"/>
  <c r="S168" i="30" s="1"/>
  <c r="T168" i="30" s="1"/>
  <c r="U168" i="30" s="1"/>
  <c r="V168" i="30" s="1"/>
  <c r="W168" i="30" s="1"/>
  <c r="X168" i="30" s="1"/>
  <c r="Y168" i="30" s="1"/>
  <c r="Z168" i="30" s="1"/>
  <c r="AA168" i="30" s="1"/>
  <c r="AB168" i="30" s="1"/>
  <c r="AC168" i="30" s="1"/>
  <c r="AD168" i="30" s="1"/>
  <c r="D169" i="30"/>
  <c r="D111" i="30"/>
  <c r="D112" i="30"/>
  <c r="D113" i="30"/>
  <c r="D114" i="30"/>
  <c r="D115" i="30"/>
  <c r="D116" i="30"/>
  <c r="D25" i="25"/>
  <c r="D24" i="25"/>
  <c r="D23" i="25"/>
  <c r="D22" i="25"/>
  <c r="G47" i="38"/>
  <c r="G44" i="38"/>
  <c r="G43" i="38"/>
  <c r="D162" i="4"/>
  <c r="V15" i="30"/>
  <c r="AD15" i="30" s="1"/>
  <c r="AD51" i="30" s="1"/>
  <c r="U15" i="30"/>
  <c r="T15" i="30"/>
  <c r="S15" i="30"/>
  <c r="R15" i="30"/>
  <c r="R51" i="30" s="1"/>
  <c r="Q15" i="30"/>
  <c r="Q51" i="30" s="1"/>
  <c r="P15" i="30"/>
  <c r="O193" i="30"/>
  <c r="O192" i="30"/>
  <c r="Q180" i="30"/>
  <c r="U191" i="30"/>
  <c r="AB191" i="30" s="1"/>
  <c r="U182" i="30"/>
  <c r="AB182" i="30" s="1"/>
  <c r="U190" i="30"/>
  <c r="AB190" i="30" s="1"/>
  <c r="U181" i="30"/>
  <c r="AB181" i="30" s="1"/>
  <c r="U178" i="30"/>
  <c r="AB178" i="30" s="1"/>
  <c r="U177" i="30"/>
  <c r="AB177" i="30" s="1"/>
  <c r="T191" i="30"/>
  <c r="AA191" i="30" s="1"/>
  <c r="T182" i="30"/>
  <c r="AA182" i="30" s="1"/>
  <c r="T190" i="30"/>
  <c r="AA190" i="30" s="1"/>
  <c r="T181" i="30"/>
  <c r="AA181" i="30" s="1"/>
  <c r="T178" i="30"/>
  <c r="AA178" i="30" s="1"/>
  <c r="T189" i="30"/>
  <c r="AA189" i="30" s="1"/>
  <c r="T180" i="30"/>
  <c r="AA180" i="30" s="1"/>
  <c r="T177" i="30"/>
  <c r="AA177" i="30" s="1"/>
  <c r="O190" i="30"/>
  <c r="O178" i="30"/>
  <c r="S177" i="30"/>
  <c r="Z177" i="30" s="1"/>
  <c r="O191" i="30"/>
  <c r="S182" i="30"/>
  <c r="Z182" i="30" s="1"/>
  <c r="S181" i="30"/>
  <c r="Z181" i="30" s="1"/>
  <c r="S180" i="30"/>
  <c r="Z180" i="30" s="1"/>
  <c r="AC194" i="30"/>
  <c r="V194" i="30"/>
  <c r="U194" i="30"/>
  <c r="AB194" i="30" s="1"/>
  <c r="T194" i="30"/>
  <c r="AA194" i="30" s="1"/>
  <c r="S194" i="30"/>
  <c r="Z194" i="30" s="1"/>
  <c r="R194" i="30"/>
  <c r="Y194" i="30" s="1"/>
  <c r="Q194" i="30"/>
  <c r="X194" i="30" s="1"/>
  <c r="U193" i="30"/>
  <c r="AB193" i="30" s="1"/>
  <c r="T193" i="30"/>
  <c r="AA193" i="30" s="1"/>
  <c r="S193" i="30"/>
  <c r="Z193" i="30" s="1"/>
  <c r="R193" i="30"/>
  <c r="Y193" i="30" s="1"/>
  <c r="Q193" i="30"/>
  <c r="X193" i="30" s="1"/>
  <c r="U192" i="30"/>
  <c r="AB192" i="30" s="1"/>
  <c r="T192" i="30"/>
  <c r="AA192" i="30" s="1"/>
  <c r="S192" i="30"/>
  <c r="Z192" i="30" s="1"/>
  <c r="R192" i="30"/>
  <c r="Y192" i="30" s="1"/>
  <c r="Q192" i="30"/>
  <c r="X192" i="30" s="1"/>
  <c r="R191" i="30"/>
  <c r="Y191" i="30" s="1"/>
  <c r="R190" i="30"/>
  <c r="Y190" i="30" s="1"/>
  <c r="AC190" i="30" s="1"/>
  <c r="R189" i="30"/>
  <c r="U188" i="30"/>
  <c r="AB188" i="30" s="1"/>
  <c r="T188" i="30"/>
  <c r="AA188" i="30" s="1"/>
  <c r="S188" i="30"/>
  <c r="Z188" i="30" s="1"/>
  <c r="R188" i="30"/>
  <c r="Y188" i="30" s="1"/>
  <c r="Q188" i="30"/>
  <c r="X188" i="30" s="1"/>
  <c r="U187" i="30"/>
  <c r="AB187" i="30" s="1"/>
  <c r="T187" i="30"/>
  <c r="AA187" i="30" s="1"/>
  <c r="S187" i="30"/>
  <c r="Z187" i="30" s="1"/>
  <c r="R187" i="30"/>
  <c r="Q187" i="30"/>
  <c r="X187" i="30" s="1"/>
  <c r="U186" i="30"/>
  <c r="AB186" i="30" s="1"/>
  <c r="T186" i="30"/>
  <c r="AA186" i="30" s="1"/>
  <c r="S186" i="30"/>
  <c r="Z186" i="30" s="1"/>
  <c r="R186" i="30"/>
  <c r="Q186" i="30"/>
  <c r="X186" i="30" s="1"/>
  <c r="U185" i="30"/>
  <c r="AB185" i="30" s="1"/>
  <c r="T185" i="30"/>
  <c r="AA185" i="30" s="1"/>
  <c r="S185" i="30"/>
  <c r="Z185" i="30" s="1"/>
  <c r="R185" i="30"/>
  <c r="Q185" i="30"/>
  <c r="X185" i="30" s="1"/>
  <c r="U184" i="30"/>
  <c r="AB184" i="30" s="1"/>
  <c r="T184" i="30"/>
  <c r="AA184" i="30" s="1"/>
  <c r="S184" i="30"/>
  <c r="R184" i="30"/>
  <c r="Y184" i="30" s="1"/>
  <c r="Q184" i="30"/>
  <c r="X184" i="30" s="1"/>
  <c r="U183" i="30"/>
  <c r="AB183" i="30" s="1"/>
  <c r="T183" i="30"/>
  <c r="AA183" i="30" s="1"/>
  <c r="S183" i="30"/>
  <c r="Z183" i="30" s="1"/>
  <c r="R183" i="30"/>
  <c r="Q183" i="30"/>
  <c r="X183" i="30" s="1"/>
  <c r="Q182" i="30"/>
  <c r="Q181" i="30"/>
  <c r="X181" i="30" s="1"/>
  <c r="U179" i="30"/>
  <c r="AB179" i="30" s="1"/>
  <c r="T179" i="30"/>
  <c r="AA179" i="30" s="1"/>
  <c r="S179" i="30"/>
  <c r="Q179" i="30"/>
  <c r="Q178" i="30"/>
  <c r="X178" i="30" s="1"/>
  <c r="AC219" i="30"/>
  <c r="AC218" i="30"/>
  <c r="AC217" i="30"/>
  <c r="AC216" i="30"/>
  <c r="AC215" i="30"/>
  <c r="AC214" i="30"/>
  <c r="AC213" i="30"/>
  <c r="AC212" i="30"/>
  <c r="AC211" i="30"/>
  <c r="AC210" i="30"/>
  <c r="AC209" i="30"/>
  <c r="AC208" i="30"/>
  <c r="AC207" i="30"/>
  <c r="AC206" i="30"/>
  <c r="AC205" i="30"/>
  <c r="AC204" i="30"/>
  <c r="AC203" i="30"/>
  <c r="AC202" i="30"/>
  <c r="AC201" i="30"/>
  <c r="AC200" i="30"/>
  <c r="AB200" i="30"/>
  <c r="AA200" i="30"/>
  <c r="Z200" i="30"/>
  <c r="Y200" i="30"/>
  <c r="X200" i="30"/>
  <c r="V200" i="30"/>
  <c r="U200" i="30"/>
  <c r="T200" i="30"/>
  <c r="S200" i="30"/>
  <c r="R200" i="30"/>
  <c r="Q200" i="30"/>
  <c r="Q177" i="30"/>
  <c r="X177" i="30" s="1"/>
  <c r="O188" i="30"/>
  <c r="O187" i="30"/>
  <c r="O186" i="30"/>
  <c r="O185" i="30"/>
  <c r="O184" i="30"/>
  <c r="O183" i="30"/>
  <c r="O179" i="30"/>
  <c r="G35" i="38"/>
  <c r="S178" i="30"/>
  <c r="O177" i="30"/>
  <c r="O182" i="30"/>
  <c r="O180" i="30"/>
  <c r="U180" i="30"/>
  <c r="AB180" i="30" s="1"/>
  <c r="U189" i="30"/>
  <c r="AB189" i="30" s="1"/>
  <c r="O181" i="30"/>
  <c r="O189" i="30"/>
  <c r="X180" i="30"/>
  <c r="I73" i="30"/>
  <c r="K73" i="30"/>
  <c r="L73" i="30"/>
  <c r="M73" i="30"/>
  <c r="N73" i="30"/>
  <c r="J73" i="30"/>
  <c r="I69" i="30"/>
  <c r="I70" i="30" s="1"/>
  <c r="I67" i="30"/>
  <c r="I65" i="30"/>
  <c r="B3" i="31"/>
  <c r="J149" i="30"/>
  <c r="J123" i="30"/>
  <c r="K123" i="30" s="1"/>
  <c r="L123" i="30" s="1"/>
  <c r="M123" i="30" s="1"/>
  <c r="N123" i="30" s="1"/>
  <c r="J89" i="30"/>
  <c r="J85" i="30"/>
  <c r="J78" i="30"/>
  <c r="K78" i="30" s="1"/>
  <c r="L78" i="30" s="1"/>
  <c r="M78" i="30" s="1"/>
  <c r="N78" i="30" s="1"/>
  <c r="O78" i="30" s="1"/>
  <c r="P78" i="30" s="1"/>
  <c r="Q78" i="30" s="1"/>
  <c r="R78" i="30" s="1"/>
  <c r="J56" i="30"/>
  <c r="K56" i="30" s="1"/>
  <c r="D146" i="4"/>
  <c r="D147" i="4" s="1"/>
  <c r="D148" i="4" s="1"/>
  <c r="D149" i="4" s="1"/>
  <c r="D150" i="4" s="1"/>
  <c r="D151" i="4" s="1"/>
  <c r="B3" i="30"/>
  <c r="G14" i="4"/>
  <c r="F15" i="4"/>
  <c r="F12" i="4"/>
  <c r="G11" i="4"/>
  <c r="B3" i="4"/>
  <c r="L74" i="4"/>
  <c r="B69" i="4"/>
  <c r="B70" i="4"/>
  <c r="B71" i="4"/>
  <c r="B72" i="4"/>
  <c r="B73" i="4"/>
  <c r="B74" i="4"/>
  <c r="B75" i="4"/>
  <c r="B50" i="4"/>
  <c r="B51" i="4"/>
  <c r="B52" i="4"/>
  <c r="B53" i="4"/>
  <c r="B77" i="4"/>
  <c r="B57" i="4"/>
  <c r="B76" i="4"/>
  <c r="B55" i="4"/>
  <c r="B56" i="4"/>
  <c r="B78" i="4"/>
  <c r="B68" i="4"/>
  <c r="B67" i="4"/>
  <c r="B66" i="4"/>
  <c r="B65" i="4"/>
  <c r="B64" i="4"/>
  <c r="B63" i="4"/>
  <c r="B62" i="4"/>
  <c r="B58" i="4"/>
  <c r="B54" i="4"/>
  <c r="B49" i="4"/>
  <c r="B48" i="4"/>
  <c r="B47" i="4"/>
  <c r="B46" i="4"/>
  <c r="B45" i="4"/>
  <c r="B44" i="4"/>
  <c r="B43" i="4"/>
  <c r="B42" i="4"/>
  <c r="E125" i="4"/>
  <c r="E128" i="4" s="1"/>
  <c r="E131" i="4" s="1"/>
  <c r="E124" i="4"/>
  <c r="E127" i="4" s="1"/>
  <c r="E130" i="4" s="1"/>
  <c r="E123" i="4"/>
  <c r="E126" i="4" s="1"/>
  <c r="E129" i="4" s="1"/>
  <c r="M27" i="4"/>
  <c r="N27" i="4"/>
  <c r="O27" i="4"/>
  <c r="P27" i="4"/>
  <c r="Q27" i="4"/>
  <c r="R27" i="4"/>
  <c r="S27" i="4"/>
  <c r="T27" i="4"/>
  <c r="U27" i="4"/>
  <c r="V27" i="4"/>
  <c r="W27" i="4"/>
  <c r="X27" i="4"/>
  <c r="L27" i="4"/>
  <c r="L54" i="4"/>
  <c r="M54" i="4" s="1"/>
  <c r="N54" i="4" s="1"/>
  <c r="N55" i="4" s="1"/>
  <c r="L34" i="4"/>
  <c r="L37" i="4" s="1"/>
  <c r="L58" i="4"/>
  <c r="L38" i="4"/>
  <c r="L78" i="4"/>
  <c r="M58" i="4"/>
  <c r="N58" i="4"/>
  <c r="O58" i="4"/>
  <c r="M78" i="4"/>
  <c r="M38" i="4"/>
  <c r="N38" i="4"/>
  <c r="P58" i="4"/>
  <c r="N78" i="4"/>
  <c r="O38" i="4"/>
  <c r="P38" i="4"/>
  <c r="Q58" i="4"/>
  <c r="O78" i="4"/>
  <c r="R58" i="4"/>
  <c r="Q38" i="4"/>
  <c r="R38" i="4"/>
  <c r="S58" i="4"/>
  <c r="T58" i="4"/>
  <c r="P78" i="4"/>
  <c r="S38" i="4"/>
  <c r="U58" i="4"/>
  <c r="T38" i="4"/>
  <c r="U38" i="4"/>
  <c r="V58" i="4"/>
  <c r="Q78" i="4"/>
  <c r="W58" i="4"/>
  <c r="X58" i="4"/>
  <c r="V38" i="4"/>
  <c r="W38" i="4"/>
  <c r="X38" i="4"/>
  <c r="R78" i="4"/>
  <c r="S78" i="4"/>
  <c r="T78" i="4"/>
  <c r="U78" i="4"/>
  <c r="V78" i="4"/>
  <c r="W78" i="4"/>
  <c r="X78" i="4"/>
  <c r="AL15" i="30" l="1"/>
  <c r="V190" i="30"/>
  <c r="D163" i="4"/>
  <c r="L55" i="4"/>
  <c r="AC193" i="30"/>
  <c r="C22" i="38"/>
  <c r="C9" i="38"/>
  <c r="D164" i="4"/>
  <c r="Y15" i="30"/>
  <c r="Y51" i="30" s="1"/>
  <c r="L36" i="4"/>
  <c r="L35" i="4"/>
  <c r="V180" i="30"/>
  <c r="Z15" i="30"/>
  <c r="Z51" i="30" s="1"/>
  <c r="Y181" i="30"/>
  <c r="AC181" i="30" s="1"/>
  <c r="V181" i="30"/>
  <c r="V193" i="30"/>
  <c r="L25" i="4"/>
  <c r="L26" i="4" s="1"/>
  <c r="L21" i="4" s="1"/>
  <c r="J65" i="30"/>
  <c r="V182" i="30"/>
  <c r="V177" i="30"/>
  <c r="X191" i="30"/>
  <c r="AB52" i="30" s="1"/>
  <c r="S51" i="30"/>
  <c r="AA15" i="30"/>
  <c r="K254" i="30"/>
  <c r="V188" i="30"/>
  <c r="D160" i="4"/>
  <c r="N47" i="4"/>
  <c r="M47" i="4"/>
  <c r="M74" i="4"/>
  <c r="L65" i="4"/>
  <c r="L67" i="4" s="1"/>
  <c r="L66" i="4" s="1"/>
  <c r="M34" i="4"/>
  <c r="L45" i="4"/>
  <c r="L47" i="4" s="1"/>
  <c r="L46" i="4" s="1"/>
  <c r="L56" i="4"/>
  <c r="O54" i="4"/>
  <c r="M55" i="4"/>
  <c r="L57" i="4"/>
  <c r="L56" i="30"/>
  <c r="K65" i="30"/>
  <c r="AC15" i="30"/>
  <c r="U51" i="30"/>
  <c r="D165" i="4"/>
  <c r="G12" i="38"/>
  <c r="AC192" i="30"/>
  <c r="V191" i="30"/>
  <c r="V51" i="30"/>
  <c r="L254" i="30"/>
  <c r="I254" i="30"/>
  <c r="AC188" i="30"/>
  <c r="V192" i="30"/>
  <c r="AC182" i="30"/>
  <c r="T52" i="30"/>
  <c r="G32" i="38"/>
  <c r="P51" i="30"/>
  <c r="X15" i="30"/>
  <c r="T51" i="30"/>
  <c r="AB15" i="30"/>
  <c r="Q52" i="30"/>
  <c r="X182" i="30"/>
  <c r="Y52" i="30" s="1"/>
  <c r="V184" i="30"/>
  <c r="Z184" i="30"/>
  <c r="AC184" i="30" s="1"/>
  <c r="Z178" i="30"/>
  <c r="AC178" i="30" s="1"/>
  <c r="V178" i="30"/>
  <c r="V179" i="30"/>
  <c r="Z179" i="30"/>
  <c r="AC179" i="30" s="1"/>
  <c r="Y183" i="30"/>
  <c r="AC183" i="30" s="1"/>
  <c r="V183" i="30"/>
  <c r="Y189" i="30"/>
  <c r="AC189" i="30" s="1"/>
  <c r="V189" i="30"/>
  <c r="Y186" i="30"/>
  <c r="AC186" i="30" s="1"/>
  <c r="V186" i="30"/>
  <c r="J254" i="30"/>
  <c r="X179" i="30"/>
  <c r="X52" i="30" s="1"/>
  <c r="P52" i="30"/>
  <c r="V185" i="30"/>
  <c r="Y185" i="30"/>
  <c r="AC185" i="30" s="1"/>
  <c r="M254" i="30"/>
  <c r="Y187" i="30"/>
  <c r="AC187" i="30" s="1"/>
  <c r="V187" i="30"/>
  <c r="AC191" i="30"/>
  <c r="V30" i="30"/>
  <c r="AC180" i="30"/>
  <c r="D161" i="4"/>
  <c r="AC177" i="30"/>
  <c r="L52" i="30"/>
  <c r="K149" i="30"/>
  <c r="D166" i="4"/>
  <c r="G49" i="38"/>
  <c r="G33" i="38"/>
  <c r="I71" i="30"/>
  <c r="I74" i="30" s="1"/>
  <c r="AH15" i="30" l="1"/>
  <c r="G46" i="38"/>
  <c r="L28" i="4"/>
  <c r="L29" i="4" s="1"/>
  <c r="G51" i="38"/>
  <c r="AG15" i="30"/>
  <c r="L149" i="30"/>
  <c r="L23" i="4"/>
  <c r="L24" i="4" s="1"/>
  <c r="AA51" i="30"/>
  <c r="AI15" i="30"/>
  <c r="L30" i="4"/>
  <c r="L31" i="4" s="1"/>
  <c r="E23" i="38"/>
  <c r="O55" i="4"/>
  <c r="P54" i="4"/>
  <c r="O47" i="4"/>
  <c r="L33" i="4"/>
  <c r="L65" i="30"/>
  <c r="M56" i="30"/>
  <c r="L41" i="4"/>
  <c r="L48" i="4"/>
  <c r="L49" i="4" s="1"/>
  <c r="L43" i="4"/>
  <c r="L50" i="4"/>
  <c r="L51" i="4" s="1"/>
  <c r="M45" i="4"/>
  <c r="M46" i="4" s="1"/>
  <c r="L76" i="4"/>
  <c r="L77" i="4"/>
  <c r="AK15" i="30"/>
  <c r="AC51" i="30"/>
  <c r="L63" i="4"/>
  <c r="L68" i="4"/>
  <c r="L69" i="4" s="1"/>
  <c r="L70" i="4"/>
  <c r="L71" i="4" s="1"/>
  <c r="L61" i="4"/>
  <c r="M67" i="4"/>
  <c r="M65" i="4"/>
  <c r="N74" i="4"/>
  <c r="N34" i="4"/>
  <c r="M25" i="4"/>
  <c r="M26" i="4" s="1"/>
  <c r="G34" i="38"/>
  <c r="AB51" i="30"/>
  <c r="AJ15" i="30"/>
  <c r="G39" i="38"/>
  <c r="AF15" i="30"/>
  <c r="X51" i="30"/>
  <c r="D23" i="38"/>
  <c r="G38" i="38"/>
  <c r="E10" i="38"/>
  <c r="D10" i="38"/>
  <c r="G41" i="38"/>
  <c r="G40" i="38"/>
  <c r="M66" i="4" l="1"/>
  <c r="M68" i="4" s="1"/>
  <c r="M69" i="4" s="1"/>
  <c r="L32" i="4"/>
  <c r="L22" i="4"/>
  <c r="G52" i="38"/>
  <c r="G25" i="38"/>
  <c r="M35" i="4"/>
  <c r="M149" i="30"/>
  <c r="M48" i="4"/>
  <c r="M49" i="4" s="1"/>
  <c r="M41" i="4"/>
  <c r="M43" i="4"/>
  <c r="M42" i="4" s="1"/>
  <c r="M50" i="4"/>
  <c r="M51" i="4" s="1"/>
  <c r="N45" i="4"/>
  <c r="N46" i="4" s="1"/>
  <c r="L53" i="4"/>
  <c r="L44" i="4"/>
  <c r="L52" i="4"/>
  <c r="N56" i="30"/>
  <c r="M65" i="30"/>
  <c r="N67" i="4"/>
  <c r="O74" i="4"/>
  <c r="L73" i="4"/>
  <c r="L72" i="4"/>
  <c r="L64" i="4"/>
  <c r="M28" i="4"/>
  <c r="M29" i="4" s="1"/>
  <c r="M30" i="4"/>
  <c r="M31" i="4" s="1"/>
  <c r="M23" i="4"/>
  <c r="M22" i="4" s="1"/>
  <c r="M21" i="4"/>
  <c r="L42" i="4"/>
  <c r="N25" i="4"/>
  <c r="N26" i="4" s="1"/>
  <c r="O34" i="4"/>
  <c r="M76" i="4"/>
  <c r="M77" i="4"/>
  <c r="L62" i="4"/>
  <c r="P47" i="4"/>
  <c r="Q54" i="4"/>
  <c r="P55" i="4"/>
  <c r="F11" i="38"/>
  <c r="M61" i="4" l="1"/>
  <c r="N65" i="4"/>
  <c r="N66" i="4" s="1"/>
  <c r="O65" i="4" s="1"/>
  <c r="M70" i="4"/>
  <c r="M71" i="4" s="1"/>
  <c r="M63" i="4"/>
  <c r="M62" i="4" s="1"/>
  <c r="N149" i="30"/>
  <c r="N35" i="4"/>
  <c r="O67" i="4"/>
  <c r="P74" i="4"/>
  <c r="N43" i="4"/>
  <c r="N50" i="4"/>
  <c r="N51" i="4" s="1"/>
  <c r="N41" i="4"/>
  <c r="N48" i="4"/>
  <c r="N49" i="4" s="1"/>
  <c r="O45" i="4"/>
  <c r="O46" i="4" s="1"/>
  <c r="N23" i="4"/>
  <c r="N22" i="4" s="1"/>
  <c r="N28" i="4"/>
  <c r="N29" i="4" s="1"/>
  <c r="N21" i="4"/>
  <c r="N30" i="4"/>
  <c r="N31" i="4" s="1"/>
  <c r="N76" i="4"/>
  <c r="N77" i="4"/>
  <c r="R54" i="4"/>
  <c r="Q55" i="4"/>
  <c r="Q47" i="4"/>
  <c r="M33" i="4"/>
  <c r="M24" i="4"/>
  <c r="M37" i="4" s="1"/>
  <c r="M32" i="4"/>
  <c r="M36" i="4"/>
  <c r="M52" i="4"/>
  <c r="M44" i="4"/>
  <c r="M57" i="4" s="1"/>
  <c r="M53" i="4"/>
  <c r="M56" i="4"/>
  <c r="O25" i="4"/>
  <c r="O26" i="4" s="1"/>
  <c r="P34" i="4"/>
  <c r="N65" i="30"/>
  <c r="M64" i="4" l="1"/>
  <c r="M72" i="4"/>
  <c r="M73" i="4"/>
  <c r="N70" i="4"/>
  <c r="N71" i="4" s="1"/>
  <c r="N68" i="4"/>
  <c r="N69" i="4" s="1"/>
  <c r="N61" i="4"/>
  <c r="N63" i="4"/>
  <c r="N62" i="4" s="1"/>
  <c r="N36" i="4"/>
  <c r="O66" i="4"/>
  <c r="O63" i="4" s="1"/>
  <c r="O62" i="4" s="1"/>
  <c r="O35" i="4"/>
  <c r="N56" i="4"/>
  <c r="Q34" i="4"/>
  <c r="P25" i="4"/>
  <c r="P26" i="4" s="1"/>
  <c r="O48" i="4"/>
  <c r="O49" i="4" s="1"/>
  <c r="O43" i="4"/>
  <c r="O41" i="4"/>
  <c r="O50" i="4"/>
  <c r="O51" i="4" s="1"/>
  <c r="P45" i="4"/>
  <c r="P46" i="4" s="1"/>
  <c r="O23" i="4"/>
  <c r="O21" i="4"/>
  <c r="O30" i="4"/>
  <c r="O31" i="4" s="1"/>
  <c r="O28" i="4"/>
  <c r="O29" i="4" s="1"/>
  <c r="O22" i="4"/>
  <c r="S54" i="4"/>
  <c r="R47" i="4"/>
  <c r="R55" i="4"/>
  <c r="N53" i="4"/>
  <c r="N52" i="4"/>
  <c r="N44" i="4"/>
  <c r="N57" i="4" s="1"/>
  <c r="O76" i="4"/>
  <c r="O77" i="4"/>
  <c r="N24" i="4"/>
  <c r="N37" i="4" s="1"/>
  <c r="N32" i="4"/>
  <c r="N33" i="4"/>
  <c r="N42" i="4"/>
  <c r="Q74" i="4"/>
  <c r="P67" i="4"/>
  <c r="O56" i="4" l="1"/>
  <c r="N64" i="4"/>
  <c r="O68" i="4"/>
  <c r="O69" i="4" s="1"/>
  <c r="N72" i="4"/>
  <c r="N73" i="4"/>
  <c r="O70" i="4"/>
  <c r="O71" i="4" s="1"/>
  <c r="P65" i="4"/>
  <c r="P77" i="4" s="1"/>
  <c r="O61" i="4"/>
  <c r="S55" i="4"/>
  <c r="T54" i="4"/>
  <c r="S47" i="4"/>
  <c r="O32" i="4"/>
  <c r="O33" i="4"/>
  <c r="O24" i="4"/>
  <c r="O37" i="4" s="1"/>
  <c r="O36" i="4"/>
  <c r="O52" i="4"/>
  <c r="O53" i="4"/>
  <c r="O44" i="4"/>
  <c r="O57" i="4" s="1"/>
  <c r="Q25" i="4"/>
  <c r="Q26" i="4" s="1"/>
  <c r="R34" i="4"/>
  <c r="O73" i="4"/>
  <c r="O72" i="4"/>
  <c r="O64" i="4"/>
  <c r="P43" i="4"/>
  <c r="P41" i="4"/>
  <c r="P48" i="4"/>
  <c r="P49" i="4" s="1"/>
  <c r="P50" i="4"/>
  <c r="P51" i="4" s="1"/>
  <c r="Q45" i="4"/>
  <c r="Q46" i="4" s="1"/>
  <c r="Q67" i="4"/>
  <c r="R74" i="4"/>
  <c r="O42" i="4"/>
  <c r="P35" i="4"/>
  <c r="P30" i="4"/>
  <c r="P31" i="4" s="1"/>
  <c r="P21" i="4"/>
  <c r="P23" i="4"/>
  <c r="P22" i="4" s="1"/>
  <c r="P28" i="4"/>
  <c r="P29" i="4" s="1"/>
  <c r="P56" i="4" l="1"/>
  <c r="P42" i="4"/>
  <c r="P66" i="4"/>
  <c r="P68" i="4" s="1"/>
  <c r="P69" i="4" s="1"/>
  <c r="P76" i="4"/>
  <c r="Q35" i="4"/>
  <c r="P33" i="4"/>
  <c r="P24" i="4"/>
  <c r="P37" i="4" s="1"/>
  <c r="P32" i="4"/>
  <c r="R67" i="4"/>
  <c r="S74" i="4"/>
  <c r="P36" i="4"/>
  <c r="T55" i="4"/>
  <c r="T47" i="4"/>
  <c r="U54" i="4"/>
  <c r="S34" i="4"/>
  <c r="R25" i="4"/>
  <c r="R26" i="4" s="1"/>
  <c r="Q43" i="4"/>
  <c r="Q50" i="4"/>
  <c r="Q51" i="4" s="1"/>
  <c r="Q48" i="4"/>
  <c r="Q49" i="4" s="1"/>
  <c r="Q41" i="4"/>
  <c r="R45" i="4"/>
  <c r="R46" i="4" s="1"/>
  <c r="P52" i="4"/>
  <c r="P44" i="4"/>
  <c r="P57" i="4" s="1"/>
  <c r="P53" i="4"/>
  <c r="Q23" i="4"/>
  <c r="Q22" i="4" s="1"/>
  <c r="Q21" i="4"/>
  <c r="Q28" i="4"/>
  <c r="Q29" i="4" s="1"/>
  <c r="Q30" i="4"/>
  <c r="Q31" i="4" s="1"/>
  <c r="H23" i="25"/>
  <c r="P63" i="4" l="1"/>
  <c r="P70" i="4"/>
  <c r="P71" i="4" s="1"/>
  <c r="P61" i="4"/>
  <c r="Q65" i="4"/>
  <c r="R35" i="4"/>
  <c r="Q52" i="4"/>
  <c r="Q44" i="4"/>
  <c r="Q57" i="4" s="1"/>
  <c r="Q53" i="4"/>
  <c r="T34" i="4"/>
  <c r="S25" i="4"/>
  <c r="S26" i="4" s="1"/>
  <c r="Q36" i="4"/>
  <c r="Q32" i="4"/>
  <c r="Q24" i="4"/>
  <c r="Q37" i="4" s="1"/>
  <c r="Q33" i="4"/>
  <c r="R43" i="4"/>
  <c r="R42" i="4" s="1"/>
  <c r="R50" i="4"/>
  <c r="R51" i="4" s="1"/>
  <c r="R41" i="4"/>
  <c r="R48" i="4"/>
  <c r="R49" i="4" s="1"/>
  <c r="S45" i="4"/>
  <c r="S46" i="4" s="1"/>
  <c r="Q42" i="4"/>
  <c r="R23" i="4"/>
  <c r="R30" i="4"/>
  <c r="R31" i="4" s="1"/>
  <c r="R21" i="4"/>
  <c r="R28" i="4"/>
  <c r="R29" i="4" s="1"/>
  <c r="U55" i="4"/>
  <c r="U47" i="4"/>
  <c r="V54" i="4"/>
  <c r="S67" i="4"/>
  <c r="T74" i="4"/>
  <c r="Q56" i="4"/>
  <c r="H24" i="25"/>
  <c r="P62" i="4" l="1"/>
  <c r="P64" i="4"/>
  <c r="P72" i="4"/>
  <c r="P73" i="4"/>
  <c r="Q66" i="4"/>
  <c r="Q77" i="4"/>
  <c r="Q76" i="4"/>
  <c r="R56" i="4"/>
  <c r="V47" i="4"/>
  <c r="V55" i="4"/>
  <c r="W54" i="4"/>
  <c r="R44" i="4"/>
  <c r="R57" i="4" s="1"/>
  <c r="R53" i="4"/>
  <c r="R52" i="4"/>
  <c r="R24" i="4"/>
  <c r="R37" i="4" s="1"/>
  <c r="R32" i="4"/>
  <c r="R33" i="4"/>
  <c r="S35" i="4"/>
  <c r="U34" i="4"/>
  <c r="T25" i="4"/>
  <c r="T26" i="4" s="1"/>
  <c r="R36" i="4"/>
  <c r="S23" i="4"/>
  <c r="S22" i="4" s="1"/>
  <c r="S28" i="4"/>
  <c r="S29" i="4" s="1"/>
  <c r="S30" i="4"/>
  <c r="S31" i="4" s="1"/>
  <c r="S21" i="4"/>
  <c r="T67" i="4"/>
  <c r="U74" i="4"/>
  <c r="R22" i="4"/>
  <c r="S41" i="4"/>
  <c r="S43" i="4"/>
  <c r="S42" i="4" s="1"/>
  <c r="S50" i="4"/>
  <c r="S51" i="4" s="1"/>
  <c r="S48" i="4"/>
  <c r="S49" i="4" s="1"/>
  <c r="T45" i="4"/>
  <c r="T46" i="4" s="1"/>
  <c r="Q70" i="4" l="1"/>
  <c r="Q71" i="4" s="1"/>
  <c r="Q68" i="4"/>
  <c r="Q69" i="4" s="1"/>
  <c r="Q63" i="4"/>
  <c r="Q61" i="4"/>
  <c r="R65" i="4"/>
  <c r="S36" i="4"/>
  <c r="T21" i="4"/>
  <c r="T30" i="4"/>
  <c r="T31" i="4" s="1"/>
  <c r="T28" i="4"/>
  <c r="T29" i="4" s="1"/>
  <c r="T23" i="4"/>
  <c r="V34" i="4"/>
  <c r="U25" i="4"/>
  <c r="U26" i="4" s="1"/>
  <c r="X54" i="4"/>
  <c r="W47" i="4"/>
  <c r="W55" i="4"/>
  <c r="T35" i="4"/>
  <c r="T41" i="4"/>
  <c r="T43" i="4"/>
  <c r="T42" i="4" s="1"/>
  <c r="T50" i="4"/>
  <c r="T51" i="4" s="1"/>
  <c r="T48" i="4"/>
  <c r="T49" i="4" s="1"/>
  <c r="U45" i="4"/>
  <c r="U46" i="4" s="1"/>
  <c r="S52" i="4"/>
  <c r="S53" i="4"/>
  <c r="S44" i="4"/>
  <c r="S57" i="4" s="1"/>
  <c r="S32" i="4"/>
  <c r="S33" i="4"/>
  <c r="S24" i="4"/>
  <c r="S37" i="4" s="1"/>
  <c r="S56" i="4"/>
  <c r="V74" i="4"/>
  <c r="U67" i="4"/>
  <c r="R76" i="4" l="1"/>
  <c r="R66" i="4"/>
  <c r="R77" i="4"/>
  <c r="Q62" i="4"/>
  <c r="Q73" i="4"/>
  <c r="Q64" i="4"/>
  <c r="Q72" i="4"/>
  <c r="U35" i="4"/>
  <c r="T56" i="4"/>
  <c r="U28" i="4"/>
  <c r="U29" i="4" s="1"/>
  <c r="U21" i="4"/>
  <c r="U23" i="4"/>
  <c r="U30" i="4"/>
  <c r="U31" i="4" s="1"/>
  <c r="T33" i="4"/>
  <c r="T24" i="4"/>
  <c r="T37" i="4" s="1"/>
  <c r="T32" i="4"/>
  <c r="T36" i="4"/>
  <c r="W74" i="4"/>
  <c r="V67" i="4"/>
  <c r="X47" i="4"/>
  <c r="X55" i="4"/>
  <c r="U41" i="4"/>
  <c r="U50" i="4"/>
  <c r="U51" i="4" s="1"/>
  <c r="U43" i="4"/>
  <c r="U42" i="4" s="1"/>
  <c r="U48" i="4"/>
  <c r="U49" i="4" s="1"/>
  <c r="V45" i="4"/>
  <c r="V46" i="4" s="1"/>
  <c r="T44" i="4"/>
  <c r="T57" i="4" s="1"/>
  <c r="T53" i="4"/>
  <c r="T52" i="4"/>
  <c r="V25" i="4"/>
  <c r="V26" i="4" s="1"/>
  <c r="W34" i="4"/>
  <c r="T22" i="4"/>
  <c r="R61" i="4" l="1"/>
  <c r="R70" i="4"/>
  <c r="R71" i="4" s="1"/>
  <c r="R63" i="4"/>
  <c r="R68" i="4"/>
  <c r="R69" i="4" s="1"/>
  <c r="S65" i="4"/>
  <c r="U36" i="4"/>
  <c r="V21" i="4"/>
  <c r="V23" i="4"/>
  <c r="V28" i="4"/>
  <c r="V29" i="4" s="1"/>
  <c r="V30" i="4"/>
  <c r="V31" i="4" s="1"/>
  <c r="V43" i="4"/>
  <c r="V48" i="4"/>
  <c r="V49" i="4" s="1"/>
  <c r="V41" i="4"/>
  <c r="V50" i="4"/>
  <c r="V51" i="4" s="1"/>
  <c r="W45" i="4"/>
  <c r="W46" i="4" s="1"/>
  <c r="X74" i="4"/>
  <c r="W67" i="4"/>
  <c r="U33" i="4"/>
  <c r="U32" i="4"/>
  <c r="U24" i="4"/>
  <c r="U37" i="4" s="1"/>
  <c r="X34" i="4"/>
  <c r="W25" i="4"/>
  <c r="W26" i="4" s="1"/>
  <c r="V35" i="4"/>
  <c r="U52" i="4"/>
  <c r="U53" i="4"/>
  <c r="U44" i="4"/>
  <c r="U57" i="4" s="1"/>
  <c r="U22" i="4"/>
  <c r="U56" i="4"/>
  <c r="S76" i="4" l="1"/>
  <c r="S77" i="4"/>
  <c r="S66" i="4"/>
  <c r="R73" i="4"/>
  <c r="R64" i="4"/>
  <c r="R72" i="4"/>
  <c r="R62" i="4"/>
  <c r="V56" i="4"/>
  <c r="W35" i="4"/>
  <c r="W28" i="4"/>
  <c r="W29" i="4" s="1"/>
  <c r="W23" i="4"/>
  <c r="W21" i="4"/>
  <c r="W30" i="4"/>
  <c r="W31" i="4" s="1"/>
  <c r="V53" i="4"/>
  <c r="V52" i="4"/>
  <c r="V44" i="4"/>
  <c r="V57" i="4" s="1"/>
  <c r="W41" i="4"/>
  <c r="W48" i="4"/>
  <c r="W49" i="4" s="1"/>
  <c r="W43" i="4"/>
  <c r="W50" i="4"/>
  <c r="W51" i="4" s="1"/>
  <c r="X45" i="4"/>
  <c r="X46" i="4" s="1"/>
  <c r="X25" i="4"/>
  <c r="X26" i="4" s="1"/>
  <c r="V32" i="4"/>
  <c r="V33" i="4"/>
  <c r="V24" i="4"/>
  <c r="V37" i="4" s="1"/>
  <c r="V36" i="4"/>
  <c r="X67" i="4"/>
  <c r="V42" i="4"/>
  <c r="V22" i="4"/>
  <c r="S61" i="4" l="1"/>
  <c r="S68" i="4"/>
  <c r="S69" i="4" s="1"/>
  <c r="S70" i="4"/>
  <c r="S71" i="4" s="1"/>
  <c r="S63" i="4"/>
  <c r="T65" i="4"/>
  <c r="W44" i="4"/>
  <c r="W57" i="4" s="1"/>
  <c r="W53" i="4"/>
  <c r="W52" i="4"/>
  <c r="W33" i="4"/>
  <c r="W32" i="4"/>
  <c r="W24" i="4"/>
  <c r="W37" i="4" s="1"/>
  <c r="W36" i="4"/>
  <c r="X23" i="4"/>
  <c r="X22" i="4" s="1"/>
  <c r="X28" i="4"/>
  <c r="X29" i="4" s="1"/>
  <c r="X30" i="4"/>
  <c r="X31" i="4" s="1"/>
  <c r="X21" i="4"/>
  <c r="X48" i="4"/>
  <c r="X49" i="4" s="1"/>
  <c r="X41" i="4"/>
  <c r="X43" i="4"/>
  <c r="X42" i="4" s="1"/>
  <c r="X50" i="4"/>
  <c r="X51" i="4" s="1"/>
  <c r="W42" i="4"/>
  <c r="X35" i="4"/>
  <c r="W22" i="4"/>
  <c r="W56" i="4"/>
  <c r="S62" i="4" l="1"/>
  <c r="S72" i="4"/>
  <c r="S64" i="4"/>
  <c r="S73" i="4"/>
  <c r="T76" i="4"/>
  <c r="T77" i="4"/>
  <c r="T66" i="4"/>
  <c r="X56" i="4"/>
  <c r="X33" i="4"/>
  <c r="X24" i="4"/>
  <c r="X37" i="4" s="1"/>
  <c r="X32" i="4"/>
  <c r="X36" i="4"/>
  <c r="X52" i="4"/>
  <c r="X53" i="4"/>
  <c r="X44" i="4"/>
  <c r="X57" i="4" s="1"/>
  <c r="T63" i="4" l="1"/>
  <c r="T70" i="4"/>
  <c r="T71" i="4" s="1"/>
  <c r="T68" i="4"/>
  <c r="T69" i="4" s="1"/>
  <c r="T61" i="4"/>
  <c r="U65" i="4"/>
  <c r="T62" i="4" l="1"/>
  <c r="T64" i="4"/>
  <c r="T73" i="4"/>
  <c r="T72" i="4"/>
  <c r="U77" i="4"/>
  <c r="U66" i="4"/>
  <c r="U76" i="4"/>
  <c r="U63" i="4" l="1"/>
  <c r="V65" i="4"/>
  <c r="U70" i="4"/>
  <c r="U71" i="4" s="1"/>
  <c r="U61" i="4"/>
  <c r="U68" i="4"/>
  <c r="U69" i="4" s="1"/>
  <c r="V77" i="4" l="1"/>
  <c r="V76" i="4"/>
  <c r="V66" i="4"/>
  <c r="U62" i="4"/>
  <c r="U73" i="4"/>
  <c r="U64" i="4"/>
  <c r="U72" i="4"/>
  <c r="V63" i="4" l="1"/>
  <c r="V68" i="4"/>
  <c r="V69" i="4" s="1"/>
  <c r="V61" i="4"/>
  <c r="W65" i="4"/>
  <c r="V70" i="4"/>
  <c r="V71" i="4" s="1"/>
  <c r="V62" i="4" l="1"/>
  <c r="V64" i="4"/>
  <c r="V73" i="4"/>
  <c r="V72" i="4"/>
  <c r="W76" i="4"/>
  <c r="W66" i="4"/>
  <c r="W77" i="4"/>
  <c r="W68" i="4" l="1"/>
  <c r="W69" i="4" s="1"/>
  <c r="W61" i="4"/>
  <c r="W70" i="4"/>
  <c r="W71" i="4" s="1"/>
  <c r="W63" i="4"/>
  <c r="X65" i="4"/>
  <c r="X77" i="4" l="1"/>
  <c r="X66" i="4"/>
  <c r="X76" i="4"/>
  <c r="W62" i="4"/>
  <c r="W64" i="4"/>
  <c r="W73" i="4"/>
  <c r="W72" i="4"/>
  <c r="X61" i="4" l="1"/>
  <c r="X68" i="4"/>
  <c r="X69" i="4" s="1"/>
  <c r="X70" i="4"/>
  <c r="X71" i="4" s="1"/>
  <c r="X63" i="4"/>
  <c r="X62" i="4" l="1"/>
  <c r="X64" i="4"/>
  <c r="X72" i="4"/>
  <c r="X73" i="4"/>
  <c r="L169" i="30" l="1"/>
  <c r="K170" i="30"/>
  <c r="M169" i="30"/>
  <c r="L170" i="30"/>
  <c r="J169" i="30"/>
  <c r="N170" i="30"/>
  <c r="N169" i="30"/>
  <c r="M170" i="30"/>
  <c r="K169" i="30"/>
  <c r="J170" i="30"/>
  <c r="L171" i="30" l="1"/>
  <c r="J171" i="30"/>
  <c r="Q169" i="30"/>
  <c r="X169" i="30"/>
  <c r="AD169" i="30"/>
  <c r="V169" i="30"/>
  <c r="T169" i="30"/>
  <c r="U169" i="30"/>
  <c r="P169" i="30"/>
  <c r="S169" i="30"/>
  <c r="AC169" i="30"/>
  <c r="Y169" i="30"/>
  <c r="AB169" i="30"/>
  <c r="O169" i="30"/>
  <c r="Z169" i="30"/>
  <c r="R169" i="30"/>
  <c r="AA169" i="30"/>
  <c r="W169" i="30"/>
  <c r="P170" i="30"/>
  <c r="S170" i="30"/>
  <c r="R170" i="30"/>
  <c r="AA170" i="30"/>
  <c r="Q170" i="30"/>
  <c r="V170" i="30"/>
  <c r="AC170" i="30"/>
  <c r="T170" i="30"/>
  <c r="U170" i="30"/>
  <c r="Y170" i="30"/>
  <c r="Z170" i="30"/>
  <c r="X170" i="30"/>
  <c r="AD170" i="30"/>
  <c r="O170" i="30"/>
  <c r="AB170" i="30"/>
  <c r="W170" i="30"/>
  <c r="M171" i="30"/>
  <c r="K171" i="30"/>
  <c r="N171" i="30"/>
  <c r="Z171" i="30" l="1"/>
  <c r="AC171" i="30"/>
  <c r="T171" i="30"/>
  <c r="Q171" i="30"/>
  <c r="W171" i="30"/>
  <c r="O171" i="30"/>
  <c r="S171" i="30"/>
  <c r="V171" i="30"/>
  <c r="AA171" i="30"/>
  <c r="AB171" i="30"/>
  <c r="P171" i="30"/>
  <c r="AD171" i="30"/>
  <c r="R171" i="30"/>
  <c r="Y171" i="30"/>
  <c r="U171" i="30"/>
  <c r="X171" i="30"/>
  <c r="I66" i="30" l="1"/>
  <c r="K66" i="30"/>
  <c r="J66" i="30"/>
  <c r="L66" i="30"/>
  <c r="M66" i="30"/>
  <c r="N66" i="30"/>
  <c r="J67" i="30" l="1"/>
  <c r="K67" i="30" s="1"/>
  <c r="L67" i="30" s="1"/>
  <c r="M67" i="30" s="1"/>
  <c r="N67" i="30" s="1"/>
  <c r="H63" i="30" l="1"/>
  <c r="J69" i="30"/>
  <c r="J70" i="30" s="1"/>
  <c r="J71" i="30" s="1"/>
  <c r="J74" i="30" s="1"/>
  <c r="K69" i="30" l="1"/>
  <c r="K70" i="30" s="1"/>
  <c r="K71" i="30" s="1"/>
  <c r="K74" i="30" s="1"/>
  <c r="L69" i="30" l="1"/>
  <c r="L70" i="30" s="1"/>
  <c r="L71" i="30" s="1"/>
  <c r="L74" i="30" s="1"/>
  <c r="N69" i="30" l="1"/>
  <c r="N70" i="30" s="1"/>
  <c r="M69" i="30"/>
  <c r="M70" i="30" s="1"/>
  <c r="M71" i="30" s="1"/>
  <c r="M74" i="30" s="1"/>
  <c r="N71" i="30" l="1"/>
  <c r="N74" i="30" s="1"/>
  <c r="H19" i="25" l="1"/>
  <c r="I238" i="30"/>
  <c r="H18" i="25" l="1"/>
  <c r="H20" i="25" l="1"/>
  <c r="H22" i="25" l="1"/>
  <c r="I261" i="30" l="1"/>
  <c r="I263" i="30"/>
  <c r="H25" i="25" l="1"/>
  <c r="H27" i="25" s="1"/>
  <c r="H29" i="25" s="1"/>
  <c r="H9" i="25" s="1"/>
  <c r="H11" i="25" s="1"/>
  <c r="B2" i="44" l="1"/>
  <c r="B2" i="48"/>
  <c r="B2" i="45"/>
  <c r="B2" i="30"/>
  <c r="B2" i="31"/>
  <c r="B2" i="25"/>
  <c r="B2" i="41"/>
  <c r="B2" i="4"/>
  <c r="V20" i="30" l="1"/>
  <c r="V17" i="30"/>
  <c r="G36" i="38" l="1"/>
  <c r="G48"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Hutchinson, Keith</author>
    <author>Moon, Lucy</author>
    <author>Eli Grace-Webb</author>
  </authors>
  <commentList>
    <comment ref="T16" authorId="0" shapeId="0" xr:uid="{00000000-0006-0000-0300-000001000000}">
      <text>
        <r>
          <rPr>
            <b/>
            <sz val="9"/>
            <color indexed="81"/>
            <rFont val="Tahoma"/>
            <family val="2"/>
          </rPr>
          <t>Hutchinson, Keith:</t>
        </r>
        <r>
          <rPr>
            <sz val="9"/>
            <color indexed="81"/>
            <rFont val="Tahoma"/>
            <family val="2"/>
          </rPr>
          <t xml:space="preserve">
This is below 40MWH SAC
</t>
        </r>
      </text>
    </comment>
    <comment ref="T17" authorId="0" shapeId="0" xr:uid="{00000000-0006-0000-0300-000002000000}">
      <text>
        <r>
          <rPr>
            <b/>
            <sz val="9"/>
            <color indexed="81"/>
            <rFont val="Tahoma"/>
            <family val="2"/>
          </rPr>
          <t>Hutchinson, Keith:</t>
        </r>
        <r>
          <rPr>
            <sz val="9"/>
            <color indexed="81"/>
            <rFont val="Tahoma"/>
            <family val="2"/>
          </rPr>
          <t xml:space="preserve">
Above 40MWh SAC
</t>
        </r>
      </text>
    </comment>
    <comment ref="O177" authorId="1" shapeId="0" xr:uid="{00000000-0006-0000-0300-000003000000}">
      <text>
        <r>
          <rPr>
            <sz val="9"/>
            <color indexed="81"/>
            <rFont val="Tahoma"/>
            <family val="2"/>
          </rPr>
          <t xml:space="preserve">&lt;750MWh pa Domestic Demand = energy consumption/(365 days * 24 hours)/average load factor*diversity factor/power factor
Average load factor = 0.1623
Diversity factor = 45%
Power factor = 0.9812
</t>
        </r>
      </text>
    </comment>
    <comment ref="V177" authorId="1" shapeId="0" xr:uid="{00000000-0006-0000-0300-000004000000}">
      <text>
        <r>
          <rPr>
            <sz val="9"/>
            <color indexed="81"/>
            <rFont val="Tahoma"/>
            <family val="2"/>
          </rPr>
          <t xml:space="preserve">&lt;750MWh pa Domestic Demand = energy consumption/(365 days * 24 hours)/average load factor*diversity factor/power factor
Average load factor = 0.1623
Diversity factor = 45%
Power factor = 0.9812
</t>
        </r>
      </text>
    </comment>
    <comment ref="AC177" authorId="1" shapeId="0" xr:uid="{00000000-0006-0000-0300-000005000000}">
      <text>
        <r>
          <rPr>
            <sz val="9"/>
            <color indexed="81"/>
            <rFont val="Tahoma"/>
            <family val="2"/>
          </rPr>
          <t xml:space="preserve">&lt;750MWh pa Domestic Demand = energy consumption/(365 days * 24 hours)/average load factor*diversity factor/power factor
Average load factor = 0.1623
Diversity factor = 45%
Power factor = 0.9812
</t>
        </r>
      </text>
    </comment>
    <comment ref="O178" authorId="1" shapeId="0" xr:uid="{00000000-0006-0000-0300-000006000000}">
      <text>
        <r>
          <rPr>
            <sz val="9"/>
            <color indexed="81"/>
            <rFont val="Tahoma"/>
            <family val="2"/>
          </rPr>
          <t xml:space="preserve">&lt;750MWh pa Domestic Demand = energy consumption/(365 days * 24 hours)/average load factor*diversity factor/power factor
Average load factor = 0.1623
Diversity factor = 45%
Power factor = 0.9812
</t>
        </r>
      </text>
    </comment>
    <comment ref="V178" authorId="1" shapeId="0" xr:uid="{00000000-0006-0000-0300-000007000000}">
      <text>
        <r>
          <rPr>
            <sz val="9"/>
            <color indexed="81"/>
            <rFont val="Tahoma"/>
            <family val="2"/>
          </rPr>
          <t xml:space="preserve">&lt;750MWh pa Domestic Demand = energy consumption/(365 days * 24 hours)/average load factor*diversity factor/power factor
Average load factor = 0.1623
Diversity factor = 45%
Power factor = 0.9812
</t>
        </r>
      </text>
    </comment>
    <comment ref="AC178" authorId="1" shapeId="0" xr:uid="{00000000-0006-0000-0300-000008000000}">
      <text>
        <r>
          <rPr>
            <sz val="9"/>
            <color indexed="81"/>
            <rFont val="Tahoma"/>
            <family val="2"/>
          </rPr>
          <t xml:space="preserve">&lt;750MWh pa Domestic Demand = energy consumption/(365 days * 24 hours)/average load factor*diversity factor/power factor
Average load factor = 0.1623
Diversity factor = 45%
Power factor = 0.9812
</t>
        </r>
      </text>
    </comment>
    <comment ref="O179" authorId="1" shapeId="0" xr:uid="{00000000-0006-0000-0300-000009000000}">
      <text>
        <r>
          <rPr>
            <sz val="9"/>
            <color indexed="81"/>
            <rFont val="Tahoma"/>
            <family val="2"/>
          </rPr>
          <t xml:space="preserve">&lt;750MWh pa Domestic Demand = energy consumption/(365 days * 24 hours)/average load factor*diversity factor/power factor
Average load factor = 0.1623
Diversity factor = 45%
Power factor = 0.9812
</t>
        </r>
      </text>
    </comment>
    <comment ref="V179" authorId="1" shapeId="0" xr:uid="{00000000-0006-0000-0300-00000A000000}">
      <text>
        <r>
          <rPr>
            <sz val="9"/>
            <color indexed="81"/>
            <rFont val="Tahoma"/>
            <family val="2"/>
          </rPr>
          <t xml:space="preserve">&lt;750MWh pa Domestic Demand = energy consumption/(365 days * 24 hours)/average load factor*diversity factor/power factor
Average load factor = 0.1623
Diversity factor = 45%
Power factor = 0.9812
</t>
        </r>
      </text>
    </comment>
    <comment ref="AC179" authorId="1" shapeId="0" xr:uid="{00000000-0006-0000-0300-00000B000000}">
      <text>
        <r>
          <rPr>
            <sz val="9"/>
            <color indexed="81"/>
            <rFont val="Tahoma"/>
            <family val="2"/>
          </rPr>
          <t xml:space="preserve">&lt;750MWh pa Domestic Demand = energy consumption/(365 days * 24 hours)/average load factor*diversity factor/power factor
Average load factor = 0.1623
Diversity factor = 45%
Power factor = 0.9812
</t>
        </r>
      </text>
    </comment>
    <comment ref="O180" authorId="1" shapeId="0" xr:uid="{00000000-0006-0000-0300-00000C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V180" authorId="1" shapeId="0" xr:uid="{00000000-0006-0000-0300-00000D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AC180" authorId="1" shapeId="0" xr:uid="{00000000-0006-0000-0300-00000E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O181" authorId="1" shapeId="0" xr:uid="{00000000-0006-0000-0300-00000F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V181" authorId="1" shapeId="0" xr:uid="{00000000-0006-0000-0300-000010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AC181" authorId="1" shapeId="0" xr:uid="{00000000-0006-0000-0300-000011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O182" authorId="1" shapeId="0" xr:uid="{00000000-0006-0000-0300-000012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V182" authorId="1" shapeId="0" xr:uid="{00000000-0006-0000-0300-000013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AC182" authorId="1" shapeId="0" xr:uid="{00000000-0006-0000-0300-000014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O183" authorId="1" shapeId="0" xr:uid="{00000000-0006-0000-0300-000015000000}">
      <text>
        <r>
          <rPr>
            <sz val="9"/>
            <color indexed="81"/>
            <rFont val="Tahoma"/>
            <family val="2"/>
          </rPr>
          <t>Unmetered Streetlight Demand = energy consumption/(365 days * 24 hours)*diversity factor
Diversity factor = 15%</t>
        </r>
      </text>
    </comment>
    <comment ref="V183" authorId="1" shapeId="0" xr:uid="{00000000-0006-0000-0300-000016000000}">
      <text>
        <r>
          <rPr>
            <sz val="9"/>
            <color indexed="81"/>
            <rFont val="Tahoma"/>
            <family val="2"/>
          </rPr>
          <t>Unmetered Streetlight Demand = energy consumption/(365 days * 24 hours)*diversity factor
Diversity factor = 15%</t>
        </r>
      </text>
    </comment>
    <comment ref="AC183" authorId="1" shapeId="0" xr:uid="{00000000-0006-0000-0300-000017000000}">
      <text>
        <r>
          <rPr>
            <sz val="9"/>
            <color indexed="81"/>
            <rFont val="Tahoma"/>
            <family val="2"/>
          </rPr>
          <t>Unmetered Streetlight Demand = energy consumption/(365 days * 24 hours)*diversity factor
Diversity factor = 15%</t>
        </r>
      </text>
    </comment>
    <comment ref="O184" authorId="1" shapeId="0" xr:uid="{00000000-0006-0000-0300-000018000000}">
      <text>
        <r>
          <rPr>
            <sz val="9"/>
            <color indexed="81"/>
            <rFont val="Tahoma"/>
            <family val="2"/>
          </rPr>
          <t>Unmetered Streetlight Demand = energy consumption/(365 days * 24 hours)*diversity factor
Diversity factor = 15%</t>
        </r>
      </text>
    </comment>
    <comment ref="V184" authorId="1" shapeId="0" xr:uid="{00000000-0006-0000-0300-000019000000}">
      <text>
        <r>
          <rPr>
            <sz val="9"/>
            <color indexed="81"/>
            <rFont val="Tahoma"/>
            <family val="2"/>
          </rPr>
          <t>Unmetered Streetlight Demand = energy consumption/(365 days * 24 hours)*diversity factor
Diversity factor = 15%</t>
        </r>
      </text>
    </comment>
    <comment ref="AC184" authorId="1" shapeId="0" xr:uid="{00000000-0006-0000-0300-00001A000000}">
      <text>
        <r>
          <rPr>
            <sz val="9"/>
            <color indexed="81"/>
            <rFont val="Tahoma"/>
            <family val="2"/>
          </rPr>
          <t>Unmetered Streetlight Demand = energy consumption/(365 days * 24 hours)*diversity factor
Diversity factor = 15%</t>
        </r>
      </text>
    </comment>
    <comment ref="O185" authorId="1" shapeId="0" xr:uid="{00000000-0006-0000-0300-00001B000000}">
      <text>
        <r>
          <rPr>
            <sz val="9"/>
            <color indexed="81"/>
            <rFont val="Tahoma"/>
            <family val="2"/>
          </rPr>
          <t>Unmetered Streetlight Demand = energy consumption/(365 days * 24 hours)*diversity factor
Diversity factor = 15%</t>
        </r>
      </text>
    </comment>
    <comment ref="V185" authorId="1" shapeId="0" xr:uid="{00000000-0006-0000-0300-00001C000000}">
      <text>
        <r>
          <rPr>
            <sz val="9"/>
            <color indexed="81"/>
            <rFont val="Tahoma"/>
            <family val="2"/>
          </rPr>
          <t>Unmetered Streetlight Demand = energy consumption/(365 days * 24 hours)*diversity factor
Diversity factor = 15%</t>
        </r>
      </text>
    </comment>
    <comment ref="AC185" authorId="1" shapeId="0" xr:uid="{00000000-0006-0000-0300-00001D000000}">
      <text>
        <r>
          <rPr>
            <sz val="9"/>
            <color indexed="81"/>
            <rFont val="Tahoma"/>
            <family val="2"/>
          </rPr>
          <t>Unmetered Streetlight Demand = energy consumption/(365 days * 24 hours)*diversity factor
Diversity factor = 15%</t>
        </r>
      </text>
    </comment>
    <comment ref="O186" authorId="1" shapeId="0" xr:uid="{00000000-0006-0000-0300-00001E000000}">
      <text>
        <r>
          <rPr>
            <sz val="9"/>
            <color indexed="81"/>
            <rFont val="Tahoma"/>
            <family val="2"/>
          </rPr>
          <t>Unmetered Traffic Light Demand = energy consumption/(365 days * 24 hours)
Assumes a constant load</t>
        </r>
      </text>
    </comment>
    <comment ref="V186" authorId="1" shapeId="0" xr:uid="{00000000-0006-0000-0300-00001F000000}">
      <text>
        <r>
          <rPr>
            <sz val="9"/>
            <color indexed="81"/>
            <rFont val="Tahoma"/>
            <family val="2"/>
          </rPr>
          <t>Unmetered Traffic Light Demand = energy consumption/(365 days * 24 hours)
Assumes a constant load</t>
        </r>
      </text>
    </comment>
    <comment ref="AC186" authorId="1" shapeId="0" xr:uid="{00000000-0006-0000-0300-000020000000}">
      <text>
        <r>
          <rPr>
            <sz val="9"/>
            <color indexed="81"/>
            <rFont val="Tahoma"/>
            <family val="2"/>
          </rPr>
          <t>Unmetered Traffic Light Demand = energy consumption/(365 days * 24 hours)
Assumes a constant load</t>
        </r>
      </text>
    </comment>
    <comment ref="K187" authorId="0" shapeId="0" xr:uid="{00000000-0006-0000-0300-000021000000}">
      <text>
        <r>
          <rPr>
            <b/>
            <sz val="9"/>
            <color indexed="81"/>
            <rFont val="Tahoma"/>
            <family val="2"/>
          </rPr>
          <t>Hutchinson, Keith:</t>
        </r>
        <r>
          <rPr>
            <sz val="9"/>
            <color indexed="81"/>
            <rFont val="Tahoma"/>
            <family val="2"/>
          </rPr>
          <t xml:space="preserve">
Includes NBN Sites</t>
        </r>
      </text>
    </comment>
    <comment ref="O187" authorId="1" shapeId="0" xr:uid="{00000000-0006-0000-0300-000022000000}">
      <text>
        <r>
          <rPr>
            <sz val="9"/>
            <color indexed="81"/>
            <rFont val="Tahoma"/>
            <family val="2"/>
          </rPr>
          <t>Unmetered Traffic Light Demand = energy consumption/(365 days * 24 hours)
Assumes a constant load</t>
        </r>
      </text>
    </comment>
    <comment ref="V187" authorId="1" shapeId="0" xr:uid="{00000000-0006-0000-0300-000023000000}">
      <text>
        <r>
          <rPr>
            <sz val="9"/>
            <color indexed="81"/>
            <rFont val="Tahoma"/>
            <family val="2"/>
          </rPr>
          <t>Unmetered Traffic Light Demand = energy consumption/(365 days * 24 hours)
Assumes a constant load</t>
        </r>
      </text>
    </comment>
    <comment ref="AC187" authorId="1" shapeId="0" xr:uid="{00000000-0006-0000-0300-000024000000}">
      <text>
        <r>
          <rPr>
            <sz val="9"/>
            <color indexed="81"/>
            <rFont val="Tahoma"/>
            <family val="2"/>
          </rPr>
          <t>Unmetered Traffic Light Demand = energy consumption/(365 days * 24 hours)
Assumes a constant load</t>
        </r>
      </text>
    </comment>
    <comment ref="K188" authorId="0" shapeId="0" xr:uid="{00000000-0006-0000-0300-000025000000}">
      <text>
        <r>
          <rPr>
            <b/>
            <sz val="9"/>
            <color indexed="81"/>
            <rFont val="Tahoma"/>
            <family val="2"/>
          </rPr>
          <t>Hutchinson, Keith:</t>
        </r>
        <r>
          <rPr>
            <sz val="9"/>
            <color indexed="81"/>
            <rFont val="Tahoma"/>
            <family val="2"/>
          </rPr>
          <t xml:space="preserve">
Includes NBN Sites
</t>
        </r>
      </text>
    </comment>
    <comment ref="O188" authorId="1" shapeId="0" xr:uid="{00000000-0006-0000-0300-000026000000}">
      <text>
        <r>
          <rPr>
            <sz val="9"/>
            <color indexed="81"/>
            <rFont val="Tahoma"/>
            <family val="2"/>
          </rPr>
          <t>Unmetered Traffic Light Demand = energy consumption/(365 days * 24 hours)
Assumes a constant load</t>
        </r>
      </text>
    </comment>
    <comment ref="V188" authorId="1" shapeId="0" xr:uid="{00000000-0006-0000-0300-000027000000}">
      <text>
        <r>
          <rPr>
            <sz val="9"/>
            <color indexed="81"/>
            <rFont val="Tahoma"/>
            <family val="2"/>
          </rPr>
          <t>Unmetered Traffic Light Demand = energy consumption/(365 days * 24 hours)
Assumes a constant load</t>
        </r>
      </text>
    </comment>
    <comment ref="AC188" authorId="1" shapeId="0" xr:uid="{00000000-0006-0000-0300-000028000000}">
      <text>
        <r>
          <rPr>
            <sz val="9"/>
            <color indexed="81"/>
            <rFont val="Tahoma"/>
            <family val="2"/>
          </rPr>
          <t>Unmetered Traffic Light Demand = energy consumption/(365 days * 24 hours)
Assumes a constant load</t>
        </r>
      </text>
    </comment>
    <comment ref="K189" authorId="0" shapeId="0" xr:uid="{00000000-0006-0000-0300-000029000000}">
      <text>
        <r>
          <rPr>
            <b/>
            <sz val="9"/>
            <color indexed="81"/>
            <rFont val="Tahoma"/>
            <family val="2"/>
          </rPr>
          <t>Hutchinson, Keith:</t>
        </r>
        <r>
          <rPr>
            <sz val="9"/>
            <color indexed="81"/>
            <rFont val="Tahoma"/>
            <family val="2"/>
          </rPr>
          <t xml:space="preserve">
Below 40MWh SAC
</t>
        </r>
      </text>
    </comment>
    <comment ref="O189" authorId="1" shapeId="0" xr:uid="{00000000-0006-0000-0300-00002A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V189" authorId="1" shapeId="0" xr:uid="{00000000-0006-0000-0300-00002B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AC189" authorId="1" shapeId="0" xr:uid="{00000000-0006-0000-0300-00002C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O190" authorId="1" shapeId="0" xr:uid="{00000000-0006-0000-0300-00002D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V190" authorId="1" shapeId="0" xr:uid="{00000000-0006-0000-0300-00002E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AC190" authorId="1" shapeId="0" xr:uid="{00000000-0006-0000-0300-00002F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O191" authorId="1" shapeId="0" xr:uid="{00000000-0006-0000-0300-000030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V191" authorId="1" shapeId="0" xr:uid="{00000000-0006-0000-0300-000031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AC191" authorId="1" shapeId="0" xr:uid="{00000000-0006-0000-0300-000032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O192" authorId="1" shapeId="0" xr:uid="{00000000-0006-0000-0300-000033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V192" authorId="1" shapeId="0" xr:uid="{00000000-0006-0000-0300-000034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AC192" authorId="1" shapeId="0" xr:uid="{00000000-0006-0000-0300-000035000000}">
      <text>
        <r>
          <rPr>
            <sz val="9"/>
            <color indexed="81"/>
            <rFont val="Tahoma"/>
            <family val="2"/>
          </rPr>
          <t>&lt;750MWh pa Commercial Demand = energy consumption/(365 days * 24 hours)/average load factor*diversity factor/power factor
Average load factor = 0.2756 
Diversity factor = 85% 
Power factor = 0.8634</t>
        </r>
      </text>
    </comment>
    <comment ref="X219" authorId="2" shapeId="0" xr:uid="{00000000-0006-0000-0300-000036000000}">
      <text>
        <r>
          <rPr>
            <b/>
            <sz val="9"/>
            <color indexed="81"/>
            <rFont val="Tahoma"/>
            <family val="2"/>
          </rPr>
          <t>Note:</t>
        </r>
        <r>
          <rPr>
            <sz val="9"/>
            <color indexed="81"/>
            <rFont val="Tahoma"/>
            <family val="2"/>
          </rPr>
          <t xml:space="preserve">
Adjusts LV growth and HV growth customer entries below</t>
        </r>
      </text>
    </comment>
    <comment ref="Y219" authorId="2" shapeId="0" xr:uid="{00000000-0006-0000-0300-000037000000}">
      <text>
        <r>
          <rPr>
            <b/>
            <sz val="9"/>
            <color indexed="81"/>
            <rFont val="Tahoma"/>
            <family val="2"/>
          </rPr>
          <t>Note:</t>
        </r>
        <r>
          <rPr>
            <sz val="9"/>
            <color indexed="81"/>
            <rFont val="Tahoma"/>
            <family val="2"/>
          </rPr>
          <t xml:space="preserve">
Adjusts LV growth and HV growth customer entries below</t>
        </r>
      </text>
    </comment>
    <comment ref="AA219" authorId="2" shapeId="0" xr:uid="{00000000-0006-0000-0300-000038000000}">
      <text>
        <r>
          <rPr>
            <b/>
            <sz val="9"/>
            <color indexed="81"/>
            <rFont val="Tahoma"/>
            <family val="2"/>
          </rPr>
          <t>Note:</t>
        </r>
        <r>
          <rPr>
            <sz val="9"/>
            <color indexed="81"/>
            <rFont val="Tahoma"/>
            <family val="2"/>
          </rPr>
          <t xml:space="preserve">
Adjusts LV growth and HV growth customer entries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Spreadsheet Studio Advanced Comment</author>
  </authors>
  <commentList>
    <comment ref="I4" authorId="0" shapeId="0" xr:uid="{00000000-0006-0000-0500-000001000000}">
      <text>
        <r>
          <rPr>
            <b/>
            <sz val="9"/>
            <color indexed="21"/>
            <rFont val="Tahoma"/>
            <family val="2"/>
          </rPr>
          <t xml:space="preserve">General
</t>
        </r>
        <r>
          <rPr>
            <sz val="9"/>
            <color indexed="8"/>
            <rFont val="Tahoma"/>
            <family val="2"/>
          </rPr>
          <t xml:space="preserve">Revenue calculated based on whether tariffs 
used for &gt;750 seems strange (DBT or cost 
reflective)
</t>
        </r>
        <r>
          <rPr>
            <sz val="8"/>
            <color indexed="21"/>
            <rFont val="Tahoma"/>
            <family val="2"/>
          </rPr>
          <t xml:space="preserve">Henry Wu </t>
        </r>
        <r>
          <rPr>
            <sz val="8"/>
            <color indexed="8"/>
            <rFont val="Wingdings"/>
            <charset val="2"/>
          </rPr>
          <t>º</t>
        </r>
        <r>
          <rPr>
            <sz val="8"/>
            <color indexed="21"/>
            <rFont val="Tahoma"/>
            <family val="2"/>
          </rPr>
          <t xml:space="preserve"> 2/11/2017
</t>
        </r>
        <r>
          <rPr>
            <b/>
            <sz val="8"/>
            <color indexed="53"/>
            <rFont val="Tahoma"/>
            <family val="2"/>
          </rPr>
          <t xml:space="preserve">
Warning: </t>
        </r>
        <r>
          <rPr>
            <sz val="8"/>
            <color indexed="8"/>
            <rFont val="Tahoma"/>
            <family val="2"/>
          </rPr>
          <t xml:space="preserve">Do not directly modify this comment as your changes will be lost. To make changes, please download and install Spreadsheet Studio from </t>
        </r>
        <r>
          <rPr>
            <u/>
            <sz val="8"/>
            <color indexed="39"/>
            <rFont val="Tahoma"/>
            <family val="2"/>
          </rPr>
          <t>www.spreadsheetstudio.com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Moon, Lucy</author>
  </authors>
  <commentList>
    <comment ref="H12" authorId="0" shapeId="0" xr:uid="{00000000-0006-0000-0700-000001000000}">
      <text>
        <r>
          <rPr>
            <sz val="9"/>
            <color indexed="81"/>
            <rFont val="Tahoma"/>
            <family val="2"/>
          </rPr>
          <t>The capital recovery factor is based on the WACC and takes into account the cost of replacing the asset at the end of its expected life.  It is used instead of an accounting style calculation to determine the annual cost of the asset.</t>
        </r>
      </text>
    </comment>
    <comment ref="H13" authorId="0" shapeId="0" xr:uid="{00000000-0006-0000-0700-000002000000}">
      <text>
        <r>
          <rPr>
            <sz val="9"/>
            <color indexed="81"/>
            <rFont val="Tahoma"/>
            <family val="2"/>
          </rPr>
          <t xml:space="preserve">Based on typical planning estimates of O&amp;M as a proportion of ORC
</t>
        </r>
      </text>
    </comment>
    <comment ref="H14" authorId="0" shapeId="0" xr:uid="{00000000-0006-0000-0700-000003000000}">
      <text>
        <r>
          <rPr>
            <sz val="9"/>
            <color indexed="81"/>
            <rFont val="Tahoma"/>
            <family val="2"/>
          </rPr>
          <t>Based on typical planning estimates of O&amp;M as a proportion of ORC</t>
        </r>
      </text>
    </comment>
  </commentList>
</comments>
</file>

<file path=xl/sharedStrings.xml><?xml version="1.0" encoding="utf-8"?>
<sst xmlns="http://schemas.openxmlformats.org/spreadsheetml/2006/main" count="2578" uniqueCount="604">
  <si>
    <t>Lookup Sheet</t>
  </si>
  <si>
    <t>General Model Constant</t>
  </si>
  <si>
    <t>Name</t>
  </si>
  <si>
    <t>Mths_In_Mth</t>
  </si>
  <si>
    <t>Mths_In_Qtr</t>
  </si>
  <si>
    <t>Mths_In_Yr</t>
  </si>
  <si>
    <t>Q1</t>
  </si>
  <si>
    <t>Q2</t>
  </si>
  <si>
    <t>Q3</t>
  </si>
  <si>
    <t>Q4</t>
  </si>
  <si>
    <t>Qtr_1</t>
  </si>
  <si>
    <t>Qtr_2</t>
  </si>
  <si>
    <t>Qtr_3</t>
  </si>
  <si>
    <t>Qtr_4</t>
  </si>
  <si>
    <t>Period Ending</t>
  </si>
  <si>
    <t>Period Start Date (From Start of Day...)</t>
  </si>
  <si>
    <t>Period End Date (Until End of Day...)</t>
  </si>
  <si>
    <t>Months in Period</t>
  </si>
  <si>
    <t>Days in Period</t>
  </si>
  <si>
    <t>Counter</t>
  </si>
  <si>
    <t>Heading 1</t>
  </si>
  <si>
    <t>Period Length</t>
  </si>
  <si>
    <t>Start Date</t>
  </si>
  <si>
    <t>Monthly</t>
  </si>
  <si>
    <t>Quarterly</t>
  </si>
  <si>
    <t>Yearly</t>
  </si>
  <si>
    <t>Period_Length</t>
  </si>
  <si>
    <t>Ok</t>
  </si>
  <si>
    <t>Error</t>
  </si>
  <si>
    <t>Financial Year End Month</t>
  </si>
  <si>
    <t>Month</t>
  </si>
  <si>
    <t>January</t>
  </si>
  <si>
    <t>February</t>
  </si>
  <si>
    <t>March</t>
  </si>
  <si>
    <t>April</t>
  </si>
  <si>
    <t>May</t>
  </si>
  <si>
    <t>June</t>
  </si>
  <si>
    <t>July</t>
  </si>
  <si>
    <t>August</t>
  </si>
  <si>
    <t>September</t>
  </si>
  <si>
    <t>October</t>
  </si>
  <si>
    <t>November</t>
  </si>
  <si>
    <t>December</t>
  </si>
  <si>
    <t>Financial Year</t>
  </si>
  <si>
    <t>Half</t>
  </si>
  <si>
    <t>Yes</t>
  </si>
  <si>
    <t>No</t>
  </si>
  <si>
    <t>Yes_No</t>
  </si>
  <si>
    <t>Error Checks</t>
  </si>
  <si>
    <t>Mth_Count_In_Qtr</t>
  </si>
  <si>
    <t>Fridays in Period</t>
  </si>
  <si>
    <t>Days_In_Wk</t>
  </si>
  <si>
    <t>Days</t>
  </si>
  <si>
    <t>Fri</t>
  </si>
  <si>
    <t>Mon</t>
  </si>
  <si>
    <t>Tue</t>
  </si>
  <si>
    <t>Wed</t>
  </si>
  <si>
    <t>Thu</t>
  </si>
  <si>
    <t>Sat</t>
  </si>
  <si>
    <t>Sun</t>
  </si>
  <si>
    <t>Dashboard Counter</t>
  </si>
  <si>
    <t>Quarter Counter</t>
  </si>
  <si>
    <t>Financial Year Counter</t>
  </si>
  <si>
    <t>Financial Year Start Month</t>
  </si>
  <si>
    <t>Dashboard Periods</t>
  </si>
  <si>
    <t>Financial Years</t>
  </si>
  <si>
    <t>Dash_Periods</t>
  </si>
  <si>
    <t>Year Fraction</t>
  </si>
  <si>
    <t>Cumulative Year Fraction</t>
  </si>
  <si>
    <t>Periods Per Year</t>
  </si>
  <si>
    <t>Base Currency</t>
  </si>
  <si>
    <t>[A$]</t>
  </si>
  <si>
    <t>Assumptions</t>
  </si>
  <si>
    <t>Total</t>
  </si>
  <si>
    <t>Grand Total Errors</t>
  </si>
  <si>
    <t>Checks</t>
  </si>
  <si>
    <t>Error Message</t>
  </si>
  <si>
    <t>Model Title Message</t>
  </si>
  <si>
    <t>Alert Message</t>
  </si>
  <si>
    <t>Model Message</t>
  </si>
  <si>
    <t>Alerts Checks</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</si>
  <si>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</si>
  <si>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</si>
  <si>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</si>
  <si>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</si>
  <si>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</si>
  <si>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</si>
  <si>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</si>
  <si>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</si>
  <si>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</si>
  <si>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Annual</t>
  </si>
  <si>
    <t>Periodicity Settings</t>
  </si>
  <si>
    <t>Model Settings</t>
  </si>
  <si>
    <t>Model Lookup</t>
  </si>
  <si>
    <t>Days in Financial Year</t>
  </si>
  <si>
    <t>Calender_Months</t>
  </si>
  <si>
    <t>Table of Contents</t>
  </si>
  <si>
    <t>Sources</t>
  </si>
  <si>
    <t>This worksheet provides worksheet &amp; cell references for annual data input.</t>
  </si>
  <si>
    <t>This worksheet calculates the 'overs and unders' and the overall compliance with tariff class side constraint.</t>
  </si>
  <si>
    <t>These worksheets contain the year t Network Tariff Schedules (including &amp; excluding GST) calculated from the 'Cost of Supply' worksheet</t>
  </si>
  <si>
    <t>This worksheet provides a summary of key outputs from the Cost of Supply worksheet including network cost allocation.</t>
  </si>
  <si>
    <t>This worksheet calculates the cost of supplying customers (Year t).  It compares this with the revenue proposed to be obtained through tariffs at the individual customer and tariff class level.  The worksheet also calculates the side constraint information summarised in the compliance worksheet.  The 'Notes' worksheet contains an illustration of the layout of the Cost of Supply' worksheet.</t>
  </si>
  <si>
    <t xml:space="preserve">Based on the cost of supply allocation, this worksheet calculates the stand-alone and avoidable costs for each of the three tariff classes. </t>
  </si>
  <si>
    <t>LRMC</t>
  </si>
  <si>
    <t xml:space="preserve">Inputs sourced from the AER  Determination. 
These worksheets provide key inputs into the LRMC and Cost of Supply worksheets. </t>
  </si>
  <si>
    <t>This worksheet provides data for formulas which are cell reference based.</t>
  </si>
  <si>
    <t>Cost of Supply Model</t>
  </si>
  <si>
    <t>Purpose of model</t>
  </si>
  <si>
    <t xml:space="preserve">The purpose of this model is to enable the comparison of proposed tariffs with the cost reflective outcome.  It enables the changes in individual tariffs and their components to be managed so as to improve their overall cost reflectivity, whilst also ensuring that Power Networks complies with the requirements of the AER Final Determination.  </t>
  </si>
  <si>
    <t>Structure of model</t>
  </si>
  <si>
    <t>The diagram below shows the structure of the model and the linkages between the main component arrays.  The table headers are colour coded as shown.</t>
  </si>
  <si>
    <t xml:space="preserve">Year (t-2) volumes: are for last year, two years before the proposed tariff change.  </t>
  </si>
  <si>
    <t xml:space="preserve">Year (t-1) volumes: are for the current year. Volumes are estimated by forecasting from year (t-2), with the exception of new customers where year to date data has been used. </t>
  </si>
  <si>
    <t xml:space="preserve">Year (t) volumes: are for the year of the proposed tariff change.  Volumes are estimated by forecasting from year (t-1), with the application of growth percentages for demand, energy and customer numbers.  </t>
  </si>
  <si>
    <t xml:space="preserve">Year (t-1) tariffs: are the current approved tariffs.  </t>
  </si>
  <si>
    <t xml:space="preserve">Year (t) tariffs: are formed from the current tariffs (t-1) by adjusting the multipliers for each price component.  </t>
  </si>
  <si>
    <t xml:space="preserve">A proportion of costs equivalent to the average LRMC of the network (assumed to be 80%) is split up into cost pools on the basis of the ORC of network assets and incidence of O&amp;M in the sheet entitled 'Network Cost Allocation'.  In this manner the regulated revenue (which is based on the ODRC of assets plus O&amp;M) is allocated uniformly so that customers serviced by old assets and newer assets receive the same price for the same level of network service.  The balance of costs (20%), common service costs, are allocated to customers on the basis of their anytime energy consumption.  Common service costs include costs associated with non system assets and services.  </t>
  </si>
  <si>
    <t xml:space="preserve">The forms of cost allocation are shown.  The majority of network costs are allocated to customers on the basis of their contribution to the diversified demand on the network.  It should be noted that HV customers are not allocated costs associated with distribution substations or the LV network. </t>
  </si>
  <si>
    <t>Common service costs are allocated on the basis of anytime energy consumption.</t>
  </si>
  <si>
    <t>Pricing compliance</t>
  </si>
  <si>
    <t>There are three aspects to efficient pricing and demonstrating the compliance of network prices with the requirements of the National Electricity Rules.  Prices must:</t>
  </si>
  <si>
    <t>*  lie above the avoidable cost;</t>
  </si>
  <si>
    <t>*  lie below the stand-alone cost; and</t>
  </si>
  <si>
    <t xml:space="preserve">*  have their pricing components set with regard to the network's LRMC to avoid over or under signalling the influence of the customer's consumption on network costs. </t>
  </si>
  <si>
    <t xml:space="preserve">The stand-alone and avoidable cost calculations are derived from the cost of supply model and are based on hypothetical modification of the network for the tariff classes involved.  These cost calculations are on the worksheet 'Stand Alone and Avoidable Costs'. </t>
  </si>
  <si>
    <t>The LRMC of network supply is calculated on the worksheet 'LRMC'.  It uses the demand related capital expenditure, an allowance for incremental operating and maintenance costs and the demand growth to determine a $/kVA cost for each tariff class.  The approach used is termed the Average Incremental Cost (AIC) and is one of a number of recognised ways in which LRMC is calculated.  Power Networks will be investigating, over the course of the forthcoming regulatory control period, whether alternative approaches to this calculation may yield more appropriate outcomes.</t>
  </si>
  <si>
    <t>Supporting information</t>
  </si>
  <si>
    <t>The remaining sheets contain customer data from which the cost of supply information is drawn and the network forecast, from which the growth related component is derived.</t>
  </si>
  <si>
    <r>
      <rPr>
        <b/>
        <sz val="11.5"/>
        <color theme="4"/>
        <rFont val="Calibri"/>
        <family val="2"/>
      </rPr>
      <t xml:space="preserve">Revenues: </t>
    </r>
    <r>
      <rPr>
        <sz val="10"/>
        <color theme="4"/>
        <rFont val="Calibri"/>
        <family val="2"/>
        <scheme val="minor"/>
      </rPr>
      <t xml:space="preserve">are formed from the product of the respective year tariffs and volumes with tariff levels set in year (t) to match the regulated revenue.  </t>
    </r>
  </si>
  <si>
    <r>
      <rPr>
        <b/>
        <sz val="11.5"/>
        <color theme="4"/>
        <rFont val="Calibri"/>
        <family val="2"/>
      </rPr>
      <t xml:space="preserve">Multipliers: </t>
    </r>
    <r>
      <rPr>
        <sz val="10"/>
        <color theme="4"/>
        <rFont val="Calibri"/>
        <family val="2"/>
        <scheme val="minor"/>
      </rPr>
      <t>are used to construct year (t) tariffs from the components of the previous year (t-1).</t>
    </r>
  </si>
  <si>
    <r>
      <rPr>
        <b/>
        <sz val="11.5"/>
        <color theme="4"/>
        <rFont val="Calibri"/>
        <family val="2"/>
      </rPr>
      <t xml:space="preserve">Cost of Supply: </t>
    </r>
    <r>
      <rPr>
        <sz val="10"/>
        <color theme="4"/>
        <rFont val="Calibri"/>
        <family val="2"/>
        <scheme val="minor"/>
      </rPr>
      <t>is an allocation of the network cost to each tariff on the basis of its cost impact on the network.  The network costs are apportioned into cost pools and then allocated to the tariffs that use those pools, as shown below.</t>
    </r>
  </si>
  <si>
    <r>
      <rPr>
        <b/>
        <sz val="11.5"/>
        <color theme="4"/>
        <rFont val="Calibri"/>
        <family val="2"/>
      </rPr>
      <t xml:space="preserve">Target revenue </t>
    </r>
    <r>
      <rPr>
        <sz val="10"/>
        <color theme="4"/>
        <rFont val="Calibri"/>
        <family val="2"/>
        <scheme val="minor"/>
      </rPr>
      <t>is the regulated revenue for year (t).</t>
    </r>
  </si>
  <si>
    <r>
      <rPr>
        <b/>
        <sz val="11.5"/>
        <color theme="4"/>
        <rFont val="Calibri"/>
        <family val="2"/>
      </rPr>
      <t xml:space="preserve">Price change and CoS comparisons: </t>
    </r>
    <r>
      <rPr>
        <sz val="10"/>
        <color theme="4"/>
        <rFont val="Calibri"/>
        <family val="2"/>
        <scheme val="minor"/>
      </rPr>
      <t>Calculations within the Cost of Supply worksheet calculate the proposed prices and compare to the previous year's price (for the purpose of demonstrating compliance with side constraints).  The proposed price is compared with the cost reflective price in the CoS Summary sheet.  The latter is used as a guide to the adjustment of tariff charging components.</t>
    </r>
  </si>
  <si>
    <t>Tariff Schedule</t>
  </si>
  <si>
    <t>Source</t>
  </si>
  <si>
    <t>Unit</t>
  </si>
  <si>
    <t>Category</t>
  </si>
  <si>
    <t>Peak kWh</t>
  </si>
  <si>
    <t>Block 1</t>
  </si>
  <si>
    <t>Block 2</t>
  </si>
  <si>
    <t>Block 3</t>
  </si>
  <si>
    <t>Block 4</t>
  </si>
  <si>
    <t>Block 5</t>
  </si>
  <si>
    <t>Off-peak  kWh</t>
  </si>
  <si>
    <t>Peak kVA</t>
  </si>
  <si>
    <t>Off-peak kVA</t>
  </si>
  <si>
    <t>$/Month</t>
  </si>
  <si>
    <t>c/Day</t>
  </si>
  <si>
    <t>c/kWh</t>
  </si>
  <si>
    <t>$/kvar</t>
  </si>
  <si>
    <t>$/kVA</t>
  </si>
  <si>
    <t>kVA</t>
  </si>
  <si>
    <t>[Source]</t>
  </si>
  <si>
    <t>Unmetered SL</t>
  </si>
  <si>
    <t>Unmetered TL</t>
  </si>
  <si>
    <t>LV Smart</t>
  </si>
  <si>
    <t>2019-24 AER Final Determination</t>
  </si>
  <si>
    <t>2018/19</t>
  </si>
  <si>
    <t>2019/20</t>
  </si>
  <si>
    <t>Smoothed revenue ($M, nominal)</t>
  </si>
  <si>
    <t>Revenue X factors (real)</t>
  </si>
  <si>
    <t>Pricing side constraint</t>
  </si>
  <si>
    <t>Inflation rate</t>
  </si>
  <si>
    <t>%</t>
  </si>
  <si>
    <t>Growth rates (kW Demand)</t>
  </si>
  <si>
    <t>General</t>
  </si>
  <si>
    <t>Tariff Year</t>
  </si>
  <si>
    <t>Tariff_Year_List</t>
  </si>
  <si>
    <t>Darwin-Katherine System</t>
  </si>
  <si>
    <t>Alice Springs System</t>
  </si>
  <si>
    <t>Tennant Creek System</t>
  </si>
  <si>
    <t>2017/18</t>
  </si>
  <si>
    <t xml:space="preserve">DBT </t>
  </si>
  <si>
    <t>Cost Reflective</t>
  </si>
  <si>
    <t xml:space="preserve">Coincident kW demand </t>
  </si>
  <si>
    <t>Asset life for LRMC</t>
  </si>
  <si>
    <t>kW</t>
  </si>
  <si>
    <t>Years</t>
  </si>
  <si>
    <t>Avoidable network cost percentages</t>
  </si>
  <si>
    <t>Network level</t>
  </si>
  <si>
    <t>HV</t>
  </si>
  <si>
    <t>Transmission</t>
  </si>
  <si>
    <t>Zone Substations</t>
  </si>
  <si>
    <t>HV Distribution</t>
  </si>
  <si>
    <t>Distribution Substations</t>
  </si>
  <si>
    <t>LV Distribution</t>
  </si>
  <si>
    <t>Tariff Class</t>
  </si>
  <si>
    <t>Stand-alone network cost percentages</t>
  </si>
  <si>
    <t>Augmentation Capex</t>
  </si>
  <si>
    <t>Substations</t>
  </si>
  <si>
    <t>Distribution Lines</t>
  </si>
  <si>
    <t>Transmission Lines</t>
  </si>
  <si>
    <t>LV Services</t>
  </si>
  <si>
    <t>Distribution Switchgear</t>
  </si>
  <si>
    <t>Protection</t>
  </si>
  <si>
    <t>SCADA</t>
  </si>
  <si>
    <t>Communications</t>
  </si>
  <si>
    <t>Land and Easements</t>
  </si>
  <si>
    <t>Property</t>
  </si>
  <si>
    <t>IT and Communications</t>
  </si>
  <si>
    <t>Motor Vehicles</t>
  </si>
  <si>
    <t>Plant and Equipment</t>
  </si>
  <si>
    <t>Other</t>
  </si>
  <si>
    <t xml:space="preserve">LRMC Percentages </t>
  </si>
  <si>
    <t>LV</t>
  </si>
  <si>
    <t xml:space="preserve">Replacement Capex </t>
  </si>
  <si>
    <t>Unmetered SL DK</t>
  </si>
  <si>
    <t>Unmetered SL AS</t>
  </si>
  <si>
    <t>Unmetered SL TC</t>
  </si>
  <si>
    <t>Unmetered TL DK</t>
  </si>
  <si>
    <t>Unmetered TL AS</t>
  </si>
  <si>
    <t>Unmetered TL TC</t>
  </si>
  <si>
    <t>SAC</t>
  </si>
  <si>
    <t>Manual Meter</t>
  </si>
  <si>
    <t>Smart Meter</t>
  </si>
  <si>
    <t>Peak</t>
  </si>
  <si>
    <t>Off Peak</t>
  </si>
  <si>
    <t>Forecast Demand (Growth Rates &lt;750 mWh)</t>
  </si>
  <si>
    <t>Type &amp; Region</t>
  </si>
  <si>
    <t>Excess kvaR</t>
  </si>
  <si>
    <t>Asset Class Description</t>
  </si>
  <si>
    <t>ORC ($M)
30 June 2019
($2018-19)</t>
  </si>
  <si>
    <t>Total (ORC)</t>
  </si>
  <si>
    <t>$M</t>
  </si>
  <si>
    <t>HV/LV Split for Distribution Mains</t>
  </si>
  <si>
    <t>HV Split</t>
  </si>
  <si>
    <t>LV Split</t>
  </si>
  <si>
    <t>% Split</t>
  </si>
  <si>
    <t>Network Cost Allocation O&amp;M Scaling</t>
  </si>
  <si>
    <t>ZSS</t>
  </si>
  <si>
    <t>Distribution SS</t>
  </si>
  <si>
    <t>O&amp;M weighting, % of ORC</t>
  </si>
  <si>
    <t>Common Services Percentage</t>
  </si>
  <si>
    <t>2019-24 PTRM</t>
  </si>
  <si>
    <t>Asset Related - Return on capital ($M)</t>
  </si>
  <si>
    <t>Asset Related - Return of capital ($M)</t>
  </si>
  <si>
    <t>O&amp;M ($M)</t>
  </si>
  <si>
    <t>Percentage Split</t>
  </si>
  <si>
    <t>Tariff</t>
  </si>
  <si>
    <t>CPI</t>
  </si>
  <si>
    <t>Index</t>
  </si>
  <si>
    <t>Smoothed revenue ($'000, nominal)</t>
  </si>
  <si>
    <t>Revenue change (nominal)</t>
  </si>
  <si>
    <t>Side constraint nominal</t>
  </si>
  <si>
    <t>[Unit]</t>
  </si>
  <si>
    <t>Revenue Summary PTRM</t>
  </si>
  <si>
    <t>Thousand</t>
  </si>
  <si>
    <t>Million</t>
  </si>
  <si>
    <t>$M Nominal</t>
  </si>
  <si>
    <t>$'000 Nominal</t>
  </si>
  <si>
    <t>N/A</t>
  </si>
  <si>
    <t>NA</t>
  </si>
  <si>
    <t>CPIt</t>
  </si>
  <si>
    <t>Tariff class side constraint</t>
  </si>
  <si>
    <t>Overs and Unders</t>
  </si>
  <si>
    <t>Opening balance</t>
  </si>
  <si>
    <t>Interest on opening balance</t>
  </si>
  <si>
    <t>Overs and unders adjustment ΔRt</t>
  </si>
  <si>
    <t>Smoothed revenue allowance</t>
  </si>
  <si>
    <t>Revenue through tariffs</t>
  </si>
  <si>
    <t>Interest on under/over recovery</t>
  </si>
  <si>
    <t>Closing balance</t>
  </si>
  <si>
    <t>Pass/Fail</t>
  </si>
  <si>
    <t>(Under)/over recovery for the year ΔRt</t>
  </si>
  <si>
    <t>Change</t>
  </si>
  <si>
    <t>Side Constraint</t>
  </si>
  <si>
    <t>Weighted Average Revenue of Tariff Classes</t>
  </si>
  <si>
    <t>Check</t>
  </si>
  <si>
    <t>Summary</t>
  </si>
  <si>
    <t>Allocated cost $'000 p.a.</t>
  </si>
  <si>
    <t>Stand-alone</t>
  </si>
  <si>
    <t>Cost of supply model</t>
  </si>
  <si>
    <t>2019/20 tariffs</t>
  </si>
  <si>
    <t>Avoidable</t>
  </si>
  <si>
    <t>Coincident kVA</t>
  </si>
  <si>
    <t>Derived costs $/kVA</t>
  </si>
  <si>
    <t>Calculated</t>
  </si>
  <si>
    <t>$'000, Nominal</t>
  </si>
  <si>
    <t>Compliance with Stand-alone and Avoidable Cost ($'000)</t>
  </si>
  <si>
    <t>Stand-alone cost</t>
  </si>
  <si>
    <t>Avoidable cost</t>
  </si>
  <si>
    <t>Consideration of LRMC in setting tariff charging components</t>
  </si>
  <si>
    <t>LRMC, % revenue for tariff class</t>
  </si>
  <si>
    <t>Revenue Recovery through tariff charging component</t>
  </si>
  <si>
    <t>Anytime energy + Demand Charges (Smart Meter)</t>
  </si>
  <si>
    <t>Demand Charges + KVAr</t>
  </si>
  <si>
    <t>Tariffs used for &gt;750</t>
  </si>
  <si>
    <t>Q(t)</t>
  </si>
  <si>
    <t>Q(t-1)</t>
  </si>
  <si>
    <t>Q(t-2)</t>
  </si>
  <si>
    <t>Volume</t>
  </si>
  <si>
    <t>SAC Monthly</t>
  </si>
  <si>
    <t>SAC Daily</t>
  </si>
  <si>
    <t>kWh Total</t>
  </si>
  <si>
    <t>Co-incident Demand kVA</t>
  </si>
  <si>
    <t>Peak Demand</t>
  </si>
  <si>
    <t>Off Peak Demand</t>
  </si>
  <si>
    <t>kvar</t>
  </si>
  <si>
    <t>Customer Type</t>
  </si>
  <si>
    <t>Cust_Type</t>
  </si>
  <si>
    <t>Tariff_Type</t>
  </si>
  <si>
    <t>Tariff Type</t>
  </si>
  <si>
    <t>Customer Allocation</t>
  </si>
  <si>
    <t>Co-incident Demand</t>
  </si>
  <si>
    <t>Demand ( &lt;750 mWh)</t>
  </si>
  <si>
    <t>Actual Demand (t-2)</t>
  </si>
  <si>
    <t>Forecast Demand (t-1)</t>
  </si>
  <si>
    <t>Forecast Demand (t)</t>
  </si>
  <si>
    <t>Growth (t-1)</t>
  </si>
  <si>
    <t>Growth (t)</t>
  </si>
  <si>
    <t>Tariffs</t>
  </si>
  <si>
    <t>TARIFFS (t-2)</t>
  </si>
  <si>
    <t>TARIFFS (t-1)</t>
  </si>
  <si>
    <t xml:space="preserve"> &gt;750 LV</t>
  </si>
  <si>
    <t>TARIFFS Growth Rate (t-1 to t)</t>
  </si>
  <si>
    <t>Revenue ($'000)</t>
  </si>
  <si>
    <t>Cents_In_Dollar</t>
  </si>
  <si>
    <t>$'000</t>
  </si>
  <si>
    <t>Side Constraint ($'000)</t>
  </si>
  <si>
    <t>Grand Total</t>
  </si>
  <si>
    <t>Consumption</t>
  </si>
  <si>
    <t>Customer Connections</t>
  </si>
  <si>
    <t>Coincident Demand</t>
  </si>
  <si>
    <t>Variation</t>
  </si>
  <si>
    <t>MWh</t>
  </si>
  <si>
    <t>no</t>
  </si>
  <si>
    <t>Allocation</t>
  </si>
  <si>
    <t>COS Model Category</t>
  </si>
  <si>
    <t>Allocated</t>
  </si>
  <si>
    <t>System Shared Assets</t>
  </si>
  <si>
    <t>Non-System Shared Assets</t>
  </si>
  <si>
    <t>Optimised Replacement Cost</t>
  </si>
  <si>
    <t>Asset Class Allocation</t>
  </si>
  <si>
    <t>Asset_Class_Allocation</t>
  </si>
  <si>
    <t>Reallocate System Shared Assets and Remove Non-System Shared Assets</t>
  </si>
  <si>
    <t>COS Model: Asset Category</t>
  </si>
  <si>
    <t>System and Non-System Assets</t>
  </si>
  <si>
    <t>System Allocated Assets</t>
  </si>
  <si>
    <t>Land</t>
  </si>
  <si>
    <t>Sys_Non_Sys_Assets</t>
  </si>
  <si>
    <t>System/Non-System Allocation</t>
  </si>
  <si>
    <t>Asset Allocation</t>
  </si>
  <si>
    <t>Land Allocation</t>
  </si>
  <si>
    <t>Transmission Terminal Station</t>
  </si>
  <si>
    <t>Zone Substation and Major Switching Stations</t>
  </si>
  <si>
    <t>ORC</t>
  </si>
  <si>
    <t>O&amp;M Scaling</t>
  </si>
  <si>
    <t>% of O&amp;M allocated to each asset group</t>
  </si>
  <si>
    <t>Capital (ORC allocation of UC determination)</t>
  </si>
  <si>
    <t>O&amp;M (allocation of UC determination)</t>
  </si>
  <si>
    <t>Network Cost Allocation Including Common Services</t>
  </si>
  <si>
    <t>Network Cost Allocation Excluding Common Services</t>
  </si>
  <si>
    <t>Common Services</t>
  </si>
  <si>
    <t>Classification</t>
  </si>
  <si>
    <t>Reclassified</t>
  </si>
  <si>
    <t>Cost Allocators (t)</t>
  </si>
  <si>
    <t>Network Cost Distribution</t>
  </si>
  <si>
    <t>Cost Error Check</t>
  </si>
  <si>
    <t>Allocation %</t>
  </si>
  <si>
    <t>LV Distribution Weighting</t>
  </si>
  <si>
    <t>Allocation Error Check</t>
  </si>
  <si>
    <t>Network Cost Error Check</t>
  </si>
  <si>
    <t>Revenue from Tariff (t)</t>
  </si>
  <si>
    <t>Allocation $</t>
  </si>
  <si>
    <t>Price Signalling</t>
  </si>
  <si>
    <t>Price Signalling %</t>
  </si>
  <si>
    <t xml:space="preserve">Network Cost Distribution </t>
  </si>
  <si>
    <t>Overview</t>
  </si>
  <si>
    <t>GST</t>
  </si>
  <si>
    <t>EXCLUDING GST</t>
  </si>
  <si>
    <t>A - For High Voltage Connected Customers with consumption above 750 MWh per year</t>
  </si>
  <si>
    <r>
      <t>Reference Service</t>
    </r>
    <r>
      <rPr>
        <vertAlign val="superscript"/>
        <sz val="10"/>
        <rFont val="Times New Roman"/>
        <family val="1"/>
      </rPr>
      <t>1</t>
    </r>
    <r>
      <rPr>
        <sz val="10"/>
        <rFont val="Times New Roman"/>
        <family val="1"/>
      </rPr>
      <t xml:space="preserve"> Provided: Normal transmission and distribution of electricity consumed through customers' metering for customers supplied and metered at high voltage</t>
    </r>
  </si>
  <si>
    <t>¢/kWh</t>
  </si>
  <si>
    <t>Charge</t>
  </si>
  <si>
    <r>
      <t>peak</t>
    </r>
    <r>
      <rPr>
        <b/>
        <vertAlign val="superscript"/>
        <sz val="10"/>
        <rFont val="Arial"/>
        <family val="2"/>
      </rPr>
      <t>2</t>
    </r>
  </si>
  <si>
    <r>
      <t>off peak</t>
    </r>
    <r>
      <rPr>
        <b/>
        <vertAlign val="superscript"/>
        <sz val="10"/>
        <rFont val="Arial"/>
        <family val="2"/>
      </rPr>
      <t>2</t>
    </r>
  </si>
  <si>
    <t>System Availability Charge</t>
  </si>
  <si>
    <r>
      <t>[1]</t>
    </r>
    <r>
      <rPr>
        <sz val="8"/>
        <rFont val="Times New Roman"/>
        <family val="1"/>
      </rPr>
      <t xml:space="preserve"> Charges for increased or reduced service such as for higher reliability or for back-up supply to on-site generation are subject to negotiation.</t>
    </r>
  </si>
  <si>
    <t>[2] Peak and off-peak periods for demand and energy related charging rates will be as determined from time to time. The peak period rates currently apply to usage between 12 noon am and 9.00 pm on any weekday, including public holidays. Off-peak period rates apply at other times.</t>
  </si>
  <si>
    <t>B - For Low Voltage Connected Customers with consumption above 750 MWh per year</t>
  </si>
  <si>
    <r>
      <t>Reference Service</t>
    </r>
    <r>
      <rPr>
        <vertAlign val="superscript"/>
        <sz val="10"/>
        <rFont val="Times New Roman"/>
        <family val="1"/>
      </rPr>
      <t>1</t>
    </r>
    <r>
      <rPr>
        <sz val="10"/>
        <rFont val="Times New Roman"/>
        <family val="1"/>
      </rPr>
      <t xml:space="preserve"> Provided: Normal transmission and distribution of electricity consumed through customers' metering for customers supplied and metered at low voltage</t>
    </r>
  </si>
  <si>
    <r>
      <t>Reference Service</t>
    </r>
    <r>
      <rPr>
        <vertAlign val="superscript"/>
        <sz val="10"/>
        <rFont val="Times New Roman"/>
        <family val="1"/>
      </rPr>
      <t>1</t>
    </r>
    <r>
      <rPr>
        <sz val="10"/>
        <rFont val="Times New Roman"/>
        <family val="1"/>
      </rPr>
      <t xml:space="preserve"> Provided: Normal transmission and distribution of electricity consumed through customers' connection.</t>
    </r>
  </si>
  <si>
    <t>Energy Charges</t>
  </si>
  <si>
    <t>(¢/kWh)</t>
  </si>
  <si>
    <t>($/W)</t>
  </si>
  <si>
    <t xml:space="preserve">Street lighting </t>
  </si>
  <si>
    <t>Traffic lights</t>
  </si>
  <si>
    <t xml:space="preserve">kVar Charge </t>
  </si>
  <si>
    <t>&gt;40 MWh LV</t>
  </si>
  <si>
    <t>&gt;40 MWh HV</t>
  </si>
  <si>
    <t>Avoidable Cost Allocation</t>
  </si>
  <si>
    <t>Stand-alone Cost Allocation</t>
  </si>
  <si>
    <t>Cost Pool</t>
  </si>
  <si>
    <t>Avoidable cost allocation percentages above are determined by response to the following hypothetical question:</t>
  </si>
  <si>
    <t>Stand-alone cost allocation percentages above are determined by response to the following hypothetical question:</t>
  </si>
  <si>
    <t>"If XX tariff class were not supplied from the network, what percentage reduction in the value of existing assets employed in category YY could be made but still enable the same standard of network service to be provided to all remaining tariff classes"</t>
  </si>
  <si>
    <t>"If XX tariff class were the only one supplied from the network, what percentage value of the existing assets employed in category YY would still be required to enable the same standard of network service to be provided to tariff class XX"</t>
  </si>
  <si>
    <t>Avoidable network costs $'000</t>
  </si>
  <si>
    <t>Stand-alone network costs $'000</t>
  </si>
  <si>
    <t>Actual and Forecast Capital Expenditure</t>
  </si>
  <si>
    <t>HV/LV Allocation</t>
  </si>
  <si>
    <t>Demand Related Capital Expenditure split between HV+ &amp; LV</t>
  </si>
  <si>
    <t xml:space="preserve"> &lt;750 LV</t>
  </si>
  <si>
    <t>Coincident kW demand (RIN)</t>
  </si>
  <si>
    <t>Coincident kVA demand</t>
  </si>
  <si>
    <t>LV&lt;750MWH pa</t>
  </si>
  <si>
    <t xml:space="preserve">&gt;750MWh pa LV </t>
  </si>
  <si>
    <t>Economic data</t>
  </si>
  <si>
    <t>Asset life</t>
  </si>
  <si>
    <t>Capital recovery factor</t>
  </si>
  <si>
    <t>Opex proportion HV and above</t>
  </si>
  <si>
    <t>Opex proportion LV</t>
  </si>
  <si>
    <t>Growth capex $'000</t>
  </si>
  <si>
    <t>NPV</t>
  </si>
  <si>
    <t>HV network and above</t>
  </si>
  <si>
    <t>LV network</t>
  </si>
  <si>
    <t>Marginal opex $'000</t>
  </si>
  <si>
    <t>Incremental annual capital costs $'000</t>
  </si>
  <si>
    <t>Incremental capital + opex $'000</t>
  </si>
  <si>
    <t>Coincident demand forecast MVA</t>
  </si>
  <si>
    <t>Incremental demand MVA</t>
  </si>
  <si>
    <t>Imposed on HV network and above</t>
  </si>
  <si>
    <t>Imposed on LV network</t>
  </si>
  <si>
    <t>LRMC at system level $/kVA</t>
  </si>
  <si>
    <t>Indexation adjustment</t>
  </si>
  <si>
    <t>Tariff year</t>
  </si>
  <si>
    <t>Years escalated</t>
  </si>
  <si>
    <t>LRMC for tariff classes $/kVA/year</t>
  </si>
  <si>
    <t>MVA</t>
  </si>
  <si>
    <t>Year</t>
  </si>
  <si>
    <t>$/kVA/Year</t>
  </si>
  <si>
    <t>#</t>
  </si>
  <si>
    <t>Customer Number</t>
  </si>
  <si>
    <t>t-2</t>
  </si>
  <si>
    <t>t-1</t>
  </si>
  <si>
    <t>t</t>
  </si>
  <si>
    <t>Days_In_Yr</t>
  </si>
  <si>
    <t>Capital Cost Allocations</t>
  </si>
  <si>
    <t>Optimised Replacement Cost By Asset Class</t>
  </si>
  <si>
    <t>Operating Cost Allocations</t>
  </si>
  <si>
    <t>Capital and Operating Cost Allocations Combined</t>
  </si>
  <si>
    <t>Output | Impact &gt;750</t>
  </si>
  <si>
    <t>Calc | Long run marginal cost</t>
  </si>
  <si>
    <t>Calc | Network cost allocation</t>
  </si>
  <si>
    <t>Output | AER compliance</t>
  </si>
  <si>
    <t>Output | Cost of supply</t>
  </si>
  <si>
    <t>Output | Tariff schedules (no GST)</t>
  </si>
  <si>
    <t>Output | Tariff schedules (GST)</t>
  </si>
  <si>
    <t>Calc | Avoidable &amp; stand-alone costs</t>
  </si>
  <si>
    <t>Calc | Cost of supply</t>
  </si>
  <si>
    <t>Inputs | Data for customers &gt;750 MWh</t>
  </si>
  <si>
    <t>Inputs | General</t>
  </si>
  <si>
    <t>This worksheet provides information regarding source data of key inputs.</t>
  </si>
  <si>
    <t>This worksheet provides demand and other data for customers with annual usage &gt;750 MWh.</t>
  </si>
  <si>
    <t>Indexation and economic data</t>
  </si>
  <si>
    <t>Expenditure forecasts</t>
  </si>
  <si>
    <t>Incremental opex $'000</t>
  </si>
  <si>
    <t>Demand forecasts</t>
  </si>
  <si>
    <t>LRMC $/kVA</t>
  </si>
  <si>
    <t>Plus charges related to monthly demand</t>
  </si>
  <si>
    <t>Plus charges related to energy metered</t>
  </si>
  <si>
    <t>Dollars per month per NMI</t>
  </si>
  <si>
    <t>For Low Voltage Connected Customers with consumption above 750 MWh per year</t>
  </si>
  <si>
    <t>For High Voltage Connected Customers with consumption above 750 MWh per year</t>
  </si>
  <si>
    <t>LV Smart Meter</t>
  </si>
  <si>
    <t>Unmetered Supply</t>
  </si>
  <si>
    <t>LV Smart Meter Peak</t>
  </si>
  <si>
    <t>Demand Charges</t>
  </si>
  <si>
    <t>LV Smart Meter Off Peak</t>
  </si>
  <si>
    <t>($kVar)</t>
  </si>
  <si>
    <t>INCLUDING GST</t>
  </si>
  <si>
    <t>($/kVA)</t>
  </si>
  <si>
    <t>LV Smart AS</t>
  </si>
  <si>
    <t>LV Smart TC</t>
  </si>
  <si>
    <t>LV Smart DK</t>
  </si>
  <si>
    <t>Cents per day per NMI - LV Smart Meter &gt;40MWh</t>
  </si>
  <si>
    <t>Cents per day per NMI - LV Smart Meter &lt;40MWh</t>
  </si>
  <si>
    <t>($/kVar)</t>
  </si>
  <si>
    <t>(¢/day)</t>
  </si>
  <si>
    <t>Calc</t>
  </si>
  <si>
    <t>D2017/396043</t>
  </si>
  <si>
    <t>D2017/440145</t>
  </si>
  <si>
    <t>D2017/580386</t>
  </si>
  <si>
    <t>D2017/500241</t>
  </si>
  <si>
    <t>days/kWh</t>
  </si>
  <si>
    <t>D2017/138071</t>
  </si>
  <si>
    <t>D2017/245190</t>
  </si>
  <si>
    <t>Assumption</t>
  </si>
  <si>
    <t xml:space="preserve">Assumption </t>
  </si>
  <si>
    <t>Residential</t>
  </si>
  <si>
    <t>&lt;40 Residential DK</t>
  </si>
  <si>
    <t>&lt;40 Residential AS</t>
  </si>
  <si>
    <t>&lt;40 Residential TC</t>
  </si>
  <si>
    <t>Cents per day per NMI - Residential Accumulation</t>
  </si>
  <si>
    <t>Residential Accumulation</t>
  </si>
  <si>
    <t>This worksheet calculates the Long Run Marginal Cost (LRMC) of the four  tariff classes (&gt;40 MWh HV, &gt;40 MWh HV ,Non-residential &lt;40 MWh  and Residential &lt;40 MWh ).</t>
  </si>
  <si>
    <t>The costs of the LV network (which mainly uses standard conductor sizes) are allocated on a per customer connection basis, weighted for the number of phases.  Metering costs are allocated on a customer connection basis, weighted for the relative cost of the service provided (whether remotely read interval or not and whether there are instrument transformers).  It should be noted that unmetered loads in the Non-residential tariff class are not allocated metering costs.</t>
  </si>
  <si>
    <t>Non-residential</t>
  </si>
  <si>
    <t>&lt;40 Non-residential DK</t>
  </si>
  <si>
    <t>&lt;40 Non-residential AS</t>
  </si>
  <si>
    <t>&lt;40 Non-residential TC</t>
  </si>
  <si>
    <t>40-750 HV Non-residential DK</t>
  </si>
  <si>
    <t>40-750 HV Non-residential AS</t>
  </si>
  <si>
    <t>40-750 HV Non-residential TC</t>
  </si>
  <si>
    <t>40-750 LV Non-residential DK</t>
  </si>
  <si>
    <t>40-750 LV Non-residential AS</t>
  </si>
  <si>
    <t>40-750 LV Non-residential TC</t>
  </si>
  <si>
    <t xml:space="preserve">The network cost distribution is based on asset related costs of 53% and O&amp;M costs of 47%. The asset related component is allocated on the basis of the ORC of assets and the O&amp;M component on the basis of the ORC of assets, weighted for the relative contribution to O&amp;M costs (distribution assets are less capital intensive and more O&amp;M intensive).  80% of network costs are allocated on this basis, corresponding to an average LRMC of supply. The remaining 20% of costs are treated as Common Service and allocated on the basis of energy. 
Transmission, Zone Substations, HV Distribution and Distribution Substation Allocation
These cost components (Transmission, Zone Substations, HV Distribution and Distribution Substations) are allocated on the basis of their contribution to coincident demand.
LV Distribution Allocation
The network costs for LV connected customers are allocated on the basis of usage by customers. The total costs are scaled to the number of phases of supply (&lt;750 Residential customers = 1, &lt;750 Non-residential customers = 2 (average), &gt; 750 Non-residential customers = 3.  Streetlights and traffic lights (unmetered) are allocated costs based on their demand share of the LV distribution network. 
Metering Allocation
Metering costs formed a part of the operating and capital costs of the Utilities Commission's 2014 NPD Final Determination. These have also been allocated on a weighted basis that reflects the relative cost of the metering installation, reading and the presence of instrument transformers. The relative allocations are:  &lt;750 Residential and Non-residential = 1, &gt;750 Non-residential LV = 2 and &gt;750 Non-residential HV = 3.   
Common Service Allocation
Common Service costs are allocated on the basis of energy. </t>
  </si>
  <si>
    <t>Cents per day per NMI- Non-residential Accumulation</t>
  </si>
  <si>
    <t>Non-residential Accumulation</t>
  </si>
  <si>
    <t>Nominal Vanilla WACC</t>
  </si>
  <si>
    <t xml:space="preserve">Real vanilla WACC </t>
  </si>
  <si>
    <t>Revenue calculation</t>
  </si>
  <si>
    <t>Side constraint</t>
  </si>
  <si>
    <t>(1+CPIt)*(1+Xt)*(1+2%)+Ct</t>
  </si>
  <si>
    <t>Rt=Rt-1*[(1+CPIt)*(1-Xt)+Ct]</t>
  </si>
  <si>
    <t>Approved passthrough amounts (Ct)</t>
  </si>
  <si>
    <t>Annual adjustment factors (Bt)</t>
  </si>
  <si>
    <t>$'000, $2019</t>
  </si>
  <si>
    <t>Forecast ($'000, $2019)</t>
  </si>
  <si>
    <t>$M, $2019</t>
  </si>
  <si>
    <t>* Excludes equity raising costs</t>
  </si>
  <si>
    <t>Total (DORC)*</t>
  </si>
  <si>
    <t>DORC ($M)
30 June 2019
($2018-19)</t>
  </si>
  <si>
    <t>* Return on capital includes net tax; O&amp;M includes revenue adjustments</t>
  </si>
  <si>
    <t>Share of forecast replacement capex attributed to incremental demand from HV customers</t>
  </si>
  <si>
    <t>Share of forecast replacement capex attributed to incremental demand from LV customers</t>
  </si>
  <si>
    <t>2019-24
($M, $2019)</t>
  </si>
  <si>
    <t>anytime</t>
  </si>
  <si>
    <r>
      <t>[1]</t>
    </r>
    <r>
      <rPr>
        <sz val="8"/>
        <rFont val="Cambria"/>
        <family val="1"/>
        <scheme val="major"/>
      </rPr>
      <t xml:space="preserve"> Charges for increased or reduced service such as for higher reliability or for back-up supply to on-site generation are subject to negotiation.</t>
    </r>
  </si>
  <si>
    <t>Real WACC</t>
  </si>
  <si>
    <t>[2]The peak period rates currently apply to usage between 12 noon and 9.00 pm on any weekday, including public holidays. Off-peak period rates apply at other times.</t>
  </si>
  <si>
    <t xml:space="preserve">Unmetered supply 12hr operation </t>
  </si>
  <si>
    <t>Unmetered supply 24hr operation</t>
  </si>
  <si>
    <t>$/kVar</t>
  </si>
  <si>
    <t>[2]The peak period rates currently apply to usage between 12 noon and 9.00 pm on any weekday, including public holidays from 1 October through 31 March. Off-peak period rates apply at other times.</t>
  </si>
  <si>
    <t>[2] Peak and off-peak periods for demand and energy related charging rates will be as determined from time to time. The peak period rates currently apply to usage between 12 noon  and 9.00 pm on any weekday, including public holidays. Off-peak period rates apply at other times.</t>
  </si>
  <si>
    <t>[2] Peak and off-peak periods for demand and energy related charging rates will be as determined from time to time. The peak period rates currently apply to usage between 12 noon  and 9.00 pm on any weekday, including public holidays from 1 October through 31 March. Off-peak period rates apply at other times.</t>
  </si>
  <si>
    <t>Plus charges related to excess kVAr</t>
  </si>
  <si>
    <t>Cents per day per NMI - HV &lt;750MWh</t>
  </si>
  <si>
    <t>HV &lt;750MWh</t>
  </si>
  <si>
    <t xml:space="preserve">HV &lt;750MWh Peak </t>
  </si>
  <si>
    <t>HV&lt;750MWh Off Peak</t>
  </si>
  <si>
    <t>HV &lt;750MWh Peak</t>
  </si>
  <si>
    <t>HV Off&lt;750MWh  Peak</t>
  </si>
  <si>
    <t>PWC</t>
  </si>
  <si>
    <t>Power and Water Corporation (PWC) Network Pricing Model</t>
  </si>
  <si>
    <t>Go to Cover Sheet</t>
  </si>
  <si>
    <t>Appendix</t>
  </si>
  <si>
    <t>End</t>
  </si>
  <si>
    <t>Calculations</t>
  </si>
  <si>
    <t>COMMERCIAL IN CONFIDENCE</t>
  </si>
  <si>
    <t xml:space="preserve">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
</t>
  </si>
  <si>
    <t>Contains confidential information so removed from public version</t>
  </si>
  <si>
    <t>Output | Impact &lt;750</t>
  </si>
  <si>
    <t>These worksheets demonstrate pricing impacts on customers with consumption less than 750 MWh per year.</t>
  </si>
  <si>
    <t>These worksheets demonstrate pricing impacts on customers with consumption greater than 750 MWh per year.</t>
  </si>
  <si>
    <t>Allocate Optimised Replacement Cost Across Voltages</t>
  </si>
  <si>
    <t>Cost Allocation</t>
  </si>
  <si>
    <t>Calendar Quarter and Year</t>
  </si>
  <si>
    <t>Calendar Year</t>
  </si>
  <si>
    <t>Days in Calendar Year</t>
  </si>
  <si>
    <t>Calendar Year Counter</t>
  </si>
  <si>
    <t>Calendar Years</t>
  </si>
  <si>
    <t>No Errors Found</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</si>
  <si>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</si>
  <si>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</si>
  <si>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</si>
  <si>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</si>
  <si>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</si>
  <si>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</si>
  <si>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</si>
  <si>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</si>
  <si>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</si>
  <si>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</si>
  <si>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</si>
  <si>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</si>
  <si>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</si>
  <si>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</si>
  <si>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</si>
  <si>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</si>
  <si>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</si>
  <si>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</si>
  <si>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</si>
  <si>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LRMC calculation (as at 2019/20)</t>
  </si>
  <si>
    <t>System and Non-System Assets Error Check</t>
  </si>
  <si>
    <t>Land Allocation Error Check</t>
  </si>
  <si>
    <t>Reallocate System Shared Assets and Remove Non-System Shared Assets Error Check</t>
  </si>
  <si>
    <t>Allocate Optimised Replacement Cost Across Voltages Error Check</t>
  </si>
  <si>
    <t>Network Cost Allocation Excluding Common Services Error Check</t>
  </si>
  <si>
    <t>Year t-1</t>
  </si>
  <si>
    <t>Year t</t>
  </si>
  <si>
    <t>-</t>
  </si>
  <si>
    <t>Actual</t>
  </si>
  <si>
    <t>Expected</t>
  </si>
  <si>
    <t>Forecast</t>
  </si>
  <si>
    <t>Pass</t>
  </si>
  <si>
    <t>Compliance with Tariff Class Side Constraint in 2019/20 ($'000)</t>
  </si>
  <si>
    <t>(2017/18 volumes)</t>
  </si>
  <si>
    <t>Fail</t>
  </si>
  <si>
    <t>Schedule A - 2019/20</t>
  </si>
  <si>
    <t>Schedule B -  2019/20</t>
  </si>
  <si>
    <t>Schedule C -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</si>
</sst>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0.00_);\(#,##0.00\);_(&quot;-&quot;_)"/>
    <numFmt numFmtId="172" formatCode="_(&quot;$&quot;#,##0.0_);\(&quot;$&quot;#,##0.0\);_(&quot;-&quot;_)"/>
    <numFmt numFmtId="173" formatCode="0.0"/>
    <numFmt numFmtId="174" formatCode="_(#,##0.0000_);\(#,##0.0000\);_(&quot;-&quot;_)"/>
    <numFmt numFmtId="175" formatCode="_(#,##0.00%_);\(#,##0.00%\);_(&quot;-&quot;_)"/>
    <numFmt numFmtId="176" formatCode="_(#,##0%_);\(#,##0%\);_(&quot;-&quot;_)"/>
    <numFmt numFmtId="177" formatCode="#,##0.000000000000"/>
    <numFmt numFmtId="178" formatCode="_(#,##0\x_);\(#,##0\x\);_(&quot;-&quot;_)"/>
    <numFmt numFmtId="179" formatCode="&quot;$&quot;#,##0.00_);\(&quot;$&quot;#,##0.00\)"/>
    <numFmt numFmtId="180" formatCode="&quot;$&quot;#,##0.000_);\(&quot;$&quot;#,##0.000\)"/>
    <numFmt numFmtId="181" formatCode="_(* #,##0.000_);_(* \(#,##0.000\);_(* &quot;-&quot;??_);_(@_)"/>
    <numFmt numFmtId="182" formatCode="#,##0.000"/>
    <numFmt numFmtId="183" formatCode="_(&quot;$&quot;#,##0_);\(&quot;$&quot;#,##0\);_(&quot;-&quot;_)"/>
    <numFmt numFmtId="184" formatCode="0.0%"/>
    <numFmt numFmtId="185" formatCode="_([$€-2]* #,##0.00_);_([$€-2]* \(#,##0.00\);_([$€-2]* &quot;-&quot;??_)"/>
    <numFmt numFmtId="186" formatCode="_-* #,##0.00_-;[Red]\(#,##0.00\)_-;_-* &quot;-&quot;??_-;_-@_-"/>
    <numFmt numFmtId="187" formatCode="_(* #,##0_);_(* \(#,##0\);_(* &quot;-&quot;_);_(@_)"/>
    <numFmt numFmtId="188" formatCode="_(* #,##0.00_);_(* \(#,##0.00\);_(* &quot;-&quot;??_);_(@_)"/>
    <numFmt numFmtId="189" formatCode="_(&quot;$&quot;* #,##0.00_);_(&quot;$&quot;* \(#,##0.00\);_(&quot;$&quot;* &quot;-&quot;??_);_(@_)"/>
    <numFmt numFmtId="190" formatCode="mm/dd/yy"/>
    <numFmt numFmtId="191" formatCode="0_);[Red]\(0\)"/>
    <numFmt numFmtId="192" formatCode="_(* #,##0.0_);_(* \(#,##0.0\);_(* &quot;-&quot;?_);_(@_)"/>
    <numFmt numFmtId="193" formatCode="_(* #,##0_);_(* \(#,##0\);_(* &quot;-&quot;?_);_(@_)"/>
    <numFmt numFmtId="194" formatCode="#,##0.000_ ;[Red]\-#,##0.000\ "/>
    <numFmt numFmtId="195" formatCode="#,##0.0_);\(#,##0.0\)"/>
    <numFmt numFmtId="196" formatCode="0.00_)"/>
    <numFmt numFmtId="197" formatCode="#,##0_ ;\-#,##0\ "/>
    <numFmt numFmtId="198" formatCode="#,##0;[Red]\(#,##0.0\)"/>
    <numFmt numFmtId="199" formatCode="#,##0_ ;[Red]\(#,##0\)\ "/>
    <numFmt numFmtId="200" formatCode="#,##0.00;\(#,##0.00\)"/>
    <numFmt numFmtId="201" formatCode="#,##0.0000_);[Red]\(#,##0.0000\)"/>
    <numFmt numFmtId="202" formatCode="_-* #,##0_-;\-* #,##0_-;_-* &quot;-&quot;??_-;_-@_-"/>
  </numFmts>
  <fonts count="161">
    <font>
      <sz val="10"/>
      <color rgb="FFFF0066"/>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i/>
      <sz val="8"/>
      <name val="Helvetica"/>
      <family val="2"/>
    </font>
    <font>
      <b/>
      <sz val="18"/>
      <color theme="3"/>
      <name val="Cambria"/>
      <family val="2"/>
      <scheme val="major"/>
    </font>
    <font>
      <i/>
      <sz val="8"/>
      <color theme="1"/>
      <name val="Helvetica"/>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i/>
      <sz val="8"/>
      <color rgb="FF92D050"/>
      <name val="Helvetica"/>
      <family val="2"/>
    </font>
    <font>
      <b/>
      <sz val="8"/>
      <color theme="0"/>
      <name val="Helvetica"/>
      <family val="2"/>
    </font>
    <font>
      <i/>
      <sz val="8"/>
      <color theme="6" tint="0.39994506668294322"/>
      <name val="Helvetica"/>
      <family val="2"/>
    </font>
    <font>
      <b/>
      <sz val="10"/>
      <color theme="1"/>
      <name val="Helvetica"/>
      <family val="2"/>
    </font>
    <font>
      <sz val="8"/>
      <color rgb="FFFF0066"/>
      <name val="Helvetica"/>
      <family val="2"/>
    </font>
    <font>
      <u/>
      <sz val="10"/>
      <color theme="10"/>
      <name val="Calibri"/>
      <family val="2"/>
      <scheme val="minor"/>
    </font>
    <font>
      <sz val="10"/>
      <color theme="4"/>
      <name val="Calibri"/>
      <family val="2"/>
      <scheme val="minor"/>
    </font>
    <font>
      <sz val="10"/>
      <color theme="1"/>
      <name val="Calibri"/>
      <family val="2"/>
      <scheme val="minor"/>
    </font>
    <font>
      <b/>
      <sz val="16"/>
      <color theme="1"/>
      <name val="Calibri"/>
      <family val="2"/>
      <scheme val="minor"/>
    </font>
    <font>
      <b/>
      <sz val="16"/>
      <color theme="4"/>
      <name val="Calibri"/>
      <family val="2"/>
      <scheme val="minor"/>
    </font>
    <font>
      <b/>
      <sz val="10"/>
      <color theme="1"/>
      <name val="Calibri"/>
      <family val="2"/>
      <scheme val="minor"/>
    </font>
    <font>
      <b/>
      <sz val="10"/>
      <color theme="4"/>
      <name val="Calibri"/>
      <family val="2"/>
      <scheme val="minor"/>
    </font>
    <font>
      <b/>
      <sz val="11.5"/>
      <color theme="4"/>
      <name val="Calibri"/>
      <family val="2"/>
    </font>
    <font>
      <b/>
      <sz val="9"/>
      <color indexed="81"/>
      <name val="Tahoma"/>
      <family val="2"/>
    </font>
    <font>
      <sz val="9"/>
      <color indexed="81"/>
      <name val="Tahoma"/>
      <family val="2"/>
    </font>
    <font>
      <b/>
      <sz val="12"/>
      <color theme="0"/>
      <name val="Calibri"/>
      <family val="2"/>
      <scheme val="minor"/>
    </font>
    <font>
      <b/>
      <sz val="10"/>
      <color rgb="FFFF0066"/>
      <name val="Calibri"/>
      <family val="2"/>
      <scheme val="minor"/>
    </font>
    <font>
      <i/>
      <sz val="10"/>
      <color theme="4"/>
      <name val="Calibri"/>
      <family val="2"/>
      <scheme val="minor"/>
    </font>
    <font>
      <b/>
      <sz val="9"/>
      <color indexed="21"/>
      <name val="Tahoma"/>
      <family val="2"/>
    </font>
    <font>
      <sz val="9"/>
      <color indexed="8"/>
      <name val="Tahoma"/>
      <family val="2"/>
    </font>
    <font>
      <sz val="8"/>
      <color indexed="21"/>
      <name val="Tahoma"/>
      <family val="2"/>
    </font>
    <font>
      <sz val="8"/>
      <color indexed="8"/>
      <name val="Tahoma"/>
      <family val="2"/>
    </font>
    <font>
      <sz val="8"/>
      <color indexed="8"/>
      <name val="Wingdings"/>
      <charset val="2"/>
    </font>
    <font>
      <b/>
      <sz val="8"/>
      <color indexed="53"/>
      <name val="Tahoma"/>
      <family val="2"/>
    </font>
    <font>
      <u/>
      <sz val="8"/>
      <color indexed="39"/>
      <name val="Tahoma"/>
      <family val="2"/>
    </font>
    <font>
      <sz val="10"/>
      <color theme="6"/>
      <name val="Calibri"/>
      <family val="2"/>
      <scheme val="minor"/>
    </font>
    <font>
      <sz val="10"/>
      <color rgb="FFFF0066"/>
      <name val="Calibri"/>
      <family val="2"/>
      <scheme val="minor"/>
    </font>
    <font>
      <b/>
      <sz val="14"/>
      <name val="Verdana"/>
      <family val="2"/>
    </font>
    <font>
      <b/>
      <sz val="16"/>
      <name val="Verdana"/>
      <family val="2"/>
    </font>
    <font>
      <b/>
      <sz val="14"/>
      <name val="Arial"/>
      <family val="2"/>
    </font>
    <font>
      <sz val="11"/>
      <name val="Courier New"/>
      <family val="2"/>
    </font>
    <font>
      <sz val="10"/>
      <name val="Times New Roman"/>
      <family val="1"/>
    </font>
    <font>
      <vertAlign val="superscript"/>
      <sz val="10"/>
      <name val="Times New Roman"/>
      <family val="1"/>
    </font>
    <font>
      <b/>
      <sz val="10"/>
      <name val="Arial"/>
      <family val="2"/>
    </font>
    <font>
      <b/>
      <vertAlign val="superscript"/>
      <sz val="10"/>
      <name val="Arial"/>
      <family val="2"/>
    </font>
    <font>
      <b/>
      <i/>
      <sz val="10"/>
      <name val="Arial"/>
      <family val="2"/>
    </font>
    <font>
      <vertAlign val="superscript"/>
      <sz val="8"/>
      <name val="Times New Roman"/>
      <family val="1"/>
    </font>
    <font>
      <sz val="8"/>
      <name val="Times New Roman"/>
      <family val="1"/>
    </font>
    <font>
      <sz val="8"/>
      <name val="Cambria"/>
      <family val="1"/>
    </font>
    <font>
      <sz val="11"/>
      <color theme="1"/>
      <name val="Courier New"/>
      <family val="2"/>
    </font>
    <font>
      <sz val="11"/>
      <color theme="0"/>
      <name val="Calibri"/>
      <family val="2"/>
      <scheme val="minor"/>
    </font>
    <font>
      <sz val="11"/>
      <color indexed="8"/>
      <name val="Arial"/>
      <family val="2"/>
    </font>
    <font>
      <sz val="11"/>
      <color indexed="8"/>
      <name val="Courier New"/>
      <family val="2"/>
    </font>
    <font>
      <sz val="10"/>
      <name val="Arial"/>
      <family val="2"/>
    </font>
    <font>
      <sz val="10"/>
      <name val="Helv"/>
      <charset val="204"/>
    </font>
    <font>
      <sz val="14"/>
      <name val="System"/>
      <family val="2"/>
    </font>
    <font>
      <sz val="8"/>
      <name val="Arial"/>
      <family val="2"/>
    </font>
    <font>
      <sz val="10"/>
      <name val="Geneva"/>
      <family val="2"/>
    </font>
    <font>
      <sz val="11"/>
      <color indexed="8"/>
      <name val="Calibri"/>
      <family val="2"/>
    </font>
    <font>
      <sz val="11"/>
      <color theme="1"/>
      <name val="Tahoma"/>
      <family val="2"/>
    </font>
    <font>
      <sz val="11"/>
      <color indexed="9"/>
      <name val="Calibri"/>
      <family val="2"/>
    </font>
    <font>
      <sz val="11"/>
      <color theme="0"/>
      <name val="Tahoma"/>
      <family val="2"/>
    </font>
    <font>
      <sz val="9"/>
      <name val="AGaramond"/>
    </font>
    <font>
      <sz val="11"/>
      <color indexed="20"/>
      <name val="Calibri"/>
      <family val="2"/>
    </font>
    <font>
      <sz val="11"/>
      <color rgb="FF9C0006"/>
      <name val="Tahoma"/>
      <family val="2"/>
    </font>
    <font>
      <sz val="10"/>
      <name val="Helvetica"/>
      <family val="2"/>
    </font>
    <font>
      <sz val="10"/>
      <color indexed="12"/>
      <name val="Helvetica"/>
      <family val="2"/>
    </font>
    <font>
      <b/>
      <sz val="11"/>
      <color indexed="52"/>
      <name val="Calibri"/>
      <family val="2"/>
    </font>
    <font>
      <b/>
      <sz val="11"/>
      <color rgb="FFFA7D00"/>
      <name val="Tahoma"/>
      <family val="2"/>
    </font>
    <font>
      <b/>
      <sz val="11"/>
      <color indexed="9"/>
      <name val="Calibri"/>
      <family val="2"/>
    </font>
    <font>
      <b/>
      <sz val="11"/>
      <color theme="0"/>
      <name val="Tahoma"/>
      <family val="2"/>
    </font>
    <font>
      <sz val="10"/>
      <name val="MS Sans Serif"/>
      <family val="2"/>
    </font>
    <font>
      <sz val="11"/>
      <color theme="1"/>
      <name val="Consolas"/>
      <family val="2"/>
    </font>
    <font>
      <sz val="10"/>
      <name val="Verdana"/>
      <family val="2"/>
    </font>
    <font>
      <sz val="11"/>
      <color indexed="8"/>
      <name val="Consolas"/>
      <family val="2"/>
    </font>
    <font>
      <sz val="11"/>
      <name val="Calibri"/>
      <family val="2"/>
    </font>
    <font>
      <sz val="10"/>
      <color indexed="24"/>
      <name val="Arial"/>
      <family val="2"/>
    </font>
    <font>
      <b/>
      <sz val="11"/>
      <name val="Calibri"/>
      <family val="2"/>
      <scheme val="minor"/>
    </font>
    <font>
      <b/>
      <sz val="11"/>
      <color indexed="8"/>
      <name val="Calibri"/>
      <family val="2"/>
    </font>
    <font>
      <i/>
      <sz val="11"/>
      <color indexed="23"/>
      <name val="Calibri"/>
      <family val="2"/>
    </font>
    <font>
      <i/>
      <sz val="11"/>
      <color rgb="FF7F7F7F"/>
      <name val="Tahoma"/>
      <family val="2"/>
    </font>
    <font>
      <sz val="9"/>
      <name val="GillSans"/>
      <family val="2"/>
    </font>
    <font>
      <sz val="9"/>
      <name val="GillSans Light"/>
      <family val="2"/>
    </font>
    <font>
      <sz val="11"/>
      <color indexed="17"/>
      <name val="Calibri"/>
      <family val="2"/>
    </font>
    <font>
      <sz val="11"/>
      <color rgb="FF006100"/>
      <name val="Tahoma"/>
      <family val="2"/>
    </font>
    <font>
      <b/>
      <sz val="15"/>
      <color theme="3"/>
      <name val="Calibri"/>
      <family val="2"/>
      <scheme val="minor"/>
    </font>
    <font>
      <b/>
      <sz val="15"/>
      <color indexed="62"/>
      <name val="Calibri"/>
      <family val="2"/>
    </font>
    <font>
      <b/>
      <sz val="15"/>
      <color theme="3"/>
      <name val="Tahoma"/>
      <family val="2"/>
    </font>
    <font>
      <b/>
      <sz val="13"/>
      <color theme="3"/>
      <name val="Calibri"/>
      <family val="2"/>
      <scheme val="minor"/>
    </font>
    <font>
      <b/>
      <sz val="13"/>
      <color indexed="62"/>
      <name val="Calibri"/>
      <family val="2"/>
    </font>
    <font>
      <b/>
      <sz val="9"/>
      <name val="Arial"/>
      <family val="2"/>
    </font>
    <font>
      <b/>
      <sz val="13"/>
      <color theme="3"/>
      <name val="Tahoma"/>
      <family val="2"/>
    </font>
    <font>
      <b/>
      <sz val="11"/>
      <color theme="3"/>
      <name val="Calibri"/>
      <family val="2"/>
      <scheme val="minor"/>
    </font>
    <font>
      <b/>
      <sz val="11"/>
      <color indexed="62"/>
      <name val="Calibri"/>
      <family val="2"/>
    </font>
    <font>
      <b/>
      <sz val="8"/>
      <name val="Arial"/>
      <family val="2"/>
    </font>
    <font>
      <b/>
      <sz val="11"/>
      <color theme="3"/>
      <name val="Tahoma"/>
      <family val="2"/>
    </font>
    <font>
      <b/>
      <sz val="8.5"/>
      <name val="Univers 65"/>
      <family val="2"/>
    </font>
    <font>
      <u/>
      <sz val="11"/>
      <color indexed="12"/>
      <name val="Calibri"/>
      <family val="2"/>
    </font>
    <font>
      <u/>
      <sz val="8.5"/>
      <color indexed="12"/>
      <name val="Arial"/>
      <family val="2"/>
    </font>
    <font>
      <u/>
      <sz val="11"/>
      <color theme="10"/>
      <name val="Calibri"/>
      <family val="2"/>
      <scheme val="minor"/>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rgb="FF3F3F76"/>
      <name val="Tahoma"/>
      <family val="2"/>
    </font>
    <font>
      <b/>
      <sz val="9"/>
      <color indexed="9"/>
      <name val="Arial"/>
      <family val="2"/>
    </font>
    <font>
      <sz val="11"/>
      <color indexed="52"/>
      <name val="Calibri"/>
      <family val="2"/>
    </font>
    <font>
      <sz val="11"/>
      <color rgb="FFFA7D00"/>
      <name val="Tahoma"/>
      <family val="2"/>
    </font>
    <font>
      <sz val="9"/>
      <name val="Arial"/>
      <family val="2"/>
    </font>
    <font>
      <sz val="12"/>
      <color indexed="14"/>
      <name val="Arial"/>
      <family val="2"/>
    </font>
    <font>
      <b/>
      <sz val="12"/>
      <name val="Arial"/>
      <family val="2"/>
    </font>
    <font>
      <sz val="11"/>
      <color indexed="60"/>
      <name val="Calibri"/>
      <family val="2"/>
    </font>
    <font>
      <sz val="11"/>
      <color rgb="FF9C6500"/>
      <name val="Tahoma"/>
      <family val="2"/>
    </font>
    <font>
      <sz val="10"/>
      <color theme="1"/>
      <name val="Arial"/>
      <family val="2"/>
    </font>
    <font>
      <b/>
      <i/>
      <sz val="16"/>
      <name val="Helv"/>
    </font>
    <font>
      <sz val="8"/>
      <name val="Palatino"/>
      <family val="1"/>
    </font>
    <font>
      <sz val="11"/>
      <color theme="1"/>
      <name val="Calibri"/>
      <family val="2"/>
    </font>
    <font>
      <b/>
      <sz val="11"/>
      <color indexed="63"/>
      <name val="Calibri"/>
      <family val="2"/>
    </font>
    <font>
      <b/>
      <sz val="11"/>
      <color rgb="FF3F3F3F"/>
      <name val="Tahoma"/>
      <family val="2"/>
    </font>
    <font>
      <sz val="11"/>
      <color indexed="8"/>
      <name val="Times New Roman"/>
      <family val="1"/>
    </font>
    <font>
      <b/>
      <sz val="11"/>
      <color indexed="16"/>
      <name val="Times New Roman"/>
      <family val="1"/>
    </font>
    <font>
      <sz val="10"/>
      <color indexed="18"/>
      <name val="Times New Roman"/>
      <family val="1"/>
    </font>
    <font>
      <b/>
      <sz val="10"/>
      <name val="MS Sans Serif"/>
      <family val="2"/>
    </font>
    <font>
      <sz val="11"/>
      <color theme="1"/>
      <name val="Arial"/>
      <family val="2"/>
    </font>
    <font>
      <b/>
      <sz val="18"/>
      <color indexed="62"/>
      <name val="Cambria"/>
      <family val="2"/>
    </font>
    <font>
      <b/>
      <sz val="16"/>
      <color indexed="9"/>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sz val="18"/>
      <color theme="3"/>
      <name val="Calibri Light"/>
      <family val="2"/>
    </font>
    <font>
      <sz val="18"/>
      <color theme="3"/>
      <name val="Cambria"/>
      <family val="2"/>
      <scheme val="major"/>
    </font>
    <font>
      <b/>
      <u/>
      <sz val="9.5"/>
      <color indexed="56"/>
      <name val="Arial"/>
      <family val="2"/>
    </font>
    <font>
      <u/>
      <sz val="8"/>
      <color indexed="56"/>
      <name val="Arial"/>
      <family val="2"/>
    </font>
    <font>
      <b/>
      <sz val="11"/>
      <color theme="1"/>
      <name val="Tahoma"/>
      <family val="2"/>
    </font>
    <font>
      <sz val="11"/>
      <color indexed="10"/>
      <name val="Calibri"/>
      <family val="2"/>
    </font>
    <font>
      <sz val="11"/>
      <color rgb="FFFF0000"/>
      <name val="Tahoma"/>
      <family val="2"/>
    </font>
    <font>
      <vertAlign val="superscript"/>
      <sz val="8"/>
      <name val="Cambria"/>
      <family val="1"/>
      <scheme val="major"/>
    </font>
    <font>
      <sz val="8"/>
      <name val="Cambria"/>
      <family val="1"/>
      <scheme val="major"/>
    </font>
    <font>
      <b/>
      <sz val="15"/>
      <color theme="4"/>
      <name val="Helvetica"/>
      <family val="2"/>
    </font>
    <font>
      <sz val="10"/>
      <color theme="1"/>
      <name val="Helvetica"/>
      <family val="2"/>
    </font>
    <font>
      <u/>
      <sz val="8"/>
      <color theme="10"/>
      <name val="Helvetica"/>
      <family val="2"/>
    </font>
    <font>
      <sz val="10"/>
      <color theme="4"/>
      <name val="Helvetica"/>
      <family val="2"/>
    </font>
    <font>
      <b/>
      <sz val="12"/>
      <color theme="0"/>
      <name val="Helvetica"/>
      <family val="2"/>
    </font>
    <font>
      <b/>
      <sz val="11"/>
      <color theme="4"/>
      <name val="Helvetica"/>
      <family val="2"/>
    </font>
    <font>
      <b/>
      <sz val="15"/>
      <color rgb="FFFF0066"/>
      <name val="Calibri"/>
      <family val="2"/>
      <scheme val="minor"/>
    </font>
    <font>
      <b/>
      <sz val="8"/>
      <color rgb="FFFF0066"/>
      <name val="Helvetica"/>
    </font>
  </fonts>
  <fills count="89">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rgb="FF2A3D6F"/>
        <bgColor indexed="64"/>
      </patternFill>
    </fill>
    <fill>
      <patternFill patternType="solid">
        <fgColor rgb="FF75842F"/>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0"/>
        <bgColor indexed="14"/>
      </patternFill>
    </fill>
    <fill>
      <patternFill patternType="solid">
        <fgColor indexed="9"/>
        <bgColor indexed="64"/>
      </patternFill>
    </fill>
    <fill>
      <patternFill patternType="solid">
        <fgColor indexed="9"/>
        <bgColor indexed="1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theme="4" tint="0.3999755851924192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rgb="FFFFFFCC"/>
        <bgColor indexed="64"/>
      </patternFill>
    </fill>
    <fill>
      <patternFill patternType="solid">
        <fgColor indexed="62"/>
        <bgColor indexed="64"/>
      </patternFill>
    </fill>
    <fill>
      <patternFill patternType="solid">
        <fgColor theme="0" tint="-0.249977111117893"/>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0" tint="-0.34998626667073579"/>
        <bgColor indexed="64"/>
      </patternFill>
    </fill>
    <fill>
      <patternFill patternType="solid">
        <fgColor theme="6" tint="0.3999450666829432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dashed">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theme="0"/>
      </left>
      <right/>
      <top style="thin">
        <color theme="0"/>
      </top>
      <bottom style="thin">
        <color theme="0"/>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auto="1"/>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auto="1"/>
      </bottom>
      <diagonal/>
    </border>
    <border>
      <left/>
      <right style="thin">
        <color indexed="64"/>
      </right>
      <top style="medium">
        <color auto="1"/>
      </top>
      <bottom style="medium">
        <color indexed="64"/>
      </bottom>
      <diagonal/>
    </border>
    <border>
      <left style="medium">
        <color indexed="10"/>
      </left>
      <right style="medium">
        <color indexed="10"/>
      </right>
      <top style="medium">
        <color indexed="10"/>
      </top>
      <bottom style="medium">
        <color indexed="1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indexed="49"/>
      </bottom>
      <diagonal/>
    </border>
    <border>
      <left/>
      <right/>
      <top/>
      <bottom style="thick">
        <color theme="4" tint="0.499984740745262"/>
      </bottom>
      <diagonal/>
    </border>
    <border>
      <left/>
      <right/>
      <top/>
      <bottom style="thick">
        <color indexed="38"/>
      </bottom>
      <diagonal/>
    </border>
    <border>
      <left/>
      <right/>
      <top/>
      <bottom style="medium">
        <color theme="4" tint="0.39997558519241921"/>
      </bottom>
      <diagonal/>
    </border>
    <border>
      <left/>
      <right/>
      <top/>
      <bottom style="medium">
        <color indexed="38"/>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theme="0" tint="-0.34998626667073579"/>
      </top>
      <bottom style="thin">
        <color theme="0" tint="-0.34998626667073579"/>
      </bottom>
      <diagonal/>
    </border>
    <border>
      <left/>
      <right/>
      <top style="thin">
        <color indexed="49"/>
      </top>
      <bottom style="double">
        <color indexed="4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dotted">
        <color auto="1"/>
      </right>
      <top/>
      <bottom/>
      <diagonal/>
    </border>
    <border>
      <left style="dotted">
        <color auto="1"/>
      </left>
      <right/>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right style="medium">
        <color rgb="FFFFFF00"/>
      </right>
      <top style="thin">
        <color auto="1"/>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auto="1"/>
      </left>
      <right/>
      <top style="thin">
        <color indexed="64"/>
      </top>
      <bottom/>
      <diagonal/>
    </border>
    <border>
      <left/>
      <right/>
      <top style="thin">
        <color indexed="64"/>
      </top>
      <bottom/>
      <diagonal/>
    </border>
    <border>
      <left style="medium">
        <color auto="1"/>
      </left>
      <right/>
      <top style="thin">
        <color indexed="64"/>
      </top>
      <bottom style="thin">
        <color auto="1"/>
      </bottom>
      <diagonal/>
    </border>
  </borders>
  <cellStyleXfs count="822">
    <xf numFmtId="0" fontId="0" fillId="0" borderId="0"/>
    <xf numFmtId="168" fontId="5" fillId="0" borderId="0" applyFill="0" applyBorder="0" applyProtection="0">
      <alignment vertical="center"/>
    </xf>
    <xf numFmtId="0" fontId="10" fillId="0" borderId="0" applyNumberFormat="0" applyFill="0" applyBorder="0" applyAlignment="0" applyProtection="0"/>
    <xf numFmtId="0" fontId="37" fillId="13" borderId="0" applyBorder="0">
      <alignment horizontal="left" vertical="center"/>
    </xf>
    <xf numFmtId="0" fontId="4" fillId="3" borderId="0" applyProtection="0">
      <alignment vertical="center"/>
    </xf>
    <xf numFmtId="0" fontId="6" fillId="0" borderId="0" applyFill="0" applyProtection="0">
      <alignment vertical="center"/>
    </xf>
    <xf numFmtId="0" fontId="5" fillId="0" borderId="0" applyFill="0" applyBorder="0" applyProtection="0">
      <alignment vertical="center"/>
    </xf>
    <xf numFmtId="0" fontId="7" fillId="0" borderId="5" applyNumberFormat="0" applyFill="0" applyAlignment="0" applyProtection="0"/>
    <xf numFmtId="0" fontId="28" fillId="12" borderId="4">
      <alignment horizontal="left" vertical="center"/>
      <protection locked="0"/>
    </xf>
    <xf numFmtId="164" fontId="29" fillId="0" borderId="0" applyFill="0" applyBorder="0">
      <alignment horizontal="center" vertical="center"/>
    </xf>
    <xf numFmtId="164" fontId="28" fillId="2" borderId="4">
      <alignment horizontal="center" vertical="center"/>
      <protection locked="0"/>
    </xf>
    <xf numFmtId="170" fontId="29" fillId="0" borderId="0" applyFill="0" applyBorder="0">
      <alignment horizontal="center" vertical="center"/>
    </xf>
    <xf numFmtId="170" fontId="28" fillId="12" borderId="4">
      <alignment horizontal="center" vertical="center"/>
      <protection locked="0"/>
    </xf>
    <xf numFmtId="165" fontId="29" fillId="0" borderId="0" applyFill="0" applyBorder="0">
      <alignment horizontal="right" vertical="center"/>
    </xf>
    <xf numFmtId="165" fontId="28" fillId="12" borderId="4">
      <alignment horizontal="right" vertical="center"/>
      <protection locked="0"/>
    </xf>
    <xf numFmtId="167" fontId="29" fillId="0" borderId="0" applyFill="0" applyBorder="0">
      <alignment horizontal="right" vertical="center"/>
    </xf>
    <xf numFmtId="167" fontId="28" fillId="12" borderId="4">
      <alignment horizontal="right" vertical="center"/>
      <protection locked="0"/>
    </xf>
    <xf numFmtId="166" fontId="29" fillId="0" borderId="0" applyFill="0" applyBorder="0">
      <alignment horizontal="right" vertical="center"/>
    </xf>
    <xf numFmtId="166" fontId="28" fillId="12" borderId="4">
      <alignment horizontal="right" vertical="center"/>
      <protection locked="0"/>
    </xf>
    <xf numFmtId="168" fontId="28" fillId="12" borderId="4">
      <alignment horizontal="right" vertical="center"/>
      <protection locked="0"/>
    </xf>
    <xf numFmtId="0" fontId="31" fillId="0" borderId="0" applyFill="0" applyBorder="0">
      <alignment horizontal="left" vertical="center"/>
    </xf>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5" fillId="10" borderId="10" applyNumberFormat="0" applyFont="0" applyAlignment="0" applyProtection="0"/>
    <xf numFmtId="0" fontId="21" fillId="0" borderId="0" applyNumberFormat="0" applyFill="0" applyBorder="0" applyAlignment="0" applyProtection="0"/>
    <xf numFmtId="0" fontId="27" fillId="0" borderId="0" applyNumberFormat="0" applyFill="0" applyBorder="0">
      <alignment horizontal="left" vertical="center"/>
    </xf>
    <xf numFmtId="0" fontId="30" fillId="0" borderId="0" applyFill="0" applyBorder="0">
      <alignment vertical="center"/>
    </xf>
    <xf numFmtId="0" fontId="33" fillId="0" borderId="0" applyFill="0" applyBorder="0">
      <alignment horizontal="left" vertical="center"/>
    </xf>
    <xf numFmtId="0" fontId="32" fillId="0" borderId="0" applyFill="0" applyBorder="0">
      <alignment horizontal="left" vertical="center"/>
    </xf>
    <xf numFmtId="0" fontId="28" fillId="0" borderId="0" applyFill="0" applyBorder="0">
      <alignment horizontal="left" vertical="center"/>
    </xf>
    <xf numFmtId="0" fontId="29" fillId="0" borderId="0" applyFill="0" applyBorder="0">
      <alignment vertical="center"/>
    </xf>
    <xf numFmtId="0" fontId="19" fillId="14" borderId="0" applyBorder="0">
      <alignment horizontal="left" vertical="center"/>
    </xf>
    <xf numFmtId="172" fontId="29" fillId="0" borderId="0" applyFill="0" applyBorder="0">
      <alignment horizontal="right" vertical="center"/>
    </xf>
    <xf numFmtId="165" fontId="28" fillId="0" borderId="0" applyFill="0" applyBorder="0">
      <alignment horizontal="right" vertical="center"/>
    </xf>
    <xf numFmtId="170" fontId="28" fillId="0" borderId="0" applyFill="0" applyBorder="0">
      <alignment horizontal="center" vertical="center"/>
    </xf>
    <xf numFmtId="172" fontId="28" fillId="0" borderId="0" applyFill="0" applyBorder="0">
      <alignment horizontal="right" vertical="center"/>
    </xf>
    <xf numFmtId="166" fontId="28" fillId="0" borderId="0" applyFill="0" applyBorder="0">
      <alignment horizontal="right" vertical="center"/>
    </xf>
    <xf numFmtId="167" fontId="28" fillId="0" borderId="0" applyFill="0" applyBorder="0">
      <alignment horizontal="right" vertical="center"/>
    </xf>
    <xf numFmtId="164" fontId="28" fillId="0" borderId="0" applyFill="0" applyBorder="0">
      <alignment horizontal="center" vertical="center"/>
    </xf>
    <xf numFmtId="9" fontId="26" fillId="0" borderId="0" applyFont="0" applyFill="0" applyBorder="0" applyAlignment="0" applyProtection="0"/>
    <xf numFmtId="43" fontId="48" fillId="0" borderId="0" applyFont="0" applyFill="0" applyBorder="0" applyAlignment="0" applyProtection="0"/>
    <xf numFmtId="9" fontId="61" fillId="0" borderId="0" applyFont="0" applyFill="0" applyBorder="0" applyAlignment="0" applyProtection="0"/>
    <xf numFmtId="0" fontId="3" fillId="0" borderId="0"/>
    <xf numFmtId="43" fontId="3" fillId="0" borderId="0" applyFont="0" applyFill="0" applyBorder="0" applyAlignment="0" applyProtection="0"/>
    <xf numFmtId="0" fontId="61" fillId="0" borderId="0"/>
    <xf numFmtId="9" fontId="64" fillId="0" borderId="0" applyFont="0" applyFill="0" applyBorder="0" applyAlignment="0" applyProtection="0"/>
    <xf numFmtId="44" fontId="61" fillId="0" borderId="0" applyFont="0" applyFill="0" applyBorder="0" applyAlignment="0" applyProtection="0"/>
    <xf numFmtId="0" fontId="65" fillId="0" borderId="0"/>
    <xf numFmtId="0" fontId="65" fillId="0" borderId="0"/>
    <xf numFmtId="0" fontId="65" fillId="0" borderId="0"/>
    <xf numFmtId="185" fontId="65" fillId="0" borderId="0"/>
    <xf numFmtId="185" fontId="65" fillId="0" borderId="0"/>
    <xf numFmtId="0" fontId="66" fillId="0" borderId="0"/>
    <xf numFmtId="0" fontId="66" fillId="0" borderId="0"/>
    <xf numFmtId="0" fontId="6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5" fillId="0" borderId="0"/>
    <xf numFmtId="0" fontId="65" fillId="0" borderId="0"/>
    <xf numFmtId="0" fontId="65" fillId="0" borderId="0"/>
    <xf numFmtId="186" fontId="68" fillId="0" borderId="0"/>
    <xf numFmtId="186" fontId="68" fillId="0" borderId="0"/>
    <xf numFmtId="0" fontId="69" fillId="0" borderId="0"/>
    <xf numFmtId="0" fontId="65" fillId="0" borderId="0"/>
    <xf numFmtId="0" fontId="2" fillId="24" borderId="0" applyNumberFormat="0" applyBorder="0" applyAlignment="0" applyProtection="0"/>
    <xf numFmtId="0" fontId="2" fillId="24" borderId="0" applyNumberFormat="0" applyBorder="0" applyAlignment="0" applyProtection="0"/>
    <xf numFmtId="0" fontId="70" fillId="47" borderId="0" applyNumberFormat="0" applyBorder="0" applyAlignment="0" applyProtection="0"/>
    <xf numFmtId="0" fontId="71"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70" fillId="48" borderId="0" applyNumberFormat="0" applyBorder="0" applyAlignment="0" applyProtection="0"/>
    <xf numFmtId="0" fontId="71"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70" fillId="49" borderId="0" applyNumberFormat="0" applyBorder="0" applyAlignment="0" applyProtection="0"/>
    <xf numFmtId="0" fontId="71"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70" fillId="50" borderId="0" applyNumberFormat="0" applyBorder="0" applyAlignment="0" applyProtection="0"/>
    <xf numFmtId="0" fontId="71"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70" fillId="47" borderId="0" applyNumberFormat="0" applyBorder="0" applyAlignment="0" applyProtection="0"/>
    <xf numFmtId="0" fontId="71"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70" fillId="48" borderId="0" applyNumberFormat="0" applyBorder="0" applyAlignment="0" applyProtection="0"/>
    <xf numFmtId="0" fontId="71" fillId="4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70" fillId="47" borderId="0" applyNumberFormat="0" applyBorder="0" applyAlignment="0" applyProtection="0"/>
    <xf numFmtId="0" fontId="71"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70" fillId="48" borderId="0" applyNumberFormat="0" applyBorder="0" applyAlignment="0" applyProtection="0"/>
    <xf numFmtId="0" fontId="71"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70" fillId="51" borderId="0" applyNumberFormat="0" applyBorder="0" applyAlignment="0" applyProtection="0"/>
    <xf numFmtId="0" fontId="71"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70" fillId="52" borderId="0" applyNumberFormat="0" applyBorder="0" applyAlignment="0" applyProtection="0"/>
    <xf numFmtId="0" fontId="71"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70" fillId="47" borderId="0" applyNumberFormat="0" applyBorder="0" applyAlignment="0" applyProtection="0"/>
    <xf numFmtId="0" fontId="71"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70" fillId="48" borderId="0" applyNumberFormat="0" applyBorder="0" applyAlignment="0" applyProtection="0"/>
    <xf numFmtId="0" fontId="71" fillId="45" borderId="0" applyNumberFormat="0" applyBorder="0" applyAlignment="0" applyProtection="0"/>
    <xf numFmtId="0" fontId="62" fillId="26" borderId="0" applyNumberFormat="0" applyBorder="0" applyAlignment="0" applyProtection="0"/>
    <xf numFmtId="0" fontId="72" fillId="47" borderId="0" applyNumberFormat="0" applyBorder="0" applyAlignment="0" applyProtection="0"/>
    <xf numFmtId="0" fontId="73" fillId="26" borderId="0" applyNumberFormat="0" applyBorder="0" applyAlignment="0" applyProtection="0"/>
    <xf numFmtId="0" fontId="62" fillId="30" borderId="0" applyNumberFormat="0" applyBorder="0" applyAlignment="0" applyProtection="0"/>
    <xf numFmtId="0" fontId="72" fillId="48" borderId="0" applyNumberFormat="0" applyBorder="0" applyAlignment="0" applyProtection="0"/>
    <xf numFmtId="0" fontId="73" fillId="30" borderId="0" applyNumberFormat="0" applyBorder="0" applyAlignment="0" applyProtection="0"/>
    <xf numFmtId="0" fontId="62" fillId="34" borderId="0" applyNumberFormat="0" applyBorder="0" applyAlignment="0" applyProtection="0"/>
    <xf numFmtId="0" fontId="72" fillId="51" borderId="0" applyNumberFormat="0" applyBorder="0" applyAlignment="0" applyProtection="0"/>
    <xf numFmtId="0" fontId="73" fillId="34" borderId="0" applyNumberFormat="0" applyBorder="0" applyAlignment="0" applyProtection="0"/>
    <xf numFmtId="0" fontId="62" fillId="38" borderId="0" applyNumberFormat="0" applyBorder="0" applyAlignment="0" applyProtection="0"/>
    <xf numFmtId="0" fontId="72" fillId="52" borderId="0" applyNumberFormat="0" applyBorder="0" applyAlignment="0" applyProtection="0"/>
    <xf numFmtId="0" fontId="73" fillId="38" borderId="0" applyNumberFormat="0" applyBorder="0" applyAlignment="0" applyProtection="0"/>
    <xf numFmtId="0" fontId="62" fillId="42" borderId="0" applyNumberFormat="0" applyBorder="0" applyAlignment="0" applyProtection="0"/>
    <xf numFmtId="0" fontId="72" fillId="47" borderId="0" applyNumberFormat="0" applyBorder="0" applyAlignment="0" applyProtection="0"/>
    <xf numFmtId="0" fontId="73" fillId="42" borderId="0" applyNumberFormat="0" applyBorder="0" applyAlignment="0" applyProtection="0"/>
    <xf numFmtId="0" fontId="62" fillId="46" borderId="0" applyNumberFormat="0" applyBorder="0" applyAlignment="0" applyProtection="0"/>
    <xf numFmtId="0" fontId="72" fillId="48" borderId="0" applyNumberFormat="0" applyBorder="0" applyAlignment="0" applyProtection="0"/>
    <xf numFmtId="0" fontId="73" fillId="46"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2" fillId="54" borderId="0" applyNumberFormat="0" applyBorder="0" applyAlignment="0" applyProtection="0"/>
    <xf numFmtId="0" fontId="62" fillId="23" borderId="0" applyNumberFormat="0" applyBorder="0" applyAlignment="0" applyProtection="0"/>
    <xf numFmtId="0" fontId="72" fillId="55" borderId="0" applyNumberFormat="0" applyBorder="0" applyAlignment="0" applyProtection="0"/>
    <xf numFmtId="0" fontId="73" fillId="23"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2" fillId="58" borderId="0" applyNumberFormat="0" applyBorder="0" applyAlignment="0" applyProtection="0"/>
    <xf numFmtId="0" fontId="62" fillId="27" borderId="0" applyNumberFormat="0" applyBorder="0" applyAlignment="0" applyProtection="0"/>
    <xf numFmtId="0" fontId="72" fillId="59" borderId="0" applyNumberFormat="0" applyBorder="0" applyAlignment="0" applyProtection="0"/>
    <xf numFmtId="0" fontId="73" fillId="27"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0" fillId="56" borderId="0" applyNumberFormat="0" applyBorder="0" applyAlignment="0" applyProtection="0"/>
    <xf numFmtId="0" fontId="70" fillId="60" borderId="0" applyNumberFormat="0" applyBorder="0" applyAlignment="0" applyProtection="0"/>
    <xf numFmtId="0" fontId="72" fillId="57" borderId="0" applyNumberFormat="0" applyBorder="0" applyAlignment="0" applyProtection="0"/>
    <xf numFmtId="0" fontId="62" fillId="31" borderId="0" applyNumberFormat="0" applyBorder="0" applyAlignment="0" applyProtection="0"/>
    <xf numFmtId="0" fontId="72" fillId="61" borderId="0" applyNumberFormat="0" applyBorder="0" applyAlignment="0" applyProtection="0"/>
    <xf numFmtId="0" fontId="73" fillId="3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0" fillId="53" borderId="0" applyNumberFormat="0" applyBorder="0" applyAlignment="0" applyProtection="0"/>
    <xf numFmtId="0" fontId="70" fillId="57" borderId="0" applyNumberFormat="0" applyBorder="0" applyAlignment="0" applyProtection="0"/>
    <xf numFmtId="0" fontId="72" fillId="57" borderId="0" applyNumberFormat="0" applyBorder="0" applyAlignment="0" applyProtection="0"/>
    <xf numFmtId="0" fontId="62" fillId="35" borderId="0" applyNumberFormat="0" applyBorder="0" applyAlignment="0" applyProtection="0"/>
    <xf numFmtId="0" fontId="72" fillId="62" borderId="0" applyNumberFormat="0" applyBorder="0" applyAlignment="0" applyProtection="0"/>
    <xf numFmtId="0" fontId="73" fillId="35"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0" fillId="63" borderId="0" applyNumberFormat="0" applyBorder="0" applyAlignment="0" applyProtection="0"/>
    <xf numFmtId="0" fontId="70" fillId="53" borderId="0" applyNumberFormat="0" applyBorder="0" applyAlignment="0" applyProtection="0"/>
    <xf numFmtId="0" fontId="72" fillId="54" borderId="0" applyNumberFormat="0" applyBorder="0" applyAlignment="0" applyProtection="0"/>
    <xf numFmtId="0" fontId="62" fillId="39" borderId="0" applyNumberFormat="0" applyBorder="0" applyAlignment="0" applyProtection="0"/>
    <xf numFmtId="0" fontId="72" fillId="55" borderId="0" applyNumberFormat="0" applyBorder="0" applyAlignment="0" applyProtection="0"/>
    <xf numFmtId="0" fontId="73" fillId="39"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70" fillId="56" borderId="0" applyNumberFormat="0" applyBorder="0" applyAlignment="0" applyProtection="0"/>
    <xf numFmtId="0" fontId="70" fillId="64" borderId="0" applyNumberFormat="0" applyBorder="0" applyAlignment="0" applyProtection="0"/>
    <xf numFmtId="0" fontId="72" fillId="64" borderId="0" applyNumberFormat="0" applyBorder="0" applyAlignment="0" applyProtection="0"/>
    <xf numFmtId="0" fontId="62" fillId="43" borderId="0" applyNumberFormat="0" applyBorder="0" applyAlignment="0" applyProtection="0"/>
    <xf numFmtId="0" fontId="72" fillId="65" borderId="0" applyNumberFormat="0" applyBorder="0" applyAlignment="0" applyProtection="0"/>
    <xf numFmtId="0" fontId="73" fillId="43"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4" fillId="0" borderId="0"/>
    <xf numFmtId="42" fontId="53" fillId="0" borderId="0" applyFont="0" applyFill="0" applyBorder="0" applyAlignment="0" applyProtection="0"/>
    <xf numFmtId="0" fontId="13" fillId="5" borderId="0" applyNumberFormat="0" applyBorder="0" applyAlignment="0" applyProtection="0"/>
    <xf numFmtId="0" fontId="75" fillId="66" borderId="0" applyNumberFormat="0" applyBorder="0" applyAlignment="0" applyProtection="0"/>
    <xf numFmtId="0" fontId="76" fillId="5" borderId="0" applyNumberFormat="0" applyBorder="0" applyAlignment="0" applyProtection="0"/>
    <xf numFmtId="0" fontId="77" fillId="0" borderId="0" applyNumberFormat="0" applyFill="0" applyBorder="0" applyAlignment="0"/>
    <xf numFmtId="187" fontId="65" fillId="67" borderId="0" applyNumberFormat="0" applyFont="0" applyBorder="0" applyAlignment="0">
      <alignment horizontal="right"/>
    </xf>
    <xf numFmtId="187" fontId="65" fillId="67" borderId="0" applyNumberFormat="0" applyFont="0" applyBorder="0" applyAlignment="0">
      <alignment horizontal="right"/>
    </xf>
    <xf numFmtId="187" fontId="65" fillId="67" borderId="0" applyNumberFormat="0" applyFont="0" applyBorder="0" applyAlignment="0">
      <alignment horizontal="right"/>
    </xf>
    <xf numFmtId="0" fontId="78" fillId="0" borderId="0" applyNumberFormat="0" applyFill="0" applyBorder="0" applyAlignment="0">
      <protection locked="0"/>
    </xf>
    <xf numFmtId="0" fontId="65" fillId="0" borderId="76">
      <alignment horizontal="center" vertical="center"/>
    </xf>
    <xf numFmtId="0" fontId="17" fillId="8" borderId="6" applyNumberFormat="0" applyAlignment="0" applyProtection="0"/>
    <xf numFmtId="0" fontId="79" fillId="50" borderId="77" applyNumberFormat="0" applyAlignment="0" applyProtection="0"/>
    <xf numFmtId="0" fontId="79" fillId="50" borderId="77" applyNumberFormat="0" applyAlignment="0" applyProtection="0"/>
    <xf numFmtId="0" fontId="79" fillId="50" borderId="77" applyNumberFormat="0" applyAlignment="0" applyProtection="0"/>
    <xf numFmtId="0" fontId="79" fillId="50" borderId="77" applyNumberFormat="0" applyAlignment="0" applyProtection="0"/>
    <xf numFmtId="0" fontId="79" fillId="50" borderId="77" applyNumberFormat="0" applyAlignment="0" applyProtection="0"/>
    <xf numFmtId="0" fontId="79" fillId="50" borderId="77" applyNumberFormat="0" applyAlignment="0" applyProtection="0"/>
    <xf numFmtId="0" fontId="80" fillId="8" borderId="6" applyNumberFormat="0" applyAlignment="0" applyProtection="0"/>
    <xf numFmtId="0" fontId="19" fillId="9" borderId="9" applyNumberFormat="0" applyAlignment="0" applyProtection="0"/>
    <xf numFmtId="0" fontId="81" fillId="68" borderId="78" applyNumberFormat="0" applyAlignment="0" applyProtection="0"/>
    <xf numFmtId="0" fontId="81" fillId="68" borderId="78" applyNumberFormat="0" applyAlignment="0" applyProtection="0"/>
    <xf numFmtId="0" fontId="82" fillId="9" borderId="9" applyNumberFormat="0" applyAlignment="0" applyProtection="0"/>
    <xf numFmtId="41" fontId="65" fillId="0" borderId="0" applyFont="0" applyFill="0" applyBorder="0" applyAlignment="0" applyProtection="0"/>
    <xf numFmtId="0" fontId="83"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43" fontId="2"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65"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8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85" fillId="0" borderId="0" applyFont="0" applyFill="0" applyBorder="0" applyAlignment="0" applyProtection="0"/>
    <xf numFmtId="188" fontId="85" fillId="0" borderId="0" applyFont="0" applyFill="0" applyBorder="0" applyAlignment="0" applyProtection="0"/>
    <xf numFmtId="188" fontId="85" fillId="0" borderId="0" applyFont="0" applyFill="0" applyBorder="0" applyAlignment="0" applyProtection="0"/>
    <xf numFmtId="0" fontId="65" fillId="0" borderId="0" applyFont="0" applyFill="0" applyBorder="0" applyAlignment="0" applyProtection="0"/>
    <xf numFmtId="43" fontId="65" fillId="0" borderId="0" applyFont="0" applyFill="0" applyBorder="0" applyAlignment="0" applyProtection="0"/>
    <xf numFmtId="0" fontId="65"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65" fillId="0" borderId="0" applyFont="0" applyFill="0" applyBorder="0" applyAlignment="0" applyProtection="0"/>
    <xf numFmtId="188" fontId="65" fillId="0" borderId="0" applyFont="0" applyFill="0" applyBorder="0" applyAlignment="0" applyProtection="0"/>
    <xf numFmtId="43" fontId="84" fillId="0" borderId="0" applyFont="0" applyFill="0" applyBorder="0" applyAlignment="0" applyProtection="0"/>
    <xf numFmtId="188" fontId="65" fillId="0" borderId="0" applyFont="0" applyFill="0" applyBorder="0" applyAlignment="0" applyProtection="0"/>
    <xf numFmtId="43" fontId="65" fillId="0" borderId="0" applyFont="0" applyFill="0" applyBorder="0" applyAlignment="0" applyProtection="0"/>
    <xf numFmtId="188" fontId="65" fillId="0" borderId="0" applyFont="0" applyFill="0" applyBorder="0" applyAlignment="0" applyProtection="0"/>
    <xf numFmtId="43" fontId="6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88"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189" fontId="6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65" fillId="0" borderId="0" applyFont="0" applyFill="0" applyBorder="0" applyAlignment="0" applyProtection="0"/>
    <xf numFmtId="190" fontId="65" fillId="0" borderId="0" applyFont="0" applyFill="0" applyBorder="0" applyAlignment="0" applyProtection="0"/>
    <xf numFmtId="49" fontId="89" fillId="69" borderId="79">
      <alignment horizontal="center" vertical="center" wrapText="1"/>
    </xf>
    <xf numFmtId="0" fontId="90" fillId="70" borderId="0" applyNumberFormat="0" applyBorder="0" applyAlignment="0" applyProtection="0"/>
    <xf numFmtId="0" fontId="90" fillId="71" borderId="0" applyNumberFormat="0" applyBorder="0" applyAlignment="0" applyProtection="0"/>
    <xf numFmtId="0" fontId="90" fillId="72" borderId="0" applyNumberFormat="0" applyBorder="0" applyAlignment="0" applyProtection="0"/>
    <xf numFmtId="185" fontId="70" fillId="0" borderId="0" applyFont="0" applyFill="0" applyBorder="0" applyAlignment="0" applyProtection="0"/>
    <xf numFmtId="0" fontId="2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191" fontId="65" fillId="0" borderId="0" applyFont="0" applyFill="0" applyBorder="0" applyAlignment="0" applyProtection="0"/>
    <xf numFmtId="191" fontId="65" fillId="0" borderId="0" applyFont="0" applyFill="0" applyBorder="0" applyAlignment="0" applyProtection="0"/>
    <xf numFmtId="0" fontId="93" fillId="0" borderId="0"/>
    <xf numFmtId="0" fontId="94" fillId="0" borderId="0"/>
    <xf numFmtId="0" fontId="12" fillId="4" borderId="0" applyNumberFormat="0" applyBorder="0" applyAlignment="0" applyProtection="0"/>
    <xf numFmtId="0" fontId="95" fillId="73" borderId="0" applyNumberFormat="0" applyBorder="0" applyAlignment="0" applyProtection="0"/>
    <xf numFmtId="0" fontId="96" fillId="4" borderId="0" applyNumberFormat="0" applyBorder="0" applyAlignment="0" applyProtection="0"/>
    <xf numFmtId="0" fontId="65" fillId="52" borderId="0" applyNumberFormat="0" applyFont="0" applyBorder="0" applyAlignment="0" applyProtection="0"/>
    <xf numFmtId="0" fontId="97" fillId="0" borderId="80" applyNumberFormat="0" applyFill="0" applyAlignment="0" applyProtection="0"/>
    <xf numFmtId="0" fontId="98" fillId="0" borderId="81" applyNumberFormat="0" applyFill="0" applyAlignment="0" applyProtection="0"/>
    <xf numFmtId="0" fontId="55" fillId="0" borderId="0" applyFill="0" applyBorder="0">
      <alignment vertical="center"/>
    </xf>
    <xf numFmtId="0" fontId="99" fillId="0" borderId="80" applyNumberFormat="0" applyFill="0" applyAlignment="0" applyProtection="0"/>
    <xf numFmtId="0" fontId="55" fillId="0" borderId="0" applyFill="0" applyBorder="0">
      <alignment vertical="center"/>
    </xf>
    <xf numFmtId="0" fontId="100" fillId="0" borderId="82" applyNumberFormat="0" applyFill="0" applyAlignment="0" applyProtection="0"/>
    <xf numFmtId="0" fontId="101" fillId="0" borderId="83" applyNumberFormat="0" applyFill="0" applyAlignment="0" applyProtection="0"/>
    <xf numFmtId="0" fontId="102" fillId="0" borderId="0" applyFill="0" applyBorder="0">
      <alignment vertical="center"/>
    </xf>
    <xf numFmtId="0" fontId="103" fillId="0" borderId="82" applyNumberFormat="0" applyFill="0" applyAlignment="0" applyProtection="0"/>
    <xf numFmtId="0" fontId="102" fillId="0" borderId="0" applyFill="0" applyBorder="0">
      <alignment vertical="center"/>
    </xf>
    <xf numFmtId="0" fontId="104" fillId="0" borderId="84"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6" fillId="0" borderId="0" applyFill="0" applyBorder="0">
      <alignment vertical="center"/>
    </xf>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5" fillId="0" borderId="85" applyNumberFormat="0" applyFill="0" applyAlignment="0" applyProtection="0"/>
    <xf numFmtId="0" fontId="107" fillId="0" borderId="84" applyNumberFormat="0" applyFill="0" applyAlignment="0" applyProtection="0"/>
    <xf numFmtId="0" fontId="106" fillId="0" borderId="0" applyFill="0" applyBorder="0">
      <alignment vertical="center"/>
    </xf>
    <xf numFmtId="0" fontId="104" fillId="0" borderId="0" applyNumberFormat="0" applyFill="0" applyBorder="0" applyAlignment="0" applyProtection="0"/>
    <xf numFmtId="0" fontId="105" fillId="0" borderId="0" applyNumberFormat="0" applyFill="0" applyBorder="0" applyAlignment="0" applyProtection="0"/>
    <xf numFmtId="0" fontId="68" fillId="0" borderId="0" applyFill="0" applyBorder="0">
      <alignment vertical="center"/>
    </xf>
    <xf numFmtId="0" fontId="107" fillId="0" borderId="0" applyNumberFormat="0" applyFill="0" applyBorder="0" applyAlignment="0" applyProtection="0"/>
    <xf numFmtId="0" fontId="68" fillId="0" borderId="0" applyFill="0" applyBorder="0">
      <alignment vertical="center"/>
    </xf>
    <xf numFmtId="184" fontId="108" fillId="0" borderId="0"/>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1" fillId="0" borderId="0" applyNumberFormat="0" applyFill="0" applyBorder="0" applyAlignment="0" applyProtection="0"/>
    <xf numFmtId="0" fontId="112" fillId="0" borderId="0" applyNumberFormat="0" applyFill="0" applyBorder="0" applyAlignment="0" applyProtection="0">
      <alignment vertical="top"/>
      <protection locked="0"/>
    </xf>
    <xf numFmtId="0" fontId="113" fillId="0" borderId="0" applyFill="0" applyBorder="0">
      <alignment horizontal="center" vertical="center"/>
      <protection locked="0"/>
    </xf>
    <xf numFmtId="0" fontId="114" fillId="0" borderId="0" applyFill="0" applyBorder="0">
      <alignment horizontal="left" vertical="center"/>
      <protection locked="0"/>
    </xf>
    <xf numFmtId="192" fontId="65" fillId="74" borderId="0" applyFont="0" applyBorder="0">
      <alignment horizontal="right"/>
    </xf>
    <xf numFmtId="184" fontId="65" fillId="74" borderId="0" applyFont="0" applyBorder="0" applyAlignment="0"/>
    <xf numFmtId="192" fontId="65" fillId="74" borderId="0" applyFont="0" applyBorder="0">
      <alignment horizontal="right"/>
    </xf>
    <xf numFmtId="0" fontId="15" fillId="7" borderId="6" applyNumberFormat="0" applyAlignment="0" applyProtection="0"/>
    <xf numFmtId="0" fontId="115" fillId="48" borderId="77" applyNumberFormat="0" applyAlignment="0" applyProtection="0"/>
    <xf numFmtId="0" fontId="115" fillId="48" borderId="77" applyNumberFormat="0" applyAlignment="0" applyProtection="0"/>
    <xf numFmtId="0" fontId="115" fillId="48" borderId="77" applyNumberFormat="0" applyAlignment="0" applyProtection="0"/>
    <xf numFmtId="0" fontId="115" fillId="48" borderId="77" applyNumberFormat="0" applyAlignment="0" applyProtection="0"/>
    <xf numFmtId="0" fontId="115" fillId="48" borderId="77" applyNumberFormat="0" applyAlignment="0" applyProtection="0"/>
    <xf numFmtId="0" fontId="115" fillId="48" borderId="77" applyNumberFormat="0" applyAlignment="0" applyProtection="0"/>
    <xf numFmtId="0" fontId="116" fillId="7" borderId="6" applyNumberFormat="0" applyAlignment="0" applyProtection="0"/>
    <xf numFmtId="187" fontId="65" fillId="75" borderId="0" applyFont="0" applyBorder="0" applyAlignment="0">
      <alignment horizontal="right"/>
      <protection locked="0"/>
    </xf>
    <xf numFmtId="187" fontId="65" fillId="76" borderId="0" applyFont="0" applyBorder="0" applyAlignment="0">
      <alignment horizontal="right"/>
      <protection locked="0"/>
    </xf>
    <xf numFmtId="187" fontId="65" fillId="76" borderId="0" applyFont="0" applyBorder="0" applyAlignment="0">
      <alignment horizontal="right"/>
      <protection locked="0"/>
    </xf>
    <xf numFmtId="187" fontId="65" fillId="75" borderId="0" applyFont="0" applyBorder="0" applyAlignment="0">
      <alignment horizontal="right"/>
      <protection locked="0"/>
    </xf>
    <xf numFmtId="187" fontId="65" fillId="76" borderId="0" applyFont="0" applyBorder="0" applyAlignment="0">
      <alignment horizontal="right"/>
      <protection locked="0"/>
    </xf>
    <xf numFmtId="187" fontId="65" fillId="76" borderId="0" applyFont="0" applyBorder="0" applyAlignment="0">
      <alignment horizontal="right"/>
      <protection locked="0"/>
    </xf>
    <xf numFmtId="187" fontId="65" fillId="75" borderId="0" applyFont="0" applyBorder="0" applyAlignment="0">
      <alignment horizontal="right"/>
      <protection locked="0"/>
    </xf>
    <xf numFmtId="10" fontId="65" fillId="75" borderId="0" applyFont="0" applyBorder="0">
      <alignment horizontal="right"/>
      <protection locked="0"/>
    </xf>
    <xf numFmtId="187" fontId="65" fillId="75" borderId="0" applyFont="0" applyBorder="0" applyAlignment="0">
      <alignment horizontal="right"/>
      <protection locked="0"/>
    </xf>
    <xf numFmtId="3" fontId="65" fillId="77" borderId="0" applyFont="0" applyBorder="0">
      <protection locked="0"/>
    </xf>
    <xf numFmtId="184" fontId="102" fillId="77" borderId="0" applyBorder="0" applyAlignment="0">
      <protection locked="0"/>
    </xf>
    <xf numFmtId="193" fontId="65" fillId="78" borderId="0" applyFont="0" applyBorder="0">
      <alignment horizontal="right"/>
      <protection locked="0"/>
    </xf>
    <xf numFmtId="193" fontId="65" fillId="78" borderId="0" applyFont="0" applyBorder="0">
      <alignment horizontal="right"/>
      <protection locked="0"/>
    </xf>
    <xf numFmtId="193" fontId="65" fillId="78" borderId="0" applyFont="0" applyBorder="0">
      <alignment horizontal="right"/>
      <protection locked="0"/>
    </xf>
    <xf numFmtId="187" fontId="65" fillId="74" borderId="0" applyFont="0" applyBorder="0">
      <alignment horizontal="right"/>
      <protection locked="0"/>
    </xf>
    <xf numFmtId="187" fontId="65" fillId="74" borderId="0" applyFont="0" applyBorder="0">
      <alignment horizontal="right"/>
      <protection locked="0"/>
    </xf>
    <xf numFmtId="187" fontId="65" fillId="74" borderId="0" applyFont="0" applyBorder="0">
      <alignment horizontal="right"/>
      <protection locked="0"/>
    </xf>
    <xf numFmtId="194" fontId="65" fillId="79" borderId="86" applyFill="0">
      <alignment horizontal="right" vertical="center" wrapText="1"/>
      <protection locked="0"/>
    </xf>
    <xf numFmtId="194" fontId="2" fillId="79" borderId="87">
      <protection locked="0"/>
    </xf>
    <xf numFmtId="194" fontId="2" fillId="79" borderId="87">
      <protection locked="0"/>
    </xf>
    <xf numFmtId="49" fontId="2" fillId="79" borderId="87" applyFont="0" applyAlignment="0">
      <alignment horizontal="left" vertical="center" wrapText="1"/>
      <protection locked="0"/>
    </xf>
    <xf numFmtId="49" fontId="2" fillId="79" borderId="87" applyFont="0" applyAlignment="0">
      <alignment horizontal="left" vertical="center" wrapText="1"/>
      <protection locked="0"/>
    </xf>
    <xf numFmtId="49" fontId="2" fillId="79" borderId="87" applyFont="0" applyAlignment="0">
      <alignment horizontal="left" vertical="center" wrapText="1"/>
      <protection locked="0"/>
    </xf>
    <xf numFmtId="184" fontId="117" fillId="80" borderId="0" applyBorder="0" applyAlignment="0"/>
    <xf numFmtId="0" fontId="68" fillId="67" borderId="0"/>
    <xf numFmtId="0" fontId="18" fillId="0" borderId="8" applyNumberFormat="0" applyFill="0" applyAlignment="0" applyProtection="0"/>
    <xf numFmtId="0" fontId="118" fillId="0" borderId="88" applyNumberFormat="0" applyFill="0" applyAlignment="0" applyProtection="0"/>
    <xf numFmtId="0" fontId="119" fillId="0" borderId="8" applyNumberFormat="0" applyFill="0" applyAlignment="0" applyProtection="0"/>
    <xf numFmtId="192" fontId="120" fillId="67" borderId="11" applyFont="0" applyBorder="0" applyAlignment="0"/>
    <xf numFmtId="184" fontId="102" fillId="67" borderId="0" applyFont="0" applyBorder="0" applyAlignment="0"/>
    <xf numFmtId="195" fontId="121" fillId="0" borderId="0"/>
    <xf numFmtId="0" fontId="122" fillId="0" borderId="0" applyFill="0" applyBorder="0">
      <alignment horizontal="left" vertical="center"/>
    </xf>
    <xf numFmtId="0" fontId="14" fillId="6" borderId="0" applyNumberFormat="0" applyBorder="0" applyAlignment="0" applyProtection="0"/>
    <xf numFmtId="0" fontId="123" fillId="51" borderId="0" applyNumberFormat="0" applyBorder="0" applyAlignment="0" applyProtection="0"/>
    <xf numFmtId="0" fontId="124" fillId="6" borderId="0" applyNumberFormat="0" applyBorder="0" applyAlignment="0" applyProtection="0"/>
    <xf numFmtId="194" fontId="125" fillId="81" borderId="87">
      <alignment horizontal="right" vertical="center" wrapText="1"/>
    </xf>
    <xf numFmtId="194" fontId="2" fillId="81" borderId="87"/>
    <xf numFmtId="194" fontId="2" fillId="81" borderId="87"/>
    <xf numFmtId="196" fontId="126" fillId="0" borderId="0"/>
    <xf numFmtId="197" fontId="127" fillId="0" borderId="0"/>
    <xf numFmtId="0" fontId="2" fillId="0" borderId="0"/>
    <xf numFmtId="0" fontId="2" fillId="0" borderId="0"/>
    <xf numFmtId="0" fontId="65" fillId="0" borderId="0"/>
    <xf numFmtId="0" fontId="65" fillId="0" borderId="0"/>
    <xf numFmtId="0" fontId="65" fillId="0" borderId="0"/>
    <xf numFmtId="0" fontId="65" fillId="0" borderId="0"/>
    <xf numFmtId="0" fontId="65" fillId="0" borderId="0"/>
    <xf numFmtId="0" fontId="65" fillId="21" borderId="0"/>
    <xf numFmtId="0" fontId="2" fillId="0" borderId="0"/>
    <xf numFmtId="0" fontId="2" fillId="0" borderId="0"/>
    <xf numFmtId="0" fontId="65" fillId="0" borderId="0" applyFill="0"/>
    <xf numFmtId="0" fontId="65" fillId="0" borderId="0" applyFill="0"/>
    <xf numFmtId="0" fontId="65" fillId="0" borderId="0"/>
    <xf numFmtId="0" fontId="65" fillId="0" borderId="0"/>
    <xf numFmtId="0" fontId="2" fillId="0" borderId="0"/>
    <xf numFmtId="0" fontId="125" fillId="0" borderId="0"/>
    <xf numFmtId="0" fontId="65" fillId="0" borderId="0"/>
    <xf numFmtId="0" fontId="65" fillId="0" borderId="0"/>
    <xf numFmtId="0" fontId="65" fillId="0" borderId="0"/>
    <xf numFmtId="0" fontId="12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125" fillId="0" borderId="0"/>
    <xf numFmtId="0" fontId="65" fillId="0" borderId="0"/>
    <xf numFmtId="0" fontId="65" fillId="0" borderId="0"/>
    <xf numFmtId="0" fontId="125"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21" borderId="0"/>
    <xf numFmtId="0" fontId="65" fillId="21" borderId="0"/>
    <xf numFmtId="0" fontId="125" fillId="0" borderId="0"/>
    <xf numFmtId="0" fontId="65" fillId="0" borderId="0"/>
    <xf numFmtId="0" fontId="71" fillId="0" borderId="0"/>
    <xf numFmtId="0" fontId="65" fillId="0" borderId="0"/>
    <xf numFmtId="0" fontId="2" fillId="0" borderId="0"/>
    <xf numFmtId="0" fontId="2" fillId="0" borderId="0"/>
    <xf numFmtId="0" fontId="70" fillId="0" borderId="0"/>
    <xf numFmtId="0" fontId="70" fillId="0" borderId="0"/>
    <xf numFmtId="0" fontId="70" fillId="0" borderId="0"/>
    <xf numFmtId="0" fontId="65" fillId="0" borderId="0"/>
    <xf numFmtId="0" fontId="65" fillId="0" borderId="0"/>
    <xf numFmtId="0" fontId="2" fillId="0" borderId="0">
      <protection locked="0"/>
    </xf>
    <xf numFmtId="0" fontId="65" fillId="0" borderId="0"/>
    <xf numFmtId="0" fontId="65" fillId="0" borderId="0"/>
    <xf numFmtId="0" fontId="65" fillId="0" borderId="0"/>
    <xf numFmtId="0" fontId="65" fillId="0" borderId="0" applyFill="0"/>
    <xf numFmtId="0" fontId="65" fillId="21" borderId="0"/>
    <xf numFmtId="0" fontId="2" fillId="0" borderId="0">
      <protection locked="0"/>
    </xf>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65" fillId="21" borderId="0"/>
    <xf numFmtId="0" fontId="65" fillId="0" borderId="0"/>
    <xf numFmtId="0" fontId="2" fillId="0" borderId="0"/>
    <xf numFmtId="0" fontId="2" fillId="0" borderId="0"/>
    <xf numFmtId="0" fontId="65" fillId="21"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2" fillId="0" borderId="0"/>
    <xf numFmtId="0" fontId="2" fillId="0" borderId="0">
      <protection locked="0"/>
    </xf>
    <xf numFmtId="0" fontId="2" fillId="0" borderId="0"/>
    <xf numFmtId="0" fontId="65" fillId="21" borderId="0"/>
    <xf numFmtId="0" fontId="65" fillId="21" borderId="0"/>
    <xf numFmtId="0" fontId="65" fillId="21" borderId="0"/>
    <xf numFmtId="0" fontId="65" fillId="0" borderId="0"/>
    <xf numFmtId="0" fontId="65" fillId="0" borderId="0"/>
    <xf numFmtId="0" fontId="65" fillId="0" borderId="0"/>
    <xf numFmtId="0" fontId="65" fillId="0" borderId="0"/>
    <xf numFmtId="0" fontId="84" fillId="0" borderId="0"/>
    <xf numFmtId="0"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applyFill="0"/>
    <xf numFmtId="0" fontId="65" fillId="0" borderId="0"/>
    <xf numFmtId="0" fontId="2" fillId="0" borderId="0"/>
    <xf numFmtId="0" fontId="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1" fillId="0" borderId="0"/>
    <xf numFmtId="0" fontId="65" fillId="0" borderId="0"/>
    <xf numFmtId="0" fontId="2" fillId="0" borderId="0"/>
    <xf numFmtId="0" fontId="2" fillId="0" borderId="0"/>
    <xf numFmtId="0" fontId="65" fillId="0" borderId="0"/>
    <xf numFmtId="0" fontId="84" fillId="0" borderId="0"/>
    <xf numFmtId="0" fontId="128" fillId="0" borderId="0"/>
    <xf numFmtId="0" fontId="70" fillId="0" borderId="0"/>
    <xf numFmtId="0" fontId="65" fillId="0" borderId="0"/>
    <xf numFmtId="0" fontId="65" fillId="0" borderId="0"/>
    <xf numFmtId="0" fontId="65" fillId="21" borderId="0"/>
    <xf numFmtId="0" fontId="65" fillId="21" borderId="0"/>
    <xf numFmtId="0" fontId="87" fillId="0" borderId="0"/>
    <xf numFmtId="0" fontId="53" fillId="0" borderId="0"/>
    <xf numFmtId="0" fontId="65" fillId="0" borderId="0" applyFill="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10" borderId="10" applyNumberFormat="0" applyFont="0" applyAlignment="0" applyProtection="0"/>
    <xf numFmtId="0" fontId="2" fillId="10" borderId="10" applyNumberFormat="0" applyFont="0" applyAlignment="0" applyProtection="0"/>
    <xf numFmtId="0" fontId="65" fillId="49" borderId="89" applyNumberFormat="0" applyFont="0" applyAlignment="0" applyProtection="0"/>
    <xf numFmtId="0" fontId="65" fillId="49" borderId="89" applyNumberFormat="0" applyFont="0" applyAlignment="0" applyProtection="0"/>
    <xf numFmtId="0" fontId="65" fillId="49" borderId="89" applyNumberFormat="0" applyFont="0" applyAlignment="0" applyProtection="0"/>
    <xf numFmtId="0" fontId="71" fillId="10" borderId="10" applyNumberFormat="0" applyFont="0" applyAlignment="0" applyProtection="0"/>
    <xf numFmtId="0" fontId="65" fillId="49" borderId="89" applyNumberFormat="0" applyFont="0" applyAlignment="0" applyProtection="0"/>
    <xf numFmtId="0" fontId="65" fillId="49" borderId="89" applyNumberFormat="0" applyFont="0" applyAlignment="0" applyProtection="0"/>
    <xf numFmtId="0" fontId="65" fillId="49" borderId="89" applyNumberFormat="0" applyFont="0" applyAlignment="0" applyProtection="0"/>
    <xf numFmtId="0" fontId="70" fillId="10" borderId="10" applyNumberFormat="0" applyFont="0" applyAlignment="0" applyProtection="0"/>
    <xf numFmtId="0" fontId="70" fillId="10" borderId="10" applyNumberFormat="0" applyFont="0" applyAlignment="0" applyProtection="0"/>
    <xf numFmtId="0" fontId="65" fillId="49" borderId="89" applyNumberFormat="0" applyFont="0" applyAlignment="0" applyProtection="0"/>
    <xf numFmtId="0" fontId="65" fillId="49" borderId="89" applyNumberFormat="0" applyFont="0" applyAlignment="0" applyProtection="0"/>
    <xf numFmtId="0" fontId="65" fillId="49" borderId="89" applyNumberFormat="0" applyFont="0" applyAlignment="0" applyProtection="0"/>
    <xf numFmtId="0" fontId="16" fillId="8" borderId="7" applyNumberFormat="0" applyAlignment="0" applyProtection="0"/>
    <xf numFmtId="0" fontId="129" fillId="50" borderId="90" applyNumberFormat="0" applyAlignment="0" applyProtection="0"/>
    <xf numFmtId="0" fontId="129" fillId="50" borderId="90" applyNumberFormat="0" applyAlignment="0" applyProtection="0"/>
    <xf numFmtId="0" fontId="129" fillId="50" borderId="90" applyNumberFormat="0" applyAlignment="0" applyProtection="0"/>
    <xf numFmtId="0" fontId="129" fillId="50" borderId="90" applyNumberFormat="0" applyAlignment="0" applyProtection="0"/>
    <xf numFmtId="0" fontId="129" fillId="50" borderId="90" applyNumberFormat="0" applyAlignment="0" applyProtection="0"/>
    <xf numFmtId="0" fontId="129" fillId="50" borderId="90" applyNumberFormat="0" applyAlignment="0" applyProtection="0"/>
    <xf numFmtId="0" fontId="130" fillId="8" borderId="7" applyNumberFormat="0" applyAlignment="0" applyProtection="0"/>
    <xf numFmtId="40" fontId="131" fillId="21" borderId="0">
      <alignment horizontal="right"/>
    </xf>
    <xf numFmtId="0" fontId="132" fillId="21" borderId="11"/>
    <xf numFmtId="198" fontId="65" fillId="0" borderId="0" applyFill="0" applyBorder="0"/>
    <xf numFmtId="198" fontId="65" fillId="0" borderId="0" applyFill="0" applyBorder="0"/>
    <xf numFmtId="198" fontId="65" fillId="0" borderId="0" applyFill="0" applyBorder="0"/>
    <xf numFmtId="9" fontId="65" fillId="0" borderId="0" applyFont="0" applyFill="0" applyBorder="0" applyAlignment="0" applyProtection="0"/>
    <xf numFmtId="9" fontId="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4"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06" fillId="0" borderId="0" applyFill="0" applyBorder="0">
      <alignment vertical="center"/>
    </xf>
    <xf numFmtId="0"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199" fontId="133" fillId="0" borderId="56"/>
    <xf numFmtId="0" fontId="134" fillId="0" borderId="23">
      <alignment horizontal="center"/>
    </xf>
    <xf numFmtId="0" fontId="134" fillId="0" borderId="23">
      <alignment horizontal="center"/>
    </xf>
    <xf numFmtId="0" fontId="134" fillId="0" borderId="23">
      <alignment horizontal="center"/>
    </xf>
    <xf numFmtId="0" fontId="134" fillId="0" borderId="23">
      <alignment horizontal="center"/>
    </xf>
    <xf numFmtId="0" fontId="134" fillId="0" borderId="23">
      <alignment horizontal="center"/>
    </xf>
    <xf numFmtId="0" fontId="134" fillId="0" borderId="23">
      <alignment horizontal="center"/>
    </xf>
    <xf numFmtId="0" fontId="134" fillId="0" borderId="23">
      <alignment horizontal="center"/>
    </xf>
    <xf numFmtId="0" fontId="134" fillId="0" borderId="23">
      <alignment horizontal="center"/>
    </xf>
    <xf numFmtId="0" fontId="134" fillId="0" borderId="23">
      <alignment horizontal="center"/>
    </xf>
    <xf numFmtId="0" fontId="134" fillId="0" borderId="23">
      <alignment horizontal="center"/>
    </xf>
    <xf numFmtId="0" fontId="134" fillId="0" borderId="23">
      <alignment horizontal="center"/>
    </xf>
    <xf numFmtId="0" fontId="134" fillId="0" borderId="23">
      <alignment horizontal="center"/>
    </xf>
    <xf numFmtId="0" fontId="134" fillId="0" borderId="23">
      <alignment horizontal="center"/>
    </xf>
    <xf numFmtId="0" fontId="134" fillId="0" borderId="23">
      <alignment horizontal="center"/>
    </xf>
    <xf numFmtId="3" fontId="83" fillId="0" borderId="0" applyFont="0" applyFill="0" applyBorder="0" applyAlignment="0" applyProtection="0"/>
    <xf numFmtId="0" fontId="83" fillId="82" borderId="0" applyNumberFormat="0" applyFont="0" applyBorder="0" applyAlignment="0" applyProtection="0"/>
    <xf numFmtId="200" fontId="65" fillId="0" borderId="0"/>
    <xf numFmtId="200" fontId="65" fillId="0" borderId="0"/>
    <xf numFmtId="200" fontId="65" fillId="0" borderId="0"/>
    <xf numFmtId="170" fontId="68" fillId="0" borderId="0" applyFill="0" applyBorder="0">
      <alignment horizontal="right" vertical="center"/>
    </xf>
    <xf numFmtId="165" fontId="68" fillId="0" borderId="0" applyFill="0" applyBorder="0">
      <alignment horizontal="right" vertical="center"/>
    </xf>
    <xf numFmtId="164" fontId="68" fillId="0" borderId="0" applyFill="0" applyBorder="0">
      <alignment horizontal="right" vertical="center"/>
    </xf>
    <xf numFmtId="194" fontId="135" fillId="79" borderId="91">
      <alignment horizontal="right" indent="2"/>
      <protection locked="0"/>
    </xf>
    <xf numFmtId="0" fontId="65" fillId="49" borderId="0" applyNumberFormat="0" applyFont="0" applyBorder="0" applyAlignment="0" applyProtection="0"/>
    <xf numFmtId="0" fontId="65" fillId="49" borderId="0" applyNumberFormat="0" applyFont="0" applyBorder="0" applyAlignment="0" applyProtection="0"/>
    <xf numFmtId="0" fontId="65" fillId="50" borderId="0" applyNumberFormat="0" applyFont="0" applyBorder="0" applyAlignment="0" applyProtection="0"/>
    <xf numFmtId="0" fontId="65" fillId="50" borderId="0" applyNumberFormat="0" applyFont="0" applyBorder="0" applyAlignment="0" applyProtection="0"/>
    <xf numFmtId="0" fontId="65" fillId="52" borderId="0" applyNumberFormat="0" applyFont="0" applyBorder="0" applyAlignment="0" applyProtection="0"/>
    <xf numFmtId="0" fontId="65" fillId="52" borderId="0" applyNumberFormat="0" applyFont="0" applyBorder="0" applyAlignment="0" applyProtection="0"/>
    <xf numFmtId="0" fontId="65" fillId="0" borderId="0" applyNumberFormat="0" applyFont="0" applyFill="0" applyBorder="0" applyAlignment="0" applyProtection="0"/>
    <xf numFmtId="0" fontId="65" fillId="0" borderId="0" applyNumberFormat="0" applyFont="0" applyFill="0" applyBorder="0" applyAlignment="0" applyProtection="0"/>
    <xf numFmtId="0" fontId="65" fillId="52" borderId="0" applyNumberFormat="0" applyFont="0" applyBorder="0" applyAlignment="0" applyProtection="0"/>
    <xf numFmtId="0" fontId="65" fillId="52" borderId="0" applyNumberFormat="0" applyFont="0" applyBorder="0" applyAlignment="0" applyProtection="0"/>
    <xf numFmtId="0" fontId="65" fillId="0" borderId="0" applyNumberFormat="0" applyFont="0" applyFill="0" applyBorder="0" applyAlignment="0" applyProtection="0"/>
    <xf numFmtId="0" fontId="65" fillId="0" borderId="0" applyNumberFormat="0" applyFont="0" applyFill="0" applyBorder="0" applyAlignment="0" applyProtection="0"/>
    <xf numFmtId="0" fontId="65" fillId="0" borderId="0" applyNumberFormat="0" applyFont="0" applyBorder="0" applyAlignment="0" applyProtection="0"/>
    <xf numFmtId="0" fontId="65" fillId="0" borderId="0" applyNumberFormat="0" applyFont="0" applyBorder="0" applyAlignment="0" applyProtection="0"/>
    <xf numFmtId="0" fontId="136" fillId="0" borderId="0" applyNumberFormat="0" applyFill="0" applyBorder="0" applyAlignment="0" applyProtection="0"/>
    <xf numFmtId="0" fontId="137" fillId="83"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2" fillId="0" borderId="0"/>
    <xf numFmtId="0" fontId="51" fillId="0" borderId="0"/>
    <xf numFmtId="15" fontId="65" fillId="0" borderId="0"/>
    <xf numFmtId="15" fontId="65" fillId="0" borderId="0"/>
    <xf numFmtId="15" fontId="65" fillId="0" borderId="0"/>
    <xf numFmtId="10" fontId="65" fillId="0" borderId="0"/>
    <xf numFmtId="10" fontId="65" fillId="0" borderId="0"/>
    <xf numFmtId="10" fontId="65" fillId="0" borderId="0"/>
    <xf numFmtId="0" fontId="138" fillId="84" borderId="2" applyBorder="0" applyProtection="0">
      <alignment horizontal="centerContinuous" vertical="center"/>
    </xf>
    <xf numFmtId="0" fontId="138" fillId="84" borderId="2" applyBorder="0" applyProtection="0">
      <alignment horizontal="centerContinuous" vertical="center"/>
    </xf>
    <xf numFmtId="0" fontId="139" fillId="0" borderId="0" applyBorder="0" applyProtection="0">
      <alignment vertical="center"/>
    </xf>
    <xf numFmtId="0" fontId="140" fillId="0" borderId="0">
      <alignment horizontal="left"/>
    </xf>
    <xf numFmtId="0" fontId="140" fillId="0" borderId="12" applyFill="0" applyBorder="0" applyProtection="0">
      <alignment horizontal="left" vertical="top"/>
    </xf>
    <xf numFmtId="0" fontId="137" fillId="85" borderId="0">
      <alignment horizontal="left" vertical="center"/>
      <protection locked="0"/>
    </xf>
    <xf numFmtId="0" fontId="37" fillId="86" borderId="0">
      <alignment vertical="center"/>
      <protection locked="0"/>
    </xf>
    <xf numFmtId="49" fontId="65" fillId="0" borderId="0" applyFont="0" applyFill="0" applyBorder="0" applyAlignment="0" applyProtection="0"/>
    <xf numFmtId="0" fontId="141" fillId="0" borderId="0"/>
    <xf numFmtId="49" fontId="65" fillId="0" borderId="0" applyFont="0" applyFill="0" applyBorder="0" applyAlignment="0" applyProtection="0"/>
    <xf numFmtId="0" fontId="142" fillId="0" borderId="0"/>
    <xf numFmtId="0" fontId="142" fillId="0" borderId="0"/>
    <xf numFmtId="0" fontId="141" fillId="0" borderId="0"/>
    <xf numFmtId="195" fontId="143" fillId="0" borderId="0"/>
    <xf numFmtId="0" fontId="10" fillId="0" borderId="0" applyNumberFormat="0" applyFill="0" applyBorder="0" applyAlignment="0" applyProtection="0"/>
    <xf numFmtId="0" fontId="136"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0" applyFill="0" applyBorder="0">
      <alignment horizontal="left" vertical="center"/>
      <protection locked="0"/>
    </xf>
    <xf numFmtId="0" fontId="141" fillId="0" borderId="0"/>
    <xf numFmtId="0" fontId="147" fillId="0" borderId="0" applyFill="0" applyBorder="0">
      <alignment horizontal="left" vertical="center"/>
      <protection locked="0"/>
    </xf>
    <xf numFmtId="0" fontId="7" fillId="0" borderId="5"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148" fillId="0" borderId="5" applyNumberFormat="0" applyFill="0" applyAlignment="0" applyProtection="0"/>
    <xf numFmtId="0" fontId="20"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201" fontId="65" fillId="0" borderId="2" applyBorder="0" applyProtection="0">
      <alignment horizontal="right"/>
    </xf>
    <xf numFmtId="201" fontId="65" fillId="0" borderId="2" applyBorder="0" applyProtection="0">
      <alignment horizontal="right"/>
    </xf>
    <xf numFmtId="201" fontId="65" fillId="0" borderId="2" applyBorder="0" applyProtection="0">
      <alignment horizontal="right"/>
    </xf>
    <xf numFmtId="201" fontId="65" fillId="0" borderId="2" applyBorder="0" applyProtection="0">
      <alignment horizontal="right"/>
    </xf>
    <xf numFmtId="0" fontId="65" fillId="49" borderId="0" applyNumberFormat="0" applyFont="0" applyBorder="0" applyAlignment="0" applyProtection="0"/>
    <xf numFmtId="0" fontId="1" fillId="0" borderId="0"/>
    <xf numFmtId="9" fontId="1" fillId="0" borderId="0" applyFont="0" applyFill="0" applyBorder="0" applyAlignment="0" applyProtection="0"/>
    <xf numFmtId="0" fontId="153" fillId="0" borderId="0" applyFill="0" applyBorder="0">
      <alignment horizontal="left" vertical="center"/>
    </xf>
    <xf numFmtId="0" fontId="26" fillId="0" borderId="0"/>
    <xf numFmtId="0" fontId="154" fillId="0" borderId="0" applyFill="0" applyBorder="0">
      <alignment vertical="center"/>
    </xf>
    <xf numFmtId="0" fontId="155" fillId="0" borderId="0" applyNumberFormat="0" applyFill="0" applyBorder="0">
      <alignment horizontal="left" vertical="center"/>
    </xf>
    <xf numFmtId="0" fontId="156" fillId="0" borderId="0" applyFill="0" applyBorder="0">
      <alignment horizontal="left" vertical="center"/>
    </xf>
    <xf numFmtId="0" fontId="157" fillId="11" borderId="0" applyBorder="0">
      <alignment horizontal="left" vertical="center"/>
    </xf>
    <xf numFmtId="0" fontId="158" fillId="88" borderId="0" applyBorder="0">
      <alignment horizontal="left" vertical="center"/>
    </xf>
  </cellStyleXfs>
  <cellXfs count="549">
    <xf numFmtId="0" fontId="0" fillId="0" borderId="0" xfId="0"/>
    <xf numFmtId="0" fontId="0" fillId="0" borderId="0" xfId="0" applyFont="1"/>
    <xf numFmtId="0" fontId="0" fillId="0" borderId="0" xfId="0" applyFont="1" applyFill="1"/>
    <xf numFmtId="0" fontId="0" fillId="0" borderId="2" xfId="0" applyFont="1" applyBorder="1"/>
    <xf numFmtId="0" fontId="8" fillId="0" borderId="0" xfId="0" applyFont="1" applyFill="1"/>
    <xf numFmtId="0" fontId="9" fillId="0" borderId="0" xfId="0" applyFont="1" applyFill="1"/>
    <xf numFmtId="0" fontId="0" fillId="0" borderId="0" xfId="0" applyFont="1" applyFill="1" applyAlignment="1">
      <alignment horizontal="left"/>
    </xf>
    <xf numFmtId="0" fontId="37" fillId="13" borderId="0" xfId="3">
      <alignment horizontal="left" vertical="center"/>
    </xf>
    <xf numFmtId="0" fontId="31" fillId="0" borderId="0" xfId="20">
      <alignment horizontal="left" vertical="center"/>
    </xf>
    <xf numFmtId="0" fontId="0" fillId="0" borderId="2" xfId="0" applyFont="1" applyBorder="1"/>
    <xf numFmtId="0" fontId="0" fillId="0" borderId="0" xfId="0" applyFont="1" applyFill="1"/>
    <xf numFmtId="0" fontId="0" fillId="0" borderId="0" xfId="0" applyFont="1"/>
    <xf numFmtId="0" fontId="33" fillId="0" borderId="0" xfId="34">
      <alignment horizontal="left" vertical="center"/>
    </xf>
    <xf numFmtId="0" fontId="0" fillId="0" borderId="0" xfId="0"/>
    <xf numFmtId="0" fontId="28" fillId="0" borderId="0" xfId="36">
      <alignment horizontal="left" vertical="center"/>
    </xf>
    <xf numFmtId="0" fontId="29" fillId="0" borderId="0" xfId="37">
      <alignment vertical="center"/>
    </xf>
    <xf numFmtId="0" fontId="19" fillId="14" borderId="0" xfId="38">
      <alignment horizontal="left" vertical="center"/>
    </xf>
    <xf numFmtId="0" fontId="28" fillId="0" borderId="2" xfId="36" applyBorder="1">
      <alignment horizontal="left" vertical="center"/>
    </xf>
    <xf numFmtId="0" fontId="33" fillId="0" borderId="0" xfId="34" applyFill="1">
      <alignment horizontal="left" vertical="center"/>
    </xf>
    <xf numFmtId="164" fontId="29" fillId="0" borderId="0" xfId="9" applyFill="1" applyAlignment="1">
      <alignment horizontal="right" vertical="center"/>
    </xf>
    <xf numFmtId="170" fontId="29" fillId="0" borderId="0" xfId="11" applyFill="1" applyAlignment="1">
      <alignment horizontal="right" vertical="center"/>
    </xf>
    <xf numFmtId="0" fontId="28" fillId="0" borderId="0" xfId="36" applyFill="1">
      <alignment horizontal="left" vertical="center"/>
    </xf>
    <xf numFmtId="169" fontId="29" fillId="0" borderId="0" xfId="13" applyNumberFormat="1" applyFill="1">
      <alignment horizontal="right" vertical="center"/>
    </xf>
    <xf numFmtId="171" fontId="29" fillId="0" borderId="0" xfId="13" applyNumberFormat="1" applyFill="1" applyBorder="1">
      <alignment horizontal="right" vertical="center"/>
    </xf>
    <xf numFmtId="0" fontId="28" fillId="0" borderId="1" xfId="36" applyBorder="1" applyAlignment="1">
      <alignment horizontal="center" vertical="center"/>
    </xf>
    <xf numFmtId="0" fontId="33" fillId="0" borderId="2" xfId="34" applyBorder="1">
      <alignment horizontal="left" vertical="center"/>
    </xf>
    <xf numFmtId="17" fontId="6" fillId="0" borderId="2" xfId="0" applyNumberFormat="1" applyFont="1" applyFill="1" applyBorder="1" applyAlignment="1">
      <alignment horizontal="right"/>
    </xf>
    <xf numFmtId="0" fontId="29" fillId="0" borderId="2" xfId="37" applyBorder="1">
      <alignment vertical="center"/>
    </xf>
    <xf numFmtId="0" fontId="22" fillId="0" borderId="0" xfId="37" applyFont="1" applyFill="1">
      <alignment vertical="center"/>
    </xf>
    <xf numFmtId="0" fontId="28" fillId="0" borderId="0" xfId="36" applyFill="1" applyBorder="1">
      <alignment horizontal="left" vertical="center"/>
    </xf>
    <xf numFmtId="0" fontId="33" fillId="0" borderId="0" xfId="34" applyAlignment="1">
      <alignment horizontal="center" vertical="center"/>
    </xf>
    <xf numFmtId="0" fontId="11" fillId="0" borderId="0" xfId="37" applyFont="1" applyFill="1" applyAlignment="1">
      <alignment horizontal="left" vertical="center"/>
    </xf>
    <xf numFmtId="0" fontId="9" fillId="0" borderId="0" xfId="0" applyFont="1" applyFill="1" applyAlignment="1">
      <alignment horizontal="left"/>
    </xf>
    <xf numFmtId="0" fontId="29" fillId="0" borderId="1" xfId="37" applyBorder="1" applyAlignment="1">
      <alignment horizontal="center" vertical="center"/>
    </xf>
    <xf numFmtId="0" fontId="0" fillId="0" borderId="0" xfId="0" applyFont="1" applyAlignment="1">
      <alignment horizontal="center"/>
    </xf>
    <xf numFmtId="0" fontId="28" fillId="0" borderId="0" xfId="36" applyAlignment="1">
      <alignment horizontal="center" vertical="center"/>
    </xf>
    <xf numFmtId="4" fontId="0" fillId="0" borderId="0" xfId="0" applyNumberFormat="1" applyFont="1"/>
    <xf numFmtId="3" fontId="29" fillId="0" borderId="0" xfId="13" applyNumberFormat="1" applyFill="1" applyBorder="1">
      <alignment horizontal="right" vertical="center"/>
    </xf>
    <xf numFmtId="173" fontId="0" fillId="0" borderId="0" xfId="0" applyNumberFormat="1" applyFont="1"/>
    <xf numFmtId="0" fontId="29" fillId="0" borderId="0" xfId="37" applyAlignment="1">
      <alignment horizontal="left" vertical="center" indent="1"/>
    </xf>
    <xf numFmtId="169" fontId="29" fillId="0" borderId="0" xfId="13" applyNumberFormat="1" applyFill="1" applyAlignment="1">
      <alignment horizontal="center" vertical="center"/>
    </xf>
    <xf numFmtId="169" fontId="29" fillId="0" borderId="2" xfId="13" applyNumberFormat="1" applyFill="1" applyBorder="1">
      <alignment horizontal="right" vertical="center"/>
    </xf>
    <xf numFmtId="0" fontId="28" fillId="0" borderId="0" xfId="36" applyBorder="1" applyAlignment="1">
      <alignment horizontal="center" vertical="center"/>
    </xf>
    <xf numFmtId="0" fontId="37" fillId="11" borderId="0" xfId="3" applyFill="1">
      <alignment horizontal="left" vertical="center"/>
    </xf>
    <xf numFmtId="0" fontId="24" fillId="0" borderId="0" xfId="37" applyFont="1" applyFill="1">
      <alignment vertical="center"/>
    </xf>
    <xf numFmtId="0" fontId="0" fillId="0" borderId="0" xfId="0" applyAlignment="1">
      <alignment horizontal="center"/>
    </xf>
    <xf numFmtId="0" fontId="0" fillId="0" borderId="0" xfId="0" applyBorder="1" applyAlignment="1">
      <alignment horizontal="center"/>
    </xf>
    <xf numFmtId="0" fontId="29" fillId="0" borderId="3" xfId="37" applyBorder="1">
      <alignment vertical="center"/>
    </xf>
    <xf numFmtId="0" fontId="0" fillId="0" borderId="15" xfId="0" applyBorder="1"/>
    <xf numFmtId="0" fontId="0" fillId="0" borderId="3" xfId="0" applyBorder="1"/>
    <xf numFmtId="0" fontId="0" fillId="0" borderId="16" xfId="0" applyBorder="1"/>
    <xf numFmtId="0" fontId="0" fillId="0" borderId="12" xfId="0" applyBorder="1"/>
    <xf numFmtId="0" fontId="0" fillId="0" borderId="0" xfId="0" applyBorder="1"/>
    <xf numFmtId="0" fontId="0" fillId="0" borderId="11" xfId="0" applyBorder="1"/>
    <xf numFmtId="0" fontId="28" fillId="0" borderId="0" xfId="36" applyBorder="1">
      <alignment horizontal="left" vertical="center"/>
    </xf>
    <xf numFmtId="0" fontId="33" fillId="0" borderId="0" xfId="34" applyBorder="1" applyAlignment="1">
      <alignment horizontal="center" vertical="center"/>
    </xf>
    <xf numFmtId="0" fontId="32" fillId="0" borderId="0" xfId="35" applyBorder="1" applyAlignment="1">
      <alignment horizontal="center" vertical="center"/>
    </xf>
    <xf numFmtId="0" fontId="23" fillId="13" borderId="0" xfId="3" applyFont="1" applyBorder="1" applyAlignment="1">
      <alignment horizontal="center" vertical="center"/>
    </xf>
    <xf numFmtId="0" fontId="0" fillId="0" borderId="17" xfId="0" applyBorder="1"/>
    <xf numFmtId="0" fontId="0" fillId="0" borderId="2" xfId="0" applyBorder="1"/>
    <xf numFmtId="0" fontId="0" fillId="0" borderId="13" xfId="0" applyBorder="1"/>
    <xf numFmtId="0" fontId="28" fillId="12" borderId="4" xfId="8" applyBorder="1" applyAlignment="1">
      <alignment horizontal="center" vertical="center"/>
      <protection locked="0"/>
    </xf>
    <xf numFmtId="0" fontId="28" fillId="0" borderId="0" xfId="36" applyAlignment="1">
      <alignment horizontal="left" vertical="center"/>
    </xf>
    <xf numFmtId="0" fontId="0" fillId="0" borderId="0" xfId="0" applyFont="1" applyAlignment="1"/>
    <xf numFmtId="0" fontId="33" fillId="0" borderId="0" xfId="34" applyFill="1" applyBorder="1" applyAlignment="1">
      <alignment vertical="center"/>
    </xf>
    <xf numFmtId="0" fontId="25" fillId="0" borderId="0" xfId="3" applyFont="1" applyFill="1">
      <alignment horizontal="left" vertical="center"/>
    </xf>
    <xf numFmtId="0" fontId="33" fillId="0" borderId="0" xfId="34" applyBorder="1">
      <alignment horizontal="left" vertical="center"/>
    </xf>
    <xf numFmtId="0" fontId="28" fillId="0" borderId="1" xfId="36" applyFill="1" applyBorder="1" applyAlignment="1">
      <alignment horizontal="center" vertical="center"/>
    </xf>
    <xf numFmtId="169" fontId="28" fillId="0" borderId="1" xfId="40" applyNumberFormat="1" applyFill="1" applyBorder="1" applyAlignment="1">
      <alignment horizontal="center" vertical="center"/>
    </xf>
    <xf numFmtId="170" fontId="28" fillId="0" borderId="1" xfId="41" applyFill="1" applyBorder="1">
      <alignment horizontal="center" vertical="center"/>
    </xf>
    <xf numFmtId="0" fontId="19" fillId="14" borderId="0" xfId="38" applyBorder="1" applyAlignment="1">
      <alignment horizontal="center" vertical="center"/>
    </xf>
    <xf numFmtId="0" fontId="32" fillId="0" borderId="0" xfId="35" applyFill="1" applyAlignment="1">
      <alignment horizontal="left" vertical="center"/>
    </xf>
    <xf numFmtId="0" fontId="22" fillId="0" borderId="0" xfId="37" applyFont="1" applyFill="1" applyAlignment="1">
      <alignment vertical="center"/>
    </xf>
    <xf numFmtId="0" fontId="33" fillId="0" borderId="0" xfId="34">
      <alignment horizontal="left" vertical="center"/>
    </xf>
    <xf numFmtId="0" fontId="33" fillId="0" borderId="0" xfId="34" applyAlignment="1">
      <alignment horizontal="center" vertical="center" wrapText="1"/>
    </xf>
    <xf numFmtId="0" fontId="33" fillId="0" borderId="18" xfId="34" applyBorder="1">
      <alignment horizontal="left" vertical="center"/>
    </xf>
    <xf numFmtId="0" fontId="0" fillId="0" borderId="19" xfId="0" applyBorder="1"/>
    <xf numFmtId="0" fontId="33" fillId="0" borderId="19" xfId="34" applyBorder="1" applyAlignment="1">
      <alignment horizontal="center" vertical="center"/>
    </xf>
    <xf numFmtId="0" fontId="33" fillId="0" borderId="19" xfId="34" applyBorder="1" applyAlignment="1">
      <alignment horizontal="center" vertical="center" wrapText="1"/>
    </xf>
    <xf numFmtId="0" fontId="33" fillId="0" borderId="20" xfId="34" applyBorder="1" applyAlignment="1">
      <alignment horizontal="center" vertical="center" wrapText="1"/>
    </xf>
    <xf numFmtId="0" fontId="28" fillId="0" borderId="21" xfId="36" applyBorder="1">
      <alignment horizontal="left" vertical="center"/>
    </xf>
    <xf numFmtId="0" fontId="0" fillId="0" borderId="21" xfId="0" applyBorder="1"/>
    <xf numFmtId="0" fontId="0" fillId="0" borderId="22" xfId="0" applyBorder="1"/>
    <xf numFmtId="0" fontId="28" fillId="0" borderId="23" xfId="36" applyBorder="1">
      <alignment horizontal="left" vertical="center"/>
    </xf>
    <xf numFmtId="0" fontId="28" fillId="0" borderId="23" xfId="36" applyBorder="1" applyAlignment="1">
      <alignment horizontal="center" vertical="center"/>
    </xf>
    <xf numFmtId="0" fontId="28" fillId="0" borderId="18" xfId="36" applyBorder="1">
      <alignment horizontal="left" vertical="center"/>
    </xf>
    <xf numFmtId="0" fontId="28" fillId="0" borderId="19" xfId="36" applyBorder="1">
      <alignment horizontal="left" vertical="center"/>
    </xf>
    <xf numFmtId="0" fontId="28" fillId="0" borderId="19" xfId="36" applyBorder="1" applyAlignment="1">
      <alignment horizontal="center" vertical="center"/>
    </xf>
    <xf numFmtId="0" fontId="0" fillId="0" borderId="20" xfId="0" applyBorder="1"/>
    <xf numFmtId="0" fontId="33" fillId="0" borderId="18" xfId="34" applyBorder="1" applyAlignment="1">
      <alignment horizontal="center" vertical="center" wrapText="1"/>
    </xf>
    <xf numFmtId="0" fontId="0" fillId="0" borderId="18" xfId="0" applyBorder="1"/>
    <xf numFmtId="169" fontId="28" fillId="12" borderId="4" xfId="14" applyNumberFormat="1" applyBorder="1" applyAlignment="1">
      <alignment horizontal="center" vertical="center"/>
      <protection locked="0"/>
    </xf>
    <xf numFmtId="171" fontId="28" fillId="12" borderId="28" xfId="14" applyNumberFormat="1" applyBorder="1" applyAlignment="1">
      <alignment horizontal="center" vertical="center"/>
      <protection locked="0"/>
    </xf>
    <xf numFmtId="171" fontId="28" fillId="12" borderId="4" xfId="14" applyNumberFormat="1" applyBorder="1" applyAlignment="1">
      <alignment horizontal="center" vertical="center"/>
      <protection locked="0"/>
    </xf>
    <xf numFmtId="171" fontId="28" fillId="12" borderId="29" xfId="14" applyNumberFormat="1" applyBorder="1" applyAlignment="1">
      <alignment horizontal="center" vertical="center"/>
      <protection locked="0"/>
    </xf>
    <xf numFmtId="174" fontId="28" fillId="12" borderId="28" xfId="14" applyNumberFormat="1" applyBorder="1" applyAlignment="1">
      <alignment horizontal="center" vertical="center"/>
      <protection locked="0"/>
    </xf>
    <xf numFmtId="174" fontId="28" fillId="12" borderId="4" xfId="14" applyNumberFormat="1" applyBorder="1" applyAlignment="1">
      <alignment horizontal="center" vertical="center"/>
      <protection locked="0"/>
    </xf>
    <xf numFmtId="174" fontId="28" fillId="12" borderId="29" xfId="14" applyNumberFormat="1" applyBorder="1" applyAlignment="1">
      <alignment horizontal="center" vertical="center"/>
      <protection locked="0"/>
    </xf>
    <xf numFmtId="174" fontId="0" fillId="0" borderId="18" xfId="0" applyNumberFormat="1" applyBorder="1"/>
    <xf numFmtId="174" fontId="0" fillId="0" borderId="19" xfId="0" applyNumberFormat="1" applyBorder="1"/>
    <xf numFmtId="174" fontId="0" fillId="0" borderId="20" xfId="0" applyNumberFormat="1" applyBorder="1"/>
    <xf numFmtId="174" fontId="28" fillId="12" borderId="30" xfId="14" applyNumberFormat="1" applyBorder="1" applyAlignment="1">
      <alignment horizontal="center" vertical="center"/>
      <protection locked="0"/>
    </xf>
    <xf numFmtId="174" fontId="28" fillId="12" borderId="31" xfId="14" applyNumberFormat="1" applyBorder="1" applyAlignment="1">
      <alignment horizontal="center" vertical="center"/>
      <protection locked="0"/>
    </xf>
    <xf numFmtId="174" fontId="28" fillId="12" borderId="32" xfId="14" applyNumberFormat="1" applyBorder="1" applyAlignment="1">
      <alignment horizontal="center" vertical="center"/>
      <protection locked="0"/>
    </xf>
    <xf numFmtId="171" fontId="28" fillId="12" borderId="25" xfId="14" applyNumberFormat="1" applyBorder="1" applyAlignment="1">
      <alignment horizontal="center" vertical="center"/>
      <protection locked="0"/>
    </xf>
    <xf numFmtId="171" fontId="28" fillId="12" borderId="26" xfId="14" applyNumberFormat="1" applyBorder="1" applyAlignment="1">
      <alignment horizontal="center" vertical="center"/>
      <protection locked="0"/>
    </xf>
    <xf numFmtId="171" fontId="28" fillId="12" borderId="27" xfId="14" applyNumberFormat="1" applyBorder="1" applyAlignment="1">
      <alignment horizontal="center" vertical="center"/>
      <protection locked="0"/>
    </xf>
    <xf numFmtId="0" fontId="0" fillId="15" borderId="0" xfId="0" applyFill="1"/>
    <xf numFmtId="0" fontId="28" fillId="0" borderId="0" xfId="36" applyFill="1" applyBorder="1" applyAlignment="1">
      <alignment horizontal="center" vertical="center"/>
    </xf>
    <xf numFmtId="0" fontId="28" fillId="12" borderId="4" xfId="8" applyAlignment="1">
      <alignment horizontal="center" vertical="center"/>
      <protection locked="0"/>
    </xf>
    <xf numFmtId="0" fontId="33" fillId="0" borderId="3" xfId="34" applyBorder="1">
      <alignment horizontal="left" vertical="center"/>
    </xf>
    <xf numFmtId="0" fontId="28" fillId="0" borderId="3" xfId="36" applyBorder="1" applyAlignment="1">
      <alignment horizontal="center" vertical="center"/>
    </xf>
    <xf numFmtId="175" fontId="28" fillId="12" borderId="4" xfId="16" applyNumberFormat="1" applyAlignment="1">
      <alignment horizontal="center" vertical="center"/>
      <protection locked="0"/>
    </xf>
    <xf numFmtId="0" fontId="32" fillId="0" borderId="0" xfId="35" applyAlignment="1">
      <alignment horizontal="center" vertical="center"/>
    </xf>
    <xf numFmtId="169" fontId="28" fillId="12" borderId="33" xfId="14" applyNumberFormat="1" applyBorder="1" applyAlignment="1">
      <alignment horizontal="center" vertical="center"/>
      <protection locked="0"/>
    </xf>
    <xf numFmtId="169" fontId="29" fillId="0" borderId="3" xfId="13" applyNumberFormat="1" applyBorder="1" applyAlignment="1">
      <alignment horizontal="center" vertical="center"/>
    </xf>
    <xf numFmtId="169" fontId="32" fillId="0" borderId="3" xfId="13" applyNumberFormat="1" applyFont="1" applyBorder="1" applyAlignment="1">
      <alignment horizontal="center" vertical="center"/>
    </xf>
    <xf numFmtId="0" fontId="33" fillId="0" borderId="3" xfId="36" applyFont="1" applyBorder="1" applyAlignment="1">
      <alignment horizontal="center" vertical="center"/>
    </xf>
    <xf numFmtId="167" fontId="28" fillId="12" borderId="4" xfId="16" applyAlignment="1">
      <alignment horizontal="center" vertical="center"/>
      <protection locked="0"/>
    </xf>
    <xf numFmtId="0" fontId="28" fillId="0" borderId="15" xfId="36" applyBorder="1">
      <alignment horizontal="left" vertical="center"/>
    </xf>
    <xf numFmtId="169" fontId="28" fillId="12" borderId="37" xfId="14" applyNumberFormat="1" applyBorder="1" applyAlignment="1">
      <alignment horizontal="center" vertical="center"/>
      <protection locked="0"/>
    </xf>
    <xf numFmtId="169" fontId="28" fillId="12" borderId="38" xfId="14" applyNumberFormat="1" applyBorder="1" applyAlignment="1">
      <alignment horizontal="center" vertical="center"/>
      <protection locked="0"/>
    </xf>
    <xf numFmtId="0" fontId="28" fillId="0" borderId="12" xfId="36" applyBorder="1">
      <alignment horizontal="left" vertical="center"/>
    </xf>
    <xf numFmtId="169" fontId="28" fillId="12" borderId="39" xfId="14" applyNumberFormat="1" applyBorder="1" applyAlignment="1">
      <alignment horizontal="center" vertical="center"/>
      <protection locked="0"/>
    </xf>
    <xf numFmtId="0" fontId="28" fillId="0" borderId="17" xfId="36" applyBorder="1">
      <alignment horizontal="left" vertical="center"/>
    </xf>
    <xf numFmtId="0" fontId="28" fillId="0" borderId="2" xfId="36" applyBorder="1" applyAlignment="1">
      <alignment horizontal="center" vertical="center"/>
    </xf>
    <xf numFmtId="169" fontId="28" fillId="12" borderId="40" xfId="14" applyNumberFormat="1" applyBorder="1" applyAlignment="1">
      <alignment horizontal="center" vertical="center"/>
      <protection locked="0"/>
    </xf>
    <xf numFmtId="169" fontId="28" fillId="12" borderId="41" xfId="14" applyNumberFormat="1" applyBorder="1" applyAlignment="1">
      <alignment horizontal="center" vertical="center"/>
      <protection locked="0"/>
    </xf>
    <xf numFmtId="169" fontId="28" fillId="12" borderId="42" xfId="14" applyNumberFormat="1" applyBorder="1" applyAlignment="1">
      <alignment horizontal="center" vertical="center"/>
      <protection locked="0"/>
    </xf>
    <xf numFmtId="169" fontId="28" fillId="12" borderId="43" xfId="14" applyNumberFormat="1" applyBorder="1" applyAlignment="1">
      <alignment horizontal="center" vertical="center"/>
      <protection locked="0"/>
    </xf>
    <xf numFmtId="175" fontId="28" fillId="12" borderId="45" xfId="16" applyNumberFormat="1" applyBorder="1" applyAlignment="1">
      <alignment horizontal="center" vertical="center"/>
      <protection locked="0"/>
    </xf>
    <xf numFmtId="175" fontId="28" fillId="12" borderId="4" xfId="16" applyNumberFormat="1" applyBorder="1" applyAlignment="1">
      <alignment horizontal="center" vertical="center"/>
      <protection locked="0"/>
    </xf>
    <xf numFmtId="175" fontId="28" fillId="12" borderId="46" xfId="16" applyNumberFormat="1" applyBorder="1" applyAlignment="1">
      <alignment horizontal="center" vertical="center"/>
      <protection locked="0"/>
    </xf>
    <xf numFmtId="175" fontId="28" fillId="12" borderId="40" xfId="16" applyNumberFormat="1" applyBorder="1" applyAlignment="1">
      <alignment horizontal="center" vertical="center"/>
      <protection locked="0"/>
    </xf>
    <xf numFmtId="175" fontId="28" fillId="12" borderId="47" xfId="16" applyNumberFormat="1" applyBorder="1" applyAlignment="1">
      <alignment horizontal="center" vertical="center"/>
      <protection locked="0"/>
    </xf>
    <xf numFmtId="175" fontId="28" fillId="12" borderId="37" xfId="16" applyNumberFormat="1" applyBorder="1" applyAlignment="1">
      <alignment horizontal="center" vertical="center"/>
      <protection locked="0"/>
    </xf>
    <xf numFmtId="0" fontId="28" fillId="0" borderId="34" xfId="36" applyBorder="1">
      <alignment horizontal="left" vertical="center"/>
    </xf>
    <xf numFmtId="0" fontId="0" fillId="0" borderId="35" xfId="0" applyBorder="1"/>
    <xf numFmtId="175" fontId="28" fillId="12" borderId="48" xfId="16" applyNumberFormat="1" applyBorder="1" applyAlignment="1">
      <alignment horizontal="center" vertical="center"/>
      <protection locked="0"/>
    </xf>
    <xf numFmtId="175" fontId="28" fillId="12" borderId="49" xfId="16" applyNumberFormat="1" applyBorder="1" applyAlignment="1">
      <alignment horizontal="center" vertical="center"/>
      <protection locked="0"/>
    </xf>
    <xf numFmtId="0" fontId="28" fillId="0" borderId="35" xfId="36" applyBorder="1" applyAlignment="1">
      <alignment horizontal="center" vertical="center"/>
    </xf>
    <xf numFmtId="0" fontId="28" fillId="0" borderId="36" xfId="36" applyFill="1" applyBorder="1" applyAlignment="1">
      <alignment horizontal="center" vertical="center"/>
    </xf>
    <xf numFmtId="171" fontId="28" fillId="12" borderId="4" xfId="14" applyNumberFormat="1" applyAlignment="1">
      <alignment horizontal="center" vertical="center"/>
      <protection locked="0"/>
    </xf>
    <xf numFmtId="0" fontId="33" fillId="0" borderId="3" xfId="36" applyFont="1" applyBorder="1">
      <alignment horizontal="left" vertical="center"/>
    </xf>
    <xf numFmtId="0" fontId="38" fillId="0" borderId="3" xfId="0" applyFont="1" applyBorder="1"/>
    <xf numFmtId="0" fontId="33" fillId="0" borderId="3" xfId="36" applyFont="1" applyFill="1" applyBorder="1" applyAlignment="1">
      <alignment horizontal="center" vertical="center"/>
    </xf>
    <xf numFmtId="167" fontId="29" fillId="0" borderId="0" xfId="15" applyAlignment="1">
      <alignment horizontal="center" vertical="center"/>
    </xf>
    <xf numFmtId="169" fontId="28" fillId="12" borderId="4" xfId="14" applyNumberFormat="1" applyAlignment="1">
      <alignment horizontal="center" vertical="center"/>
      <protection locked="0"/>
    </xf>
    <xf numFmtId="175" fontId="29" fillId="0" borderId="0" xfId="15" applyNumberFormat="1" applyAlignment="1">
      <alignment horizontal="center" vertical="center"/>
    </xf>
    <xf numFmtId="0" fontId="28" fillId="0" borderId="0" xfId="36" applyBorder="1" applyAlignment="1">
      <alignment horizontal="left" vertical="center"/>
    </xf>
    <xf numFmtId="169" fontId="28" fillId="0" borderId="1" xfId="40" applyNumberFormat="1" applyBorder="1" applyAlignment="1">
      <alignment horizontal="center" vertical="center"/>
    </xf>
    <xf numFmtId="169" fontId="29" fillId="0" borderId="0" xfId="13" applyNumberFormat="1" applyAlignment="1">
      <alignment horizontal="center" vertical="center"/>
    </xf>
    <xf numFmtId="0" fontId="28" fillId="0" borderId="3" xfId="36" applyBorder="1" applyAlignment="1">
      <alignment horizontal="left" vertical="center"/>
    </xf>
    <xf numFmtId="175" fontId="29" fillId="0" borderId="3" xfId="15" applyNumberFormat="1" applyBorder="1" applyAlignment="1">
      <alignment horizontal="center" vertical="center"/>
    </xf>
    <xf numFmtId="175" fontId="29" fillId="0" borderId="16" xfId="15" applyNumberFormat="1" applyBorder="1" applyAlignment="1">
      <alignment horizontal="center" vertical="center"/>
    </xf>
    <xf numFmtId="174" fontId="29" fillId="0" borderId="0" xfId="13" applyNumberFormat="1" applyBorder="1" applyAlignment="1">
      <alignment horizontal="center" vertical="center"/>
    </xf>
    <xf numFmtId="174" fontId="29" fillId="0" borderId="11" xfId="13" applyNumberFormat="1" applyBorder="1" applyAlignment="1">
      <alignment horizontal="center" vertical="center"/>
    </xf>
    <xf numFmtId="175" fontId="29" fillId="0" borderId="0" xfId="15" applyNumberFormat="1" applyBorder="1" applyAlignment="1">
      <alignment horizontal="center" vertical="center"/>
    </xf>
    <xf numFmtId="175" fontId="29" fillId="0" borderId="11" xfId="15" applyNumberFormat="1" applyBorder="1" applyAlignment="1">
      <alignment horizontal="center" vertical="center"/>
    </xf>
    <xf numFmtId="171" fontId="29" fillId="0" borderId="0" xfId="13" applyNumberFormat="1" applyBorder="1" applyAlignment="1">
      <alignment horizontal="center" vertical="center"/>
    </xf>
    <xf numFmtId="171" fontId="29" fillId="0" borderId="11" xfId="13" applyNumberFormat="1" applyBorder="1" applyAlignment="1">
      <alignment horizontal="center" vertical="center"/>
    </xf>
    <xf numFmtId="169" fontId="29" fillId="0" borderId="0" xfId="13" applyNumberFormat="1" applyBorder="1" applyAlignment="1">
      <alignment horizontal="center" vertical="center"/>
    </xf>
    <xf numFmtId="169" fontId="29" fillId="0" borderId="11" xfId="13" applyNumberFormat="1" applyBorder="1" applyAlignment="1">
      <alignment horizontal="center" vertical="center"/>
    </xf>
    <xf numFmtId="0" fontId="28" fillId="0" borderId="2" xfId="36" applyBorder="1" applyAlignment="1">
      <alignment horizontal="left" vertical="center"/>
    </xf>
    <xf numFmtId="175" fontId="29" fillId="0" borderId="2" xfId="15" applyNumberFormat="1" applyBorder="1" applyAlignment="1">
      <alignment horizontal="center" vertical="center"/>
    </xf>
    <xf numFmtId="175" fontId="29" fillId="0" borderId="13" xfId="15" applyNumberFormat="1" applyBorder="1" applyAlignment="1">
      <alignment horizontal="center" vertical="center"/>
    </xf>
    <xf numFmtId="175" fontId="29" fillId="0" borderId="0" xfId="15" applyNumberFormat="1" applyFill="1" applyAlignment="1">
      <alignment horizontal="center" vertical="center"/>
    </xf>
    <xf numFmtId="0" fontId="32" fillId="16" borderId="0" xfId="35" applyFill="1" applyAlignment="1">
      <alignment horizontal="center" vertical="center"/>
    </xf>
    <xf numFmtId="0" fontId="32" fillId="17" borderId="0" xfId="35" applyFill="1" applyAlignment="1">
      <alignment horizontal="center" vertical="center"/>
    </xf>
    <xf numFmtId="0" fontId="29" fillId="0" borderId="0" xfId="37" applyAlignment="1">
      <alignment horizontal="center" vertical="center"/>
    </xf>
    <xf numFmtId="0" fontId="33" fillId="0" borderId="0" xfId="34">
      <alignment horizontal="left" vertical="center"/>
    </xf>
    <xf numFmtId="0" fontId="39" fillId="0" borderId="0" xfId="36" applyFont="1">
      <alignment horizontal="left" vertical="center"/>
    </xf>
    <xf numFmtId="0" fontId="32" fillId="0" borderId="0" xfId="35">
      <alignment horizontal="left" vertical="center"/>
    </xf>
    <xf numFmtId="0" fontId="29" fillId="0" borderId="0" xfId="37" applyBorder="1" applyAlignment="1">
      <alignment horizontal="center" vertical="center"/>
    </xf>
    <xf numFmtId="165" fontId="29" fillId="0" borderId="0" xfId="13" applyAlignment="1">
      <alignment horizontal="center" vertical="center"/>
    </xf>
    <xf numFmtId="0" fontId="32" fillId="0" borderId="12" xfId="35" applyBorder="1" applyAlignment="1">
      <alignment horizontal="center" vertical="center"/>
    </xf>
    <xf numFmtId="169" fontId="29" fillId="0" borderId="12" xfId="13" applyNumberFormat="1" applyBorder="1" applyAlignment="1">
      <alignment horizontal="center" vertical="center"/>
    </xf>
    <xf numFmtId="176" fontId="29" fillId="0" borderId="0" xfId="15" applyNumberFormat="1" applyAlignment="1">
      <alignment horizontal="center" vertical="center"/>
    </xf>
    <xf numFmtId="0" fontId="33" fillId="0" borderId="0" xfId="34" applyAlignment="1">
      <alignment horizontal="center" vertical="center" wrapText="1"/>
    </xf>
    <xf numFmtId="0" fontId="0" fillId="0" borderId="36" xfId="0" applyBorder="1"/>
    <xf numFmtId="0" fontId="28" fillId="12" borderId="42" xfId="8" applyBorder="1" applyAlignment="1">
      <alignment horizontal="center" vertical="center"/>
      <protection locked="0"/>
    </xf>
    <xf numFmtId="0" fontId="28" fillId="12" borderId="38" xfId="8" applyBorder="1" applyAlignment="1">
      <alignment horizontal="center" vertical="center"/>
      <protection locked="0"/>
    </xf>
    <xf numFmtId="0" fontId="28" fillId="12" borderId="39" xfId="8" applyBorder="1" applyAlignment="1">
      <alignment horizontal="center" vertical="center"/>
      <protection locked="0"/>
    </xf>
    <xf numFmtId="0" fontId="28" fillId="12" borderId="41" xfId="8" applyBorder="1" applyAlignment="1">
      <alignment horizontal="center" vertical="center"/>
      <protection locked="0"/>
    </xf>
    <xf numFmtId="0" fontId="28" fillId="12" borderId="43" xfId="8" applyBorder="1" applyAlignment="1">
      <alignment horizontal="center" vertical="center"/>
      <protection locked="0"/>
    </xf>
    <xf numFmtId="169" fontId="28" fillId="12" borderId="47" xfId="14" applyNumberFormat="1" applyBorder="1" applyAlignment="1">
      <alignment horizontal="center" vertical="center"/>
      <protection locked="0"/>
    </xf>
    <xf numFmtId="169" fontId="28" fillId="12" borderId="45" xfId="14" applyNumberFormat="1" applyBorder="1" applyAlignment="1">
      <alignment horizontal="center" vertical="center"/>
      <protection locked="0"/>
    </xf>
    <xf numFmtId="169" fontId="28" fillId="12" borderId="46" xfId="14" applyNumberFormat="1" applyBorder="1" applyAlignment="1">
      <alignment horizontal="center" vertical="center"/>
      <protection locked="0"/>
    </xf>
    <xf numFmtId="169" fontId="28" fillId="12" borderId="54" xfId="14" applyNumberFormat="1" applyBorder="1" applyAlignment="1">
      <alignment horizontal="center" vertical="center"/>
      <protection locked="0"/>
    </xf>
    <xf numFmtId="169" fontId="29" fillId="0" borderId="15" xfId="13" applyNumberFormat="1" applyBorder="1" applyAlignment="1">
      <alignment horizontal="center" vertical="center"/>
    </xf>
    <xf numFmtId="169" fontId="29" fillId="0" borderId="17" xfId="13" applyNumberFormat="1" applyBorder="1" applyAlignment="1">
      <alignment horizontal="center" vertical="center"/>
    </xf>
    <xf numFmtId="169" fontId="29" fillId="0" borderId="2" xfId="13" applyNumberFormat="1" applyBorder="1" applyAlignment="1">
      <alignment horizontal="center" vertical="center"/>
    </xf>
    <xf numFmtId="0" fontId="28" fillId="0" borderId="16" xfId="36" applyFill="1" applyBorder="1" applyAlignment="1">
      <alignment horizontal="center" vertical="center"/>
    </xf>
    <xf numFmtId="0" fontId="28" fillId="0" borderId="11" xfId="36" applyFill="1" applyBorder="1" applyAlignment="1">
      <alignment horizontal="center" vertical="center"/>
    </xf>
    <xf numFmtId="0" fontId="28" fillId="0" borderId="13" xfId="36" applyFill="1" applyBorder="1" applyAlignment="1">
      <alignment horizontal="center" vertical="center"/>
    </xf>
    <xf numFmtId="0" fontId="32" fillId="0" borderId="15" xfId="35" applyBorder="1">
      <alignment horizontal="left" vertical="center"/>
    </xf>
    <xf numFmtId="0" fontId="32" fillId="0" borderId="15" xfId="35" applyBorder="1" applyAlignment="1">
      <alignment horizontal="center" vertical="center" wrapText="1"/>
    </xf>
    <xf numFmtId="0" fontId="32" fillId="0" borderId="3" xfId="35" applyBorder="1" applyAlignment="1">
      <alignment horizontal="center" vertical="center" wrapText="1"/>
    </xf>
    <xf numFmtId="0" fontId="32" fillId="0" borderId="16" xfId="35" applyBorder="1" applyAlignment="1">
      <alignment horizontal="center" vertical="center" wrapText="1"/>
    </xf>
    <xf numFmtId="0" fontId="28" fillId="0" borderId="38" xfId="36" applyFill="1" applyBorder="1" applyAlignment="1">
      <alignment horizontal="center" vertical="center"/>
    </xf>
    <xf numFmtId="0" fontId="28" fillId="0" borderId="39" xfId="36" applyFill="1" applyBorder="1" applyAlignment="1">
      <alignment horizontal="center" vertical="center"/>
    </xf>
    <xf numFmtId="0" fontId="28" fillId="0" borderId="41" xfId="36" applyFill="1" applyBorder="1" applyAlignment="1">
      <alignment horizontal="center" vertical="center"/>
    </xf>
    <xf numFmtId="0" fontId="28" fillId="0" borderId="50" xfId="36" applyFill="1" applyBorder="1" applyAlignment="1">
      <alignment horizontal="center" vertical="center"/>
    </xf>
    <xf numFmtId="169" fontId="29" fillId="18" borderId="55" xfId="13" applyNumberFormat="1" applyFill="1" applyBorder="1" applyAlignment="1">
      <alignment horizontal="center" vertical="center"/>
    </xf>
    <xf numFmtId="169" fontId="29" fillId="18" borderId="56" xfId="13" applyNumberFormat="1" applyFill="1" applyBorder="1" applyAlignment="1">
      <alignment horizontal="center" vertical="center"/>
    </xf>
    <xf numFmtId="169" fontId="29" fillId="18" borderId="57" xfId="13" applyNumberFormat="1" applyFill="1" applyBorder="1" applyAlignment="1">
      <alignment horizontal="center" vertical="center"/>
    </xf>
    <xf numFmtId="169" fontId="29" fillId="0" borderId="15" xfId="13" applyNumberFormat="1" applyFill="1" applyBorder="1" applyAlignment="1">
      <alignment horizontal="center" vertical="center"/>
    </xf>
    <xf numFmtId="169" fontId="29" fillId="0" borderId="3" xfId="13" applyNumberFormat="1" applyFill="1" applyBorder="1" applyAlignment="1">
      <alignment horizontal="center" vertical="center"/>
    </xf>
    <xf numFmtId="169" fontId="29" fillId="0" borderId="16" xfId="13" applyNumberFormat="1" applyFill="1" applyBorder="1" applyAlignment="1">
      <alignment horizontal="center" vertical="center"/>
    </xf>
    <xf numFmtId="169" fontId="29" fillId="0" borderId="12" xfId="13" applyNumberFormat="1" applyFill="1" applyBorder="1" applyAlignment="1">
      <alignment horizontal="center" vertical="center"/>
    </xf>
    <xf numFmtId="169" fontId="29" fillId="0" borderId="0" xfId="13" applyNumberFormat="1" applyFill="1" applyBorder="1" applyAlignment="1">
      <alignment horizontal="center" vertical="center"/>
    </xf>
    <xf numFmtId="169" fontId="29" fillId="0" borderId="11" xfId="13" applyNumberFormat="1" applyFill="1" applyBorder="1" applyAlignment="1">
      <alignment horizontal="center" vertical="center"/>
    </xf>
    <xf numFmtId="169" fontId="29" fillId="0" borderId="17" xfId="13" applyNumberFormat="1" applyFill="1" applyBorder="1" applyAlignment="1">
      <alignment horizontal="center" vertical="center"/>
    </xf>
    <xf numFmtId="169" fontId="29" fillId="0" borderId="2" xfId="13" applyNumberFormat="1" applyFill="1" applyBorder="1" applyAlignment="1">
      <alignment horizontal="center" vertical="center"/>
    </xf>
    <xf numFmtId="169" fontId="29" fillId="0" borderId="13" xfId="13" applyNumberFormat="1" applyFill="1" applyBorder="1" applyAlignment="1">
      <alignment horizontal="center" vertical="center"/>
    </xf>
    <xf numFmtId="0" fontId="29" fillId="0" borderId="15" xfId="37" applyBorder="1">
      <alignment vertical="center"/>
    </xf>
    <xf numFmtId="0" fontId="29" fillId="0" borderId="12" xfId="37" applyBorder="1">
      <alignment vertical="center"/>
    </xf>
    <xf numFmtId="0" fontId="29" fillId="0" borderId="0" xfId="37" applyBorder="1">
      <alignment vertical="center"/>
    </xf>
    <xf numFmtId="0" fontId="29" fillId="0" borderId="17" xfId="37" applyBorder="1">
      <alignment vertical="center"/>
    </xf>
    <xf numFmtId="0" fontId="0" fillId="0" borderId="15" xfId="0" applyFill="1" applyBorder="1"/>
    <xf numFmtId="0" fontId="0" fillId="0" borderId="3" xfId="0" applyFill="1" applyBorder="1"/>
    <xf numFmtId="0" fontId="0" fillId="0" borderId="16" xfId="0" applyFill="1" applyBorder="1"/>
    <xf numFmtId="0" fontId="0" fillId="0" borderId="12" xfId="0" applyFill="1" applyBorder="1"/>
    <xf numFmtId="0" fontId="0" fillId="0" borderId="0" xfId="0" applyFill="1" applyBorder="1"/>
    <xf numFmtId="0" fontId="0" fillId="0" borderId="11" xfId="0" applyFill="1" applyBorder="1"/>
    <xf numFmtId="171" fontId="29" fillId="0" borderId="12" xfId="13" applyNumberFormat="1" applyFill="1" applyBorder="1" applyAlignment="1">
      <alignment horizontal="center" vertical="center"/>
    </xf>
    <xf numFmtId="171" fontId="29" fillId="0" borderId="0" xfId="13" applyNumberFormat="1" applyFill="1" applyBorder="1" applyAlignment="1">
      <alignment horizontal="center" vertical="center"/>
    </xf>
    <xf numFmtId="171" fontId="29" fillId="0" borderId="11" xfId="13" applyNumberFormat="1" applyFill="1" applyBorder="1" applyAlignment="1">
      <alignment horizontal="center" vertical="center"/>
    </xf>
    <xf numFmtId="171" fontId="29" fillId="0" borderId="17" xfId="13" applyNumberFormat="1" applyFill="1" applyBorder="1" applyAlignment="1">
      <alignment horizontal="center" vertical="center"/>
    </xf>
    <xf numFmtId="171" fontId="29" fillId="0" borderId="2" xfId="13" applyNumberFormat="1" applyFill="1" applyBorder="1" applyAlignment="1">
      <alignment horizontal="center" vertical="center"/>
    </xf>
    <xf numFmtId="171" fontId="29" fillId="0" borderId="13" xfId="13" applyNumberFormat="1" applyFill="1" applyBorder="1" applyAlignment="1">
      <alignment horizontal="center" vertical="center"/>
    </xf>
    <xf numFmtId="171" fontId="29" fillId="0" borderId="15" xfId="13" applyNumberFormat="1" applyFill="1" applyBorder="1" applyAlignment="1">
      <alignment horizontal="center" vertical="center"/>
    </xf>
    <xf numFmtId="171" fontId="29" fillId="0" borderId="3" xfId="13" applyNumberFormat="1" applyFill="1" applyBorder="1" applyAlignment="1">
      <alignment horizontal="center" vertical="center"/>
    </xf>
    <xf numFmtId="171" fontId="29" fillId="0" borderId="16" xfId="13" applyNumberFormat="1" applyFill="1" applyBorder="1" applyAlignment="1">
      <alignment horizontal="center" vertical="center"/>
    </xf>
    <xf numFmtId="171" fontId="29" fillId="0" borderId="12" xfId="13" applyNumberFormat="1" applyBorder="1" applyAlignment="1">
      <alignment horizontal="center" vertical="center"/>
    </xf>
    <xf numFmtId="0" fontId="32" fillId="0" borderId="18" xfId="35" applyBorder="1" applyAlignment="1">
      <alignment horizontal="center" vertical="center"/>
    </xf>
    <xf numFmtId="0" fontId="32" fillId="0" borderId="19" xfId="35" applyBorder="1" applyAlignment="1">
      <alignment horizontal="center" vertical="center"/>
    </xf>
    <xf numFmtId="0" fontId="32" fillId="0" borderId="20" xfId="35" applyBorder="1" applyAlignment="1">
      <alignment horizontal="center" vertical="center"/>
    </xf>
    <xf numFmtId="167" fontId="28" fillId="12" borderId="25" xfId="16" applyBorder="1" applyAlignment="1">
      <alignment horizontal="center" vertical="center"/>
      <protection locked="0"/>
    </xf>
    <xf numFmtId="167" fontId="28" fillId="12" borderId="26" xfId="16" applyBorder="1" applyAlignment="1">
      <alignment horizontal="center" vertical="center"/>
      <protection locked="0"/>
    </xf>
    <xf numFmtId="167" fontId="28" fillId="12" borderId="27" xfId="16" applyBorder="1" applyAlignment="1">
      <alignment horizontal="center" vertical="center"/>
      <protection locked="0"/>
    </xf>
    <xf numFmtId="167" fontId="28" fillId="12" borderId="28" xfId="16" applyBorder="1" applyAlignment="1">
      <alignment horizontal="center" vertical="center"/>
      <protection locked="0"/>
    </xf>
    <xf numFmtId="167" fontId="28" fillId="12" borderId="4" xfId="16" applyBorder="1" applyAlignment="1">
      <alignment horizontal="center" vertical="center"/>
      <protection locked="0"/>
    </xf>
    <xf numFmtId="167" fontId="28" fillId="12" borderId="29" xfId="16" applyBorder="1" applyAlignment="1">
      <alignment horizontal="center" vertical="center"/>
      <protection locked="0"/>
    </xf>
    <xf numFmtId="167" fontId="28" fillId="12" borderId="30" xfId="16" applyBorder="1" applyAlignment="1">
      <alignment horizontal="center" vertical="center"/>
      <protection locked="0"/>
    </xf>
    <xf numFmtId="167" fontId="28" fillId="12" borderId="31" xfId="16" applyBorder="1" applyAlignment="1">
      <alignment horizontal="center" vertical="center"/>
      <protection locked="0"/>
    </xf>
    <xf numFmtId="167" fontId="28" fillId="12" borderId="32" xfId="16" applyBorder="1" applyAlignment="1">
      <alignment horizontal="center" vertical="center"/>
      <protection locked="0"/>
    </xf>
    <xf numFmtId="0" fontId="29" fillId="0" borderId="16" xfId="37" applyBorder="1" applyAlignment="1">
      <alignment horizontal="center" vertical="center"/>
    </xf>
    <xf numFmtId="0" fontId="29" fillId="0" borderId="11" xfId="37" applyBorder="1" applyAlignment="1">
      <alignment horizontal="center" vertical="center"/>
    </xf>
    <xf numFmtId="0" fontId="29" fillId="0" borderId="13" xfId="37" applyBorder="1" applyAlignment="1">
      <alignment horizontal="center" vertical="center"/>
    </xf>
    <xf numFmtId="0" fontId="28" fillId="0" borderId="16" xfId="36" applyBorder="1" applyAlignment="1">
      <alignment horizontal="center" vertical="center"/>
    </xf>
    <xf numFmtId="0" fontId="28" fillId="0" borderId="11" xfId="36" applyBorder="1" applyAlignment="1">
      <alignment horizontal="center" vertical="center"/>
    </xf>
    <xf numFmtId="0" fontId="28" fillId="0" borderId="13" xfId="36" applyBorder="1" applyAlignment="1">
      <alignment horizontal="center" vertical="center"/>
    </xf>
    <xf numFmtId="169" fontId="29" fillId="0" borderId="1" xfId="13" applyNumberFormat="1" applyFill="1" applyBorder="1" applyAlignment="1">
      <alignment horizontal="center" vertical="center"/>
    </xf>
    <xf numFmtId="0" fontId="33" fillId="0" borderId="1" xfId="34" applyBorder="1" applyAlignment="1">
      <alignment horizontal="center" vertical="center"/>
    </xf>
    <xf numFmtId="165" fontId="29" fillId="0" borderId="3" xfId="13" applyBorder="1" applyAlignment="1">
      <alignment horizontal="center" vertical="center"/>
    </xf>
    <xf numFmtId="165" fontId="29" fillId="0" borderId="0" xfId="13" applyBorder="1" applyAlignment="1">
      <alignment horizontal="center" vertical="center"/>
    </xf>
    <xf numFmtId="0" fontId="33" fillId="0" borderId="0" xfId="34" applyBorder="1" applyAlignment="1">
      <alignment horizontal="left" vertical="center" wrapText="1"/>
    </xf>
    <xf numFmtId="0" fontId="33" fillId="0" borderId="0" xfId="34" applyBorder="1" applyAlignment="1">
      <alignment horizontal="center" vertical="center" wrapText="1"/>
    </xf>
    <xf numFmtId="165" fontId="32" fillId="0" borderId="3" xfId="13" applyFont="1" applyFill="1" applyBorder="1" applyAlignment="1">
      <alignment horizontal="center" vertical="center"/>
    </xf>
    <xf numFmtId="0" fontId="47" fillId="0" borderId="1" xfId="36" applyFont="1" applyBorder="1" applyAlignment="1">
      <alignment horizontal="center" vertical="center"/>
    </xf>
    <xf numFmtId="0" fontId="33" fillId="0" borderId="0" xfId="34" applyBorder="1" applyAlignment="1">
      <alignment horizontal="left" vertical="center"/>
    </xf>
    <xf numFmtId="0" fontId="32" fillId="0" borderId="3" xfId="37" applyFont="1" applyBorder="1">
      <alignment vertical="center"/>
    </xf>
    <xf numFmtId="165" fontId="32" fillId="0" borderId="3" xfId="13" applyFont="1" applyBorder="1" applyAlignment="1">
      <alignment horizontal="center" vertical="center"/>
    </xf>
    <xf numFmtId="0" fontId="32" fillId="0" borderId="0" xfId="35" applyAlignment="1">
      <alignment horizontal="center" vertical="center" wrapText="1"/>
    </xf>
    <xf numFmtId="0" fontId="32" fillId="0" borderId="0" xfId="35" applyBorder="1">
      <alignment horizontal="left" vertical="center"/>
    </xf>
    <xf numFmtId="165" fontId="0" fillId="0" borderId="0" xfId="0" applyNumberFormat="1"/>
    <xf numFmtId="177" fontId="0" fillId="0" borderId="0" xfId="0" applyNumberFormat="1"/>
    <xf numFmtId="0" fontId="47" fillId="0" borderId="0" xfId="36" applyFont="1" applyBorder="1" applyAlignment="1">
      <alignment horizontal="center" vertical="center"/>
    </xf>
    <xf numFmtId="165" fontId="29" fillId="0" borderId="55" xfId="13" applyBorder="1" applyAlignment="1">
      <alignment horizontal="center" vertical="center"/>
    </xf>
    <xf numFmtId="165" fontId="29" fillId="0" borderId="57" xfId="13" applyBorder="1" applyAlignment="1">
      <alignment horizontal="center" vertical="center"/>
    </xf>
    <xf numFmtId="165" fontId="29" fillId="0" borderId="12" xfId="13" applyBorder="1" applyAlignment="1">
      <alignment horizontal="center" vertical="center"/>
    </xf>
    <xf numFmtId="167" fontId="29" fillId="0" borderId="1" xfId="15" applyBorder="1" applyAlignment="1">
      <alignment horizontal="center" vertical="center"/>
    </xf>
    <xf numFmtId="167" fontId="29" fillId="0" borderId="0" xfId="15" applyBorder="1" applyAlignment="1">
      <alignment horizontal="center" vertical="center"/>
    </xf>
    <xf numFmtId="167" fontId="29" fillId="0" borderId="12" xfId="15" applyBorder="1" applyAlignment="1">
      <alignment horizontal="center" vertical="center"/>
    </xf>
    <xf numFmtId="0" fontId="32" fillId="0" borderId="2" xfId="35" applyBorder="1" applyAlignment="1">
      <alignment horizontal="center" vertical="center"/>
    </xf>
    <xf numFmtId="0" fontId="33" fillId="0" borderId="17" xfId="34" applyBorder="1" applyAlignment="1">
      <alignment horizontal="center" vertical="center"/>
    </xf>
    <xf numFmtId="0" fontId="33" fillId="0" borderId="2" xfId="34" applyBorder="1" applyAlignment="1">
      <alignment horizontal="center" vertical="center"/>
    </xf>
    <xf numFmtId="167" fontId="32" fillId="0" borderId="3" xfId="15" applyFont="1" applyBorder="1" applyAlignment="1">
      <alignment horizontal="center" vertical="center"/>
    </xf>
    <xf numFmtId="167" fontId="29" fillId="0" borderId="15" xfId="15" applyBorder="1" applyAlignment="1">
      <alignment horizontal="center" vertical="center"/>
    </xf>
    <xf numFmtId="167" fontId="29" fillId="0" borderId="3" xfId="15" applyBorder="1" applyAlignment="1">
      <alignment horizontal="center" vertical="center"/>
    </xf>
    <xf numFmtId="0" fontId="32" fillId="0" borderId="1" xfId="35" applyBorder="1" applyAlignment="1">
      <alignment horizontal="center" vertical="center" wrapText="1"/>
    </xf>
    <xf numFmtId="0" fontId="19" fillId="14" borderId="0" xfId="38">
      <alignment horizontal="left" vertical="center"/>
    </xf>
    <xf numFmtId="0" fontId="33" fillId="0" borderId="0" xfId="34">
      <alignment horizontal="left" vertical="center"/>
    </xf>
    <xf numFmtId="178" fontId="28" fillId="12" borderId="4" xfId="18" applyNumberFormat="1" applyAlignment="1">
      <alignment horizontal="center" vertical="center"/>
      <protection locked="0"/>
    </xf>
    <xf numFmtId="0" fontId="28" fillId="12" borderId="25" xfId="8" applyBorder="1" applyAlignment="1">
      <alignment horizontal="center" vertical="center"/>
      <protection locked="0"/>
    </xf>
    <xf numFmtId="0" fontId="28" fillId="12" borderId="26" xfId="8" applyBorder="1" applyAlignment="1">
      <alignment horizontal="center" vertical="center"/>
      <protection locked="0"/>
    </xf>
    <xf numFmtId="0" fontId="28" fillId="12" borderId="27" xfId="8" applyBorder="1" applyAlignment="1">
      <alignment horizontal="center" vertical="center"/>
      <protection locked="0"/>
    </xf>
    <xf numFmtId="0" fontId="28" fillId="12" borderId="28" xfId="8" applyBorder="1" applyAlignment="1">
      <alignment horizontal="center" vertical="center"/>
      <protection locked="0"/>
    </xf>
    <xf numFmtId="0" fontId="28" fillId="12" borderId="29" xfId="8" applyBorder="1" applyAlignment="1">
      <alignment horizontal="center" vertical="center"/>
      <protection locked="0"/>
    </xf>
    <xf numFmtId="0" fontId="28" fillId="12" borderId="30" xfId="8" applyBorder="1" applyAlignment="1">
      <alignment horizontal="center" vertical="center"/>
      <protection locked="0"/>
    </xf>
    <xf numFmtId="0" fontId="28" fillId="12" borderId="31" xfId="8" applyBorder="1" applyAlignment="1">
      <alignment horizontal="center" vertical="center"/>
      <protection locked="0"/>
    </xf>
    <xf numFmtId="0" fontId="28" fillId="12" borderId="32" xfId="8" applyBorder="1" applyAlignment="1">
      <alignment horizontal="center" vertical="center"/>
      <protection locked="0"/>
    </xf>
    <xf numFmtId="0" fontId="0" fillId="0" borderId="19" xfId="0" applyBorder="1" applyAlignment="1">
      <alignment vertical="center"/>
    </xf>
    <xf numFmtId="0" fontId="50" fillId="0" borderId="19" xfId="0" applyFont="1" applyBorder="1" applyAlignment="1">
      <alignment horizontal="center" vertical="center"/>
    </xf>
    <xf numFmtId="0" fontId="51" fillId="0" borderId="20" xfId="0" applyFont="1" applyBorder="1" applyAlignment="1">
      <alignment horizontal="right" vertical="top"/>
    </xf>
    <xf numFmtId="0" fontId="0" fillId="0" borderId="21" xfId="0" applyBorder="1" applyAlignment="1">
      <alignment vertical="center"/>
    </xf>
    <xf numFmtId="0" fontId="55" fillId="0" borderId="55" xfId="0" applyFont="1" applyBorder="1" applyAlignment="1">
      <alignment horizontal="center" vertical="center"/>
    </xf>
    <xf numFmtId="0" fontId="55" fillId="0" borderId="15" xfId="0" applyFont="1" applyBorder="1" applyAlignment="1">
      <alignment horizontal="center" vertical="center"/>
    </xf>
    <xf numFmtId="0" fontId="55" fillId="0" borderId="16" xfId="0" applyFont="1" applyBorder="1" applyAlignment="1">
      <alignment horizontal="center" vertical="center"/>
    </xf>
    <xf numFmtId="0" fontId="55" fillId="0" borderId="59" xfId="0" applyFont="1" applyBorder="1" applyAlignment="1">
      <alignment horizontal="center" vertical="center"/>
    </xf>
    <xf numFmtId="0" fontId="55" fillId="0" borderId="12" xfId="0" applyFont="1" applyBorder="1" applyAlignment="1">
      <alignment horizontal="center" vertical="center"/>
    </xf>
    <xf numFmtId="0" fontId="55" fillId="0" borderId="11" xfId="0" applyFont="1" applyBorder="1" applyAlignment="1">
      <alignment horizontal="center" vertical="center"/>
    </xf>
    <xf numFmtId="0" fontId="55" fillId="0" borderId="58" xfId="0" applyFont="1" applyBorder="1" applyAlignment="1">
      <alignment horizontal="center" vertical="center"/>
    </xf>
    <xf numFmtId="0" fontId="55" fillId="0" borderId="17" xfId="0" applyFont="1" applyBorder="1" applyAlignment="1">
      <alignment horizontal="center" vertical="center"/>
    </xf>
    <xf numFmtId="0" fontId="55" fillId="0" borderId="13" xfId="0" applyFont="1" applyBorder="1" applyAlignment="1">
      <alignment horizontal="center" vertical="center"/>
    </xf>
    <xf numFmtId="0" fontId="55" fillId="0" borderId="60" xfId="0" applyFont="1" applyBorder="1" applyAlignment="1">
      <alignment horizontal="center" vertical="center"/>
    </xf>
    <xf numFmtId="0" fontId="57" fillId="0" borderId="61" xfId="0" applyFont="1" applyBorder="1" applyAlignment="1">
      <alignment vertical="center"/>
    </xf>
    <xf numFmtId="0" fontId="53" fillId="19" borderId="15" xfId="0" applyFont="1" applyFill="1" applyBorder="1" applyAlignment="1">
      <alignment vertical="center"/>
    </xf>
    <xf numFmtId="0" fontId="53" fillId="19" borderId="16" xfId="0" applyFont="1" applyFill="1" applyBorder="1" applyAlignment="1">
      <alignment vertical="center"/>
    </xf>
    <xf numFmtId="0" fontId="53" fillId="19" borderId="3" xfId="0" applyFont="1" applyFill="1" applyBorder="1" applyAlignment="1">
      <alignment vertical="center"/>
    </xf>
    <xf numFmtId="0" fontId="53" fillId="19" borderId="59" xfId="0" applyFont="1" applyFill="1" applyBorder="1" applyAlignment="1">
      <alignment vertical="center"/>
    </xf>
    <xf numFmtId="0" fontId="53" fillId="19" borderId="0" xfId="0" applyFont="1" applyFill="1" applyBorder="1" applyAlignment="1">
      <alignment vertical="center"/>
    </xf>
    <xf numFmtId="0" fontId="53" fillId="19" borderId="58" xfId="0" applyFont="1" applyFill="1" applyBorder="1" applyAlignment="1">
      <alignment vertical="center"/>
    </xf>
    <xf numFmtId="0" fontId="53" fillId="19" borderId="2" xfId="0" applyFont="1" applyFill="1" applyBorder="1" applyAlignment="1">
      <alignment vertical="center"/>
    </xf>
    <xf numFmtId="0" fontId="58" fillId="0" borderId="0" xfId="0" applyFont="1" applyAlignment="1">
      <alignment vertical="center" wrapText="1"/>
    </xf>
    <xf numFmtId="0" fontId="0" fillId="0" borderId="0" xfId="0" applyAlignment="1">
      <alignment vertical="center" wrapText="1"/>
    </xf>
    <xf numFmtId="0" fontId="53" fillId="21" borderId="0" xfId="0" applyFont="1" applyFill="1" applyBorder="1" applyAlignment="1">
      <alignment horizontal="right" vertical="center"/>
    </xf>
    <xf numFmtId="0" fontId="53" fillId="21" borderId="0" xfId="0" applyFont="1" applyFill="1" applyBorder="1" applyAlignment="1">
      <alignment vertical="center"/>
    </xf>
    <xf numFmtId="181" fontId="53" fillId="22" borderId="0" xfId="47" applyNumberFormat="1" applyFont="1" applyFill="1" applyBorder="1" applyAlignment="1">
      <alignment vertical="center"/>
    </xf>
    <xf numFmtId="0" fontId="50" fillId="21" borderId="18" xfId="0" applyFont="1" applyFill="1" applyBorder="1" applyAlignment="1">
      <alignment vertical="top"/>
    </xf>
    <xf numFmtId="0" fontId="0" fillId="21" borderId="19" xfId="0" applyFill="1" applyBorder="1" applyAlignment="1">
      <alignment vertical="top"/>
    </xf>
    <xf numFmtId="0" fontId="50" fillId="21" borderId="19" xfId="0" applyFont="1" applyFill="1" applyBorder="1" applyAlignment="1">
      <alignment horizontal="center" vertical="top"/>
    </xf>
    <xf numFmtId="0" fontId="57" fillId="0" borderId="18" xfId="0" applyFont="1" applyBorder="1" applyAlignment="1">
      <alignment vertical="center"/>
    </xf>
    <xf numFmtId="0" fontId="53" fillId="0" borderId="19" xfId="0" applyFont="1" applyBorder="1" applyAlignment="1">
      <alignment vertical="center"/>
    </xf>
    <xf numFmtId="0" fontId="57" fillId="0" borderId="19" xfId="0" applyFont="1" applyBorder="1" applyAlignment="1">
      <alignment vertical="center"/>
    </xf>
    <xf numFmtId="0" fontId="53" fillId="0" borderId="18" xfId="0" applyFont="1" applyFill="1" applyBorder="1" applyAlignment="1">
      <alignment vertical="center"/>
    </xf>
    <xf numFmtId="4" fontId="53" fillId="20" borderId="64" xfId="0" applyNumberFormat="1" applyFont="1" applyFill="1" applyBorder="1" applyAlignment="1">
      <alignment vertical="center"/>
    </xf>
    <xf numFmtId="0" fontId="53" fillId="0" borderId="21" xfId="0" applyFont="1" applyFill="1" applyBorder="1" applyAlignment="1">
      <alignment vertical="center"/>
    </xf>
    <xf numFmtId="0" fontId="0" fillId="0" borderId="0" xfId="0" applyBorder="1" applyAlignment="1">
      <alignment vertical="center"/>
    </xf>
    <xf numFmtId="0" fontId="53" fillId="0" borderId="0" xfId="0" applyFont="1" applyBorder="1" applyAlignment="1">
      <alignment vertical="center"/>
    </xf>
    <xf numFmtId="4" fontId="53" fillId="20" borderId="65" xfId="0" applyNumberFormat="1" applyFont="1" applyFill="1" applyBorder="1" applyAlignment="1">
      <alignment vertical="center"/>
    </xf>
    <xf numFmtId="0" fontId="53" fillId="0" borderId="22" xfId="0" applyFont="1" applyFill="1" applyBorder="1" applyAlignment="1">
      <alignment vertical="center"/>
    </xf>
    <xf numFmtId="0" fontId="0" fillId="0" borderId="23" xfId="0" applyBorder="1" applyAlignment="1">
      <alignment vertical="center"/>
    </xf>
    <xf numFmtId="0" fontId="53" fillId="0" borderId="23" xfId="0" applyFont="1" applyBorder="1" applyAlignment="1">
      <alignment vertical="center"/>
    </xf>
    <xf numFmtId="182" fontId="53" fillId="20" borderId="67" xfId="0" applyNumberFormat="1" applyFont="1" applyFill="1" applyBorder="1" applyAlignment="1">
      <alignment vertical="center"/>
    </xf>
    <xf numFmtId="182" fontId="53" fillId="20" borderId="66" xfId="0" applyNumberFormat="1" applyFont="1" applyFill="1" applyBorder="1" applyAlignment="1">
      <alignment vertical="center"/>
    </xf>
    <xf numFmtId="0" fontId="27" fillId="0" borderId="0" xfId="32">
      <alignment horizontal="left" vertical="center"/>
    </xf>
    <xf numFmtId="0" fontId="32" fillId="0" borderId="2" xfId="35" applyBorder="1" applyAlignment="1">
      <alignment horizontal="center" vertical="center" wrapText="1"/>
    </xf>
    <xf numFmtId="169" fontId="29" fillId="0" borderId="16" xfId="13" applyNumberFormat="1" applyBorder="1" applyAlignment="1">
      <alignment horizontal="center" vertical="center"/>
    </xf>
    <xf numFmtId="0" fontId="33" fillId="0" borderId="17" xfId="34" applyBorder="1">
      <alignment horizontal="left" vertical="center"/>
    </xf>
    <xf numFmtId="169" fontId="29" fillId="0" borderId="13" xfId="13" applyNumberFormat="1" applyBorder="1" applyAlignment="1">
      <alignment horizontal="center" vertical="center"/>
    </xf>
    <xf numFmtId="167" fontId="29" fillId="0" borderId="2" xfId="15" applyBorder="1" applyAlignment="1">
      <alignment horizontal="center" vertical="center"/>
    </xf>
    <xf numFmtId="169" fontId="32" fillId="0" borderId="13" xfId="13" applyNumberFormat="1" applyFont="1" applyBorder="1" applyAlignment="1">
      <alignment horizontal="center" vertical="center"/>
    </xf>
    <xf numFmtId="0" fontId="32" fillId="0" borderId="17" xfId="35" applyBorder="1">
      <alignment horizontal="left" vertical="center"/>
    </xf>
    <xf numFmtId="169" fontId="32" fillId="0" borderId="34" xfId="13" applyNumberFormat="1" applyFont="1" applyBorder="1" applyAlignment="1">
      <alignment horizontal="center" vertical="center"/>
    </xf>
    <xf numFmtId="169" fontId="32" fillId="0" borderId="35" xfId="13" applyNumberFormat="1" applyFont="1" applyBorder="1" applyAlignment="1">
      <alignment horizontal="center" vertical="center"/>
    </xf>
    <xf numFmtId="169" fontId="32" fillId="0" borderId="36" xfId="13" applyNumberFormat="1" applyFont="1" applyBorder="1" applyAlignment="1">
      <alignment horizontal="center" vertical="center"/>
    </xf>
    <xf numFmtId="0" fontId="33" fillId="0" borderId="12" xfId="34" applyBorder="1" applyAlignment="1">
      <alignment horizontal="center" vertical="center"/>
    </xf>
    <xf numFmtId="183" fontId="29" fillId="0" borderId="0" xfId="39" applyNumberFormat="1" applyAlignment="1">
      <alignment horizontal="center" vertical="center"/>
    </xf>
    <xf numFmtId="165" fontId="28" fillId="12" borderId="4" xfId="14" applyNumberFormat="1" applyAlignment="1">
      <alignment horizontal="center" vertical="center"/>
      <protection locked="0"/>
    </xf>
    <xf numFmtId="165" fontId="28" fillId="12" borderId="33" xfId="14" applyNumberFormat="1" applyBorder="1" applyAlignment="1">
      <alignment horizontal="center" vertical="center"/>
      <protection locked="0"/>
    </xf>
    <xf numFmtId="165" fontId="32" fillId="0" borderId="3" xfId="13" applyNumberFormat="1" applyFont="1" applyBorder="1" applyAlignment="1">
      <alignment horizontal="center" vertical="center"/>
    </xf>
    <xf numFmtId="0" fontId="29" fillId="0" borderId="3" xfId="37" applyBorder="1" applyAlignment="1">
      <alignment horizontal="center" vertical="center"/>
    </xf>
    <xf numFmtId="169" fontId="29" fillId="0" borderId="14" xfId="13" applyNumberFormat="1" applyBorder="1" applyAlignment="1">
      <alignment horizontal="center" vertical="center"/>
    </xf>
    <xf numFmtId="0" fontId="0" fillId="0" borderId="0" xfId="0" quotePrefix="1"/>
    <xf numFmtId="176" fontId="29" fillId="0" borderId="0" xfId="15" applyNumberFormat="1" applyFill="1" applyAlignment="1">
      <alignment horizontal="center" vertical="center"/>
    </xf>
    <xf numFmtId="0" fontId="32" fillId="0" borderId="1" xfId="35" applyBorder="1" applyAlignment="1">
      <alignment horizontal="center" vertical="center"/>
    </xf>
    <xf numFmtId="169" fontId="29" fillId="0" borderId="34" xfId="13" applyNumberFormat="1" applyFill="1" applyBorder="1" applyAlignment="1">
      <alignment horizontal="center" vertical="center"/>
    </xf>
    <xf numFmtId="169" fontId="29" fillId="0" borderId="35" xfId="13" applyNumberFormat="1" applyFill="1" applyBorder="1" applyAlignment="1">
      <alignment horizontal="center" vertical="center"/>
    </xf>
    <xf numFmtId="169" fontId="29" fillId="0" borderId="36" xfId="13" applyNumberFormat="1" applyFill="1" applyBorder="1" applyAlignment="1">
      <alignment horizontal="center" vertical="center"/>
    </xf>
    <xf numFmtId="0" fontId="0" fillId="0" borderId="0" xfId="0" applyFill="1"/>
    <xf numFmtId="0" fontId="29" fillId="0" borderId="17" xfId="37" applyFill="1" applyBorder="1">
      <alignment vertical="center"/>
    </xf>
    <xf numFmtId="0" fontId="0" fillId="0" borderId="2" xfId="0" applyFill="1" applyBorder="1"/>
    <xf numFmtId="0" fontId="19" fillId="14" borderId="0" xfId="38">
      <alignment horizontal="left" vertical="center"/>
    </xf>
    <xf numFmtId="0" fontId="33" fillId="0" borderId="0" xfId="34">
      <alignment horizontal="left" vertical="center"/>
    </xf>
    <xf numFmtId="169" fontId="29" fillId="0" borderId="71" xfId="13" applyNumberFormat="1" applyBorder="1" applyAlignment="1">
      <alignment horizontal="center" vertical="center"/>
    </xf>
    <xf numFmtId="0" fontId="28" fillId="12" borderId="40" xfId="8" applyBorder="1" applyAlignment="1">
      <alignment horizontal="center" vertical="center"/>
      <protection locked="0"/>
    </xf>
    <xf numFmtId="0" fontId="53" fillId="19" borderId="35" xfId="0" applyFont="1" applyFill="1" applyBorder="1" applyAlignment="1">
      <alignment vertical="center"/>
    </xf>
    <xf numFmtId="179" fontId="53" fillId="20" borderId="0" xfId="0" applyNumberFormat="1" applyFont="1" applyFill="1" applyBorder="1" applyAlignment="1">
      <alignment vertical="center"/>
    </xf>
    <xf numFmtId="0" fontId="57" fillId="0" borderId="72" xfId="0" applyFont="1" applyBorder="1" applyAlignment="1">
      <alignment vertical="center"/>
    </xf>
    <xf numFmtId="0" fontId="57" fillId="0" borderId="62" xfId="0" applyFont="1" applyBorder="1" applyAlignment="1">
      <alignment vertical="center"/>
    </xf>
    <xf numFmtId="181" fontId="53" fillId="20" borderId="73" xfId="47" applyNumberFormat="1" applyFont="1" applyFill="1" applyBorder="1" applyAlignment="1">
      <alignment vertical="center"/>
    </xf>
    <xf numFmtId="180" fontId="53" fillId="20" borderId="34" xfId="0" applyNumberFormat="1" applyFont="1" applyFill="1" applyBorder="1" applyAlignment="1">
      <alignment vertical="center"/>
    </xf>
    <xf numFmtId="180" fontId="53" fillId="20" borderId="36" xfId="0" applyNumberFormat="1" applyFont="1" applyFill="1" applyBorder="1" applyAlignment="1">
      <alignment vertical="center"/>
    </xf>
    <xf numFmtId="0" fontId="55" fillId="0" borderId="12" xfId="0" applyFont="1" applyBorder="1" applyAlignment="1">
      <alignment horizontal="center"/>
    </xf>
    <xf numFmtId="0" fontId="55" fillId="0" borderId="11" xfId="0" applyFont="1" applyBorder="1" applyAlignment="1">
      <alignment horizontal="center"/>
    </xf>
    <xf numFmtId="0" fontId="55" fillId="0" borderId="58" xfId="0" applyFont="1" applyBorder="1" applyAlignment="1">
      <alignment horizontal="center"/>
    </xf>
    <xf numFmtId="4" fontId="53" fillId="20" borderId="74" xfId="0" applyNumberFormat="1" applyFont="1" applyFill="1" applyBorder="1" applyAlignment="1">
      <alignment vertical="center"/>
    </xf>
    <xf numFmtId="182" fontId="53" fillId="20" borderId="74" xfId="0" applyNumberFormat="1" applyFont="1" applyFill="1" applyBorder="1" applyAlignment="1">
      <alignment vertical="center"/>
    </xf>
    <xf numFmtId="0" fontId="53" fillId="19" borderId="1" xfId="0" applyFont="1" applyFill="1" applyBorder="1" applyAlignment="1">
      <alignment vertical="center"/>
    </xf>
    <xf numFmtId="0" fontId="57" fillId="0" borderId="68" xfId="0" applyFont="1" applyBorder="1" applyAlignment="1">
      <alignment vertical="center"/>
    </xf>
    <xf numFmtId="0" fontId="0" fillId="0" borderId="69" xfId="0" applyBorder="1" applyAlignment="1">
      <alignment vertical="center"/>
    </xf>
    <xf numFmtId="0" fontId="53" fillId="0" borderId="69" xfId="0" applyFont="1" applyBorder="1" applyAlignment="1">
      <alignment vertical="center"/>
    </xf>
    <xf numFmtId="0" fontId="55" fillId="19" borderId="70" xfId="0" applyFont="1" applyFill="1" applyBorder="1" applyAlignment="1">
      <alignment horizontal="center" vertical="center"/>
    </xf>
    <xf numFmtId="182" fontId="53" fillId="20" borderId="65" xfId="0" applyNumberFormat="1" applyFont="1" applyFill="1" applyBorder="1" applyAlignment="1">
      <alignment vertical="center"/>
    </xf>
    <xf numFmtId="0" fontId="57" fillId="0" borderId="68" xfId="0" applyFont="1" applyFill="1" applyBorder="1" applyAlignment="1">
      <alignment vertical="center"/>
    </xf>
    <xf numFmtId="0" fontId="55" fillId="0" borderId="75" xfId="0" applyFont="1" applyBorder="1" applyAlignment="1">
      <alignment horizontal="center" vertical="center"/>
    </xf>
    <xf numFmtId="181" fontId="53" fillId="20" borderId="73" xfId="47" applyNumberFormat="1" applyFont="1" applyFill="1" applyBorder="1" applyAlignment="1"/>
    <xf numFmtId="169" fontId="28" fillId="12" borderId="52" xfId="14" applyNumberFormat="1" applyBorder="1" applyAlignment="1">
      <alignment horizontal="center" vertical="center"/>
      <protection locked="0"/>
    </xf>
    <xf numFmtId="169" fontId="0" fillId="0" borderId="0" xfId="0" applyNumberFormat="1"/>
    <xf numFmtId="9" fontId="0" fillId="0" borderId="0" xfId="52" applyFont="1"/>
    <xf numFmtId="0" fontId="38" fillId="0" borderId="0" xfId="0" applyFont="1"/>
    <xf numFmtId="202" fontId="0" fillId="0" borderId="0" xfId="0" applyNumberFormat="1"/>
    <xf numFmtId="171" fontId="28" fillId="12" borderId="28" xfId="14" applyNumberFormat="1" applyBorder="1" applyAlignment="1">
      <alignment horizontal="center" vertical="center"/>
      <protection locked="0"/>
    </xf>
    <xf numFmtId="0" fontId="55" fillId="0" borderId="15" xfId="0" applyFont="1" applyBorder="1" applyAlignment="1">
      <alignment horizontal="center"/>
    </xf>
    <xf numFmtId="0" fontId="55" fillId="0" borderId="16" xfId="0" applyFont="1" applyBorder="1" applyAlignment="1">
      <alignment horizontal="center"/>
    </xf>
    <xf numFmtId="0" fontId="55" fillId="0" borderId="59" xfId="0" applyFont="1" applyBorder="1" applyAlignment="1">
      <alignment horizontal="center"/>
    </xf>
    <xf numFmtId="0" fontId="28" fillId="0" borderId="3" xfId="36" applyFill="1" applyBorder="1" applyAlignment="1">
      <alignment horizontal="center" vertical="center"/>
    </xf>
    <xf numFmtId="0" fontId="0" fillId="19" borderId="0" xfId="0" applyFill="1"/>
    <xf numFmtId="0" fontId="29" fillId="0" borderId="12" xfId="37" applyFill="1" applyBorder="1">
      <alignment vertical="center"/>
    </xf>
    <xf numFmtId="10" fontId="0" fillId="0" borderId="0" xfId="52" applyNumberFormat="1" applyFont="1" applyFill="1"/>
    <xf numFmtId="9" fontId="0" fillId="0" borderId="0" xfId="0" applyNumberFormat="1" applyFill="1"/>
    <xf numFmtId="9" fontId="0" fillId="0" borderId="0" xfId="52" applyFont="1" applyFill="1"/>
    <xf numFmtId="0" fontId="29" fillId="0" borderId="15" xfId="37" applyFill="1" applyBorder="1">
      <alignment vertical="center"/>
    </xf>
    <xf numFmtId="0" fontId="0" fillId="0" borderId="13" xfId="0" applyFill="1" applyBorder="1"/>
    <xf numFmtId="0" fontId="28" fillId="0" borderId="17" xfId="36" applyFill="1" applyBorder="1">
      <alignment horizontal="left" vertical="center"/>
    </xf>
    <xf numFmtId="0" fontId="38" fillId="0" borderId="0" xfId="0" applyFont="1" applyAlignment="1">
      <alignment horizontal="center"/>
    </xf>
    <xf numFmtId="9" fontId="0" fillId="0" borderId="0" xfId="52" applyFont="1" applyAlignment="1">
      <alignment horizontal="center"/>
    </xf>
    <xf numFmtId="171" fontId="28" fillId="87" borderId="26" xfId="14" applyNumberFormat="1" applyFill="1" applyBorder="1" applyAlignment="1">
      <alignment horizontal="center" vertical="center"/>
      <protection locked="0"/>
    </xf>
    <xf numFmtId="171" fontId="28" fillId="87" borderId="4" xfId="14" applyNumberFormat="1" applyFill="1" applyBorder="1" applyAlignment="1">
      <alignment horizontal="center" vertical="center"/>
      <protection locked="0"/>
    </xf>
    <xf numFmtId="171" fontId="28" fillId="81" borderId="4" xfId="14" applyNumberFormat="1" applyFill="1" applyBorder="1" applyAlignment="1">
      <alignment horizontal="center" vertical="center"/>
      <protection locked="0"/>
    </xf>
    <xf numFmtId="171" fontId="28" fillId="81" borderId="29" xfId="14" applyNumberFormat="1" applyFill="1" applyBorder="1" applyAlignment="1">
      <alignment horizontal="center" vertical="center"/>
      <protection locked="0"/>
    </xf>
    <xf numFmtId="169" fontId="29" fillId="0" borderId="98" xfId="13" applyNumberFormat="1" applyBorder="1" applyAlignment="1">
      <alignment horizontal="center" vertical="center"/>
    </xf>
    <xf numFmtId="175" fontId="29" fillId="0" borderId="99" xfId="15" applyNumberFormat="1" applyFill="1" applyBorder="1" applyAlignment="1">
      <alignment horizontal="center" vertical="center"/>
    </xf>
    <xf numFmtId="169" fontId="29" fillId="0" borderId="104" xfId="13" applyNumberFormat="1" applyFill="1" applyBorder="1" applyAlignment="1">
      <alignment horizontal="center" vertical="center"/>
    </xf>
    <xf numFmtId="0" fontId="33" fillId="0" borderId="0" xfId="34" applyAlignment="1">
      <alignment horizontal="center" vertical="center" wrapText="1"/>
    </xf>
    <xf numFmtId="0" fontId="28" fillId="0" borderId="0" xfId="0" applyFont="1"/>
    <xf numFmtId="0" fontId="55" fillId="0" borderId="57" xfId="0" applyFont="1" applyBorder="1" applyAlignment="1">
      <alignment horizontal="center" vertical="center" wrapText="1"/>
    </xf>
    <xf numFmtId="0" fontId="55" fillId="0" borderId="56" xfId="0" applyFont="1" applyBorder="1" applyAlignment="1">
      <alignment horizontal="center" vertical="center" wrapText="1"/>
    </xf>
    <xf numFmtId="0" fontId="49" fillId="0" borderId="93" xfId="0" applyFont="1" applyBorder="1" applyAlignment="1">
      <alignment vertical="top"/>
    </xf>
    <xf numFmtId="0" fontId="0" fillId="0" borderId="94" xfId="0" applyBorder="1" applyAlignment="1">
      <alignment vertical="center"/>
    </xf>
    <xf numFmtId="0" fontId="0" fillId="0" borderId="94" xfId="0" applyBorder="1"/>
    <xf numFmtId="0" fontId="53" fillId="19" borderId="55" xfId="0" applyFont="1" applyFill="1" applyBorder="1" applyAlignment="1">
      <alignment vertical="center"/>
    </xf>
    <xf numFmtId="0" fontId="53" fillId="19" borderId="57" xfId="0" applyFont="1" applyFill="1" applyBorder="1" applyAlignment="1">
      <alignment vertical="center"/>
    </xf>
    <xf numFmtId="0" fontId="55" fillId="0" borderId="55" xfId="0" applyFont="1" applyBorder="1" applyAlignment="1">
      <alignment horizontal="center"/>
    </xf>
    <xf numFmtId="0" fontId="55" fillId="0" borderId="57" xfId="0" applyFont="1" applyBorder="1" applyAlignment="1">
      <alignment horizontal="center" vertical="center"/>
    </xf>
    <xf numFmtId="181" fontId="53" fillId="20" borderId="36" xfId="47" applyNumberFormat="1" applyFont="1" applyFill="1" applyBorder="1" applyAlignment="1">
      <alignment vertical="center"/>
    </xf>
    <xf numFmtId="181" fontId="53" fillId="20" borderId="60" xfId="47" applyNumberFormat="1" applyFont="1" applyFill="1" applyBorder="1" applyAlignment="1">
      <alignment vertical="center"/>
    </xf>
    <xf numFmtId="0" fontId="53" fillId="19" borderId="65" xfId="0" applyFont="1" applyFill="1" applyBorder="1" applyAlignment="1">
      <alignment vertical="center"/>
    </xf>
    <xf numFmtId="181" fontId="53" fillId="20" borderId="36" xfId="47" applyNumberFormat="1" applyFont="1" applyFill="1" applyBorder="1" applyAlignment="1"/>
    <xf numFmtId="0" fontId="57" fillId="0" borderId="111" xfId="0" applyFont="1" applyBorder="1" applyAlignment="1">
      <alignment vertical="center"/>
    </xf>
    <xf numFmtId="0" fontId="53" fillId="19" borderId="66" xfId="0" applyFont="1" applyFill="1" applyBorder="1" applyAlignment="1">
      <alignment vertical="center"/>
    </xf>
    <xf numFmtId="0" fontId="31" fillId="15" borderId="0" xfId="20" applyFill="1">
      <alignment horizontal="left" vertical="center"/>
    </xf>
    <xf numFmtId="0" fontId="22" fillId="15" borderId="0" xfId="37" applyFont="1" applyFill="1" applyAlignment="1">
      <alignment vertical="center"/>
    </xf>
    <xf numFmtId="0" fontId="32" fillId="15" borderId="0" xfId="35" applyFill="1" applyAlignment="1">
      <alignment horizontal="left" vertical="center"/>
    </xf>
    <xf numFmtId="0" fontId="27" fillId="15" borderId="0" xfId="32" applyFill="1">
      <alignment horizontal="left" vertical="center"/>
    </xf>
    <xf numFmtId="0" fontId="28" fillId="0" borderId="0" xfId="36" applyAlignment="1">
      <alignment horizontal="left" vertical="center" wrapText="1"/>
    </xf>
    <xf numFmtId="175" fontId="28" fillId="0" borderId="4" xfId="16" applyNumberFormat="1" applyFill="1" applyAlignment="1">
      <alignment horizontal="center" vertical="center"/>
      <protection locked="0"/>
    </xf>
    <xf numFmtId="0" fontId="0" fillId="0" borderId="100" xfId="0" applyFill="1" applyBorder="1"/>
    <xf numFmtId="0" fontId="33" fillId="0" borderId="101" xfId="34" applyFill="1" applyBorder="1">
      <alignment horizontal="left" vertical="center"/>
    </xf>
    <xf numFmtId="0" fontId="0" fillId="0" borderId="101" xfId="0" applyFill="1" applyBorder="1"/>
    <xf numFmtId="0" fontId="32" fillId="0" borderId="101" xfId="35" applyFill="1" applyBorder="1" applyAlignment="1">
      <alignment horizontal="center" vertical="center"/>
    </xf>
    <xf numFmtId="0" fontId="32" fillId="0" borderId="102" xfId="35" applyFill="1" applyBorder="1" applyAlignment="1">
      <alignment horizontal="center" vertical="center"/>
    </xf>
    <xf numFmtId="0" fontId="0" fillId="0" borderId="103" xfId="0" applyFill="1" applyBorder="1"/>
    <xf numFmtId="0" fontId="32" fillId="0" borderId="0" xfId="35" applyFill="1" applyBorder="1" applyAlignment="1">
      <alignment horizontal="center" vertical="center"/>
    </xf>
    <xf numFmtId="0" fontId="32" fillId="0" borderId="104" xfId="35" applyFill="1" applyBorder="1" applyAlignment="1">
      <alignment horizontal="center" vertical="center"/>
    </xf>
    <xf numFmtId="169" fontId="29" fillId="0" borderId="105" xfId="13" applyNumberFormat="1" applyFill="1" applyBorder="1" applyAlignment="1">
      <alignment horizontal="center" vertical="center"/>
    </xf>
    <xf numFmtId="0" fontId="0" fillId="0" borderId="104" xfId="0" applyFill="1" applyBorder="1"/>
    <xf numFmtId="0" fontId="0" fillId="0" borderId="106" xfId="0" applyFill="1" applyBorder="1"/>
    <xf numFmtId="0" fontId="28" fillId="0" borderId="107" xfId="36" applyFill="1" applyBorder="1">
      <alignment horizontal="left" vertical="center"/>
    </xf>
    <xf numFmtId="0" fontId="0" fillId="0" borderId="107" xfId="0" applyFill="1" applyBorder="1"/>
    <xf numFmtId="0" fontId="28" fillId="0" borderId="107" xfId="36" applyFill="1" applyBorder="1" applyAlignment="1">
      <alignment horizontal="center" vertical="center"/>
    </xf>
    <xf numFmtId="0" fontId="29" fillId="0" borderId="107" xfId="37" applyFill="1" applyBorder="1" applyAlignment="1">
      <alignment horizontal="center" vertical="center"/>
    </xf>
    <xf numFmtId="0" fontId="29" fillId="0" borderId="108" xfId="37" applyFill="1" applyBorder="1" applyAlignment="1">
      <alignment horizontal="center" vertical="center"/>
    </xf>
    <xf numFmtId="0" fontId="153" fillId="0" borderId="0" xfId="815">
      <alignment horizontal="left" vertical="center"/>
    </xf>
    <xf numFmtId="0" fontId="26" fillId="0" borderId="0" xfId="816" applyFont="1"/>
    <xf numFmtId="0" fontId="22" fillId="0" borderId="0" xfId="817" applyFont="1" applyFill="1">
      <alignment vertical="center"/>
    </xf>
    <xf numFmtId="0" fontId="155" fillId="0" borderId="0" xfId="818" applyFill="1">
      <alignment horizontal="left" vertical="center"/>
    </xf>
    <xf numFmtId="0" fontId="156" fillId="0" borderId="0" xfId="819" applyFill="1">
      <alignment horizontal="left" vertical="center"/>
    </xf>
    <xf numFmtId="0" fontId="25" fillId="0" borderId="0" xfId="820" applyFont="1" applyFill="1">
      <alignment horizontal="left" vertical="center"/>
    </xf>
    <xf numFmtId="0" fontId="157" fillId="11" borderId="0" xfId="820">
      <alignment horizontal="left" vertical="center"/>
    </xf>
    <xf numFmtId="0" fontId="26" fillId="0" borderId="0" xfId="816" applyFont="1" applyFill="1"/>
    <xf numFmtId="0" fontId="158" fillId="88" borderId="0" xfId="821">
      <alignment horizontal="left" vertical="center"/>
    </xf>
    <xf numFmtId="0" fontId="155" fillId="0" borderId="0" xfId="818" applyFill="1" applyAlignment="1">
      <alignment horizontal="left" vertical="top"/>
    </xf>
    <xf numFmtId="0" fontId="27" fillId="0" borderId="0" xfId="32" applyFill="1">
      <alignment horizontal="left" vertical="center"/>
    </xf>
    <xf numFmtId="0" fontId="28" fillId="15" borderId="0" xfId="36" applyFill="1">
      <alignment horizontal="left" vertical="center"/>
    </xf>
    <xf numFmtId="0" fontId="159" fillId="15" borderId="0" xfId="0" applyFont="1" applyFill="1"/>
    <xf numFmtId="0" fontId="63" fillId="15" borderId="0" xfId="51" applyFont="1" applyFill="1"/>
    <xf numFmtId="0" fontId="63" fillId="15" borderId="0" xfId="51" applyFont="1" applyFill="1" applyAlignment="1">
      <alignment horizontal="center"/>
    </xf>
    <xf numFmtId="0" fontId="63" fillId="15" borderId="2" xfId="51" applyFont="1" applyFill="1" applyBorder="1"/>
    <xf numFmtId="0" fontId="0" fillId="15" borderId="2" xfId="0" applyFill="1" applyBorder="1"/>
    <xf numFmtId="0" fontId="27" fillId="15" borderId="2" xfId="32" applyFill="1" applyBorder="1">
      <alignment horizontal="left" vertical="center"/>
    </xf>
    <xf numFmtId="0" fontId="63" fillId="15" borderId="2" xfId="51" applyFont="1" applyFill="1" applyBorder="1" applyAlignment="1">
      <alignment horizontal="center"/>
    </xf>
    <xf numFmtId="0" fontId="160" fillId="0" borderId="0" xfId="816" applyFont="1" applyFill="1" applyAlignment="1">
      <alignment vertical="top" wrapText="1"/>
    </xf>
    <xf numFmtId="0" fontId="155" fillId="15" borderId="0" xfId="818" applyFill="1" applyAlignment="1">
      <alignment horizontal="left" vertical="top"/>
    </xf>
    <xf numFmtId="0" fontId="33" fillId="0" borderId="0" xfId="34">
      <alignment horizontal="left" vertical="center"/>
    </xf>
    <xf numFmtId="0" fontId="33" fillId="0" borderId="0" xfId="34" applyAlignment="1">
      <alignment horizontal="center" vertical="center" wrapText="1"/>
    </xf>
    <xf numFmtId="0" fontId="28" fillId="0" borderId="110" xfId="36" applyFill="1" applyBorder="1">
      <alignment horizontal="left" vertical="center"/>
    </xf>
    <xf numFmtId="0" fontId="0" fillId="0" borderId="110" xfId="0" applyFill="1" applyBorder="1"/>
    <xf numFmtId="0" fontId="28" fillId="0" borderId="110" xfId="36" applyFill="1" applyBorder="1" applyAlignment="1">
      <alignment horizontal="center" vertical="center"/>
    </xf>
    <xf numFmtId="169" fontId="29" fillId="0" borderId="110" xfId="13" applyNumberFormat="1" applyFill="1" applyBorder="1" applyAlignment="1">
      <alignment horizontal="center" vertical="center"/>
    </xf>
    <xf numFmtId="0" fontId="28" fillId="0" borderId="0" xfId="36" applyAlignment="1">
      <alignment horizontal="left" vertical="center" wrapText="1"/>
    </xf>
    <xf numFmtId="0" fontId="8" fillId="0" borderId="0" xfId="816" applyFont="1" applyFill="1" applyAlignment="1">
      <alignment horizontal="left" wrapText="1"/>
    </xf>
    <xf numFmtId="0" fontId="8" fillId="15" borderId="0" xfId="816" applyFont="1" applyFill="1" applyAlignment="1">
      <alignment horizontal="left" wrapText="1"/>
    </xf>
    <xf numFmtId="0" fontId="19" fillId="14" borderId="0" xfId="38">
      <alignment horizontal="left" vertical="center"/>
    </xf>
    <xf numFmtId="0" fontId="33" fillId="0" borderId="0" xfId="34">
      <alignment horizontal="left" vertical="center"/>
    </xf>
    <xf numFmtId="0" fontId="19" fillId="14" borderId="18" xfId="38" applyBorder="1" applyAlignment="1">
      <alignment horizontal="center" vertical="center"/>
    </xf>
    <xf numFmtId="0" fontId="19" fillId="14" borderId="19" xfId="38" applyBorder="1" applyAlignment="1">
      <alignment horizontal="center" vertical="center"/>
    </xf>
    <xf numFmtId="0" fontId="19" fillId="14" borderId="20" xfId="38" applyBorder="1" applyAlignment="1">
      <alignment horizontal="center" vertical="center"/>
    </xf>
    <xf numFmtId="0" fontId="19" fillId="14" borderId="0" xfId="38" applyAlignment="1">
      <alignment horizontal="center" vertical="center"/>
    </xf>
    <xf numFmtId="0" fontId="19" fillId="14" borderId="2" xfId="38" applyBorder="1" applyAlignment="1">
      <alignment horizontal="center" vertical="center"/>
    </xf>
    <xf numFmtId="167" fontId="29" fillId="0" borderId="51" xfId="15" applyBorder="1" applyAlignment="1">
      <alignment horizontal="center" vertical="center"/>
    </xf>
    <xf numFmtId="0" fontId="33" fillId="0" borderId="34" xfId="34" applyBorder="1" applyAlignment="1">
      <alignment horizontal="center" vertical="center"/>
    </xf>
    <xf numFmtId="0" fontId="33" fillId="0" borderId="35" xfId="34" applyBorder="1" applyAlignment="1">
      <alignment horizontal="center" vertical="center"/>
    </xf>
    <xf numFmtId="0" fontId="33" fillId="0" borderId="36" xfId="34" applyBorder="1" applyAlignment="1">
      <alignment horizontal="center" vertical="center"/>
    </xf>
    <xf numFmtId="0" fontId="19" fillId="14" borderId="24" xfId="38" applyBorder="1" applyAlignment="1">
      <alignment horizontal="center" vertical="center"/>
    </xf>
    <xf numFmtId="0" fontId="19" fillId="14" borderId="53" xfId="38" applyBorder="1" applyAlignment="1">
      <alignment horizontal="center" vertical="center"/>
    </xf>
    <xf numFmtId="0" fontId="19" fillId="14" borderId="44" xfId="38" applyBorder="1" applyAlignment="1">
      <alignment horizontal="center" vertical="center"/>
    </xf>
    <xf numFmtId="0" fontId="28" fillId="0" borderId="15" xfId="36" applyBorder="1" applyAlignment="1">
      <alignment horizontal="left" vertical="center" wrapText="1"/>
    </xf>
    <xf numFmtId="0" fontId="28" fillId="0" borderId="3" xfId="36" applyBorder="1" applyAlignment="1">
      <alignment horizontal="left" vertical="center" wrapText="1"/>
    </xf>
    <xf numFmtId="0" fontId="28" fillId="0" borderId="16" xfId="36" applyBorder="1" applyAlignment="1">
      <alignment horizontal="left" vertical="center" wrapText="1"/>
    </xf>
    <xf numFmtId="0" fontId="33" fillId="0" borderId="17" xfId="36" applyFont="1" applyBorder="1" applyAlignment="1">
      <alignment horizontal="left" vertical="center" wrapText="1" indent="2"/>
    </xf>
    <xf numFmtId="0" fontId="33" fillId="0" borderId="2" xfId="36" applyFont="1" applyBorder="1" applyAlignment="1">
      <alignment horizontal="left" vertical="center" wrapText="1" indent="2"/>
    </xf>
    <xf numFmtId="0" fontId="33" fillId="0" borderId="13" xfId="36" applyFont="1" applyBorder="1" applyAlignment="1">
      <alignment horizontal="left" vertical="center" wrapText="1" indent="2"/>
    </xf>
    <xf numFmtId="167" fontId="29" fillId="0" borderId="55" xfId="15" applyBorder="1" applyAlignment="1">
      <alignment horizontal="center" vertical="center"/>
    </xf>
    <xf numFmtId="167" fontId="29" fillId="0" borderId="57" xfId="15" applyBorder="1" applyAlignment="1">
      <alignment horizontal="center" vertical="center"/>
    </xf>
    <xf numFmtId="0" fontId="33" fillId="0" borderId="0" xfId="34" applyAlignment="1">
      <alignment horizontal="center" vertical="center" wrapText="1"/>
    </xf>
    <xf numFmtId="0" fontId="28" fillId="0" borderId="34" xfId="36" applyBorder="1" applyAlignment="1">
      <alignment horizontal="left" vertical="center" wrapText="1"/>
    </xf>
    <xf numFmtId="0" fontId="28" fillId="0" borderId="35" xfId="36" applyBorder="1" applyAlignment="1">
      <alignment horizontal="left" vertical="center" wrapText="1"/>
    </xf>
    <xf numFmtId="0" fontId="28" fillId="0" borderId="36" xfId="36" applyBorder="1" applyAlignment="1">
      <alignment horizontal="left" vertical="center" wrapText="1"/>
    </xf>
    <xf numFmtId="0" fontId="53" fillId="21" borderId="21" xfId="0" applyFont="1" applyFill="1" applyBorder="1" applyAlignment="1">
      <alignment vertical="top" wrapText="1"/>
    </xf>
    <xf numFmtId="0" fontId="0" fillId="0" borderId="0" xfId="0" applyBorder="1" applyAlignment="1">
      <alignment vertical="top" wrapText="1"/>
    </xf>
    <xf numFmtId="0" fontId="0" fillId="0" borderId="58" xfId="0" applyBorder="1" applyAlignment="1">
      <alignment vertical="top" wrapText="1"/>
    </xf>
    <xf numFmtId="0" fontId="60" fillId="0" borderId="68" xfId="0" applyFont="1" applyBorder="1" applyAlignment="1">
      <alignment vertical="center" wrapText="1"/>
    </xf>
    <xf numFmtId="0" fontId="60" fillId="0" borderId="69" xfId="0" applyFont="1" applyBorder="1" applyAlignment="1">
      <alignment vertical="center" wrapText="1"/>
    </xf>
    <xf numFmtId="0" fontId="60" fillId="0" borderId="70" xfId="0" applyFont="1" applyBorder="1" applyAlignment="1">
      <alignment vertical="center" wrapText="1"/>
    </xf>
    <xf numFmtId="0" fontId="55" fillId="0" borderId="55" xfId="0" applyFont="1" applyBorder="1" applyAlignment="1">
      <alignment horizontal="center" vertical="center" wrapText="1"/>
    </xf>
    <xf numFmtId="0" fontId="55" fillId="0" borderId="57" xfId="0" applyFont="1" applyBorder="1" applyAlignment="1">
      <alignment horizontal="center" vertical="center" wrapText="1"/>
    </xf>
    <xf numFmtId="0" fontId="51" fillId="0" borderId="94" xfId="0" applyFont="1" applyBorder="1" applyAlignment="1">
      <alignment horizontal="center" vertical="top"/>
    </xf>
    <xf numFmtId="0" fontId="51" fillId="0" borderId="95" xfId="0" applyFont="1" applyBorder="1" applyAlignment="1">
      <alignment horizontal="center" vertical="top"/>
    </xf>
    <xf numFmtId="0" fontId="151" fillId="0" borderId="109" xfId="0" applyFont="1" applyBorder="1" applyAlignment="1">
      <alignment horizontal="left" vertical="center" wrapText="1"/>
    </xf>
    <xf numFmtId="0" fontId="151" fillId="0" borderId="110" xfId="0" applyFont="1" applyBorder="1" applyAlignment="1">
      <alignment horizontal="left" vertical="center" wrapText="1"/>
    </xf>
    <xf numFmtId="0" fontId="151" fillId="0" borderId="59" xfId="0" applyFont="1" applyBorder="1" applyAlignment="1">
      <alignment horizontal="left" vertical="center" wrapText="1"/>
    </xf>
    <xf numFmtId="0" fontId="51" fillId="0" borderId="21" xfId="0" applyFont="1" applyBorder="1" applyAlignment="1">
      <alignment horizontal="left" vertical="center" wrapText="1"/>
    </xf>
    <xf numFmtId="0" fontId="51" fillId="0" borderId="0" xfId="0" applyFont="1" applyBorder="1" applyAlignment="1">
      <alignment horizontal="left" vertical="center" wrapText="1"/>
    </xf>
    <xf numFmtId="0" fontId="51" fillId="0" borderId="58" xfId="0" applyFont="1" applyBorder="1" applyAlignment="1">
      <alignment horizontal="left" vertical="center" wrapText="1"/>
    </xf>
    <xf numFmtId="0" fontId="53" fillId="0" borderId="21" xfId="0" applyFont="1" applyBorder="1" applyAlignment="1">
      <alignment horizontal="left" vertical="top" wrapText="1"/>
    </xf>
    <xf numFmtId="0" fontId="53" fillId="0" borderId="0" xfId="0" applyFont="1" applyBorder="1" applyAlignment="1">
      <alignment horizontal="left" vertical="top" wrapText="1"/>
    </xf>
    <xf numFmtId="0" fontId="53" fillId="0" borderId="58" xfId="0" applyFont="1" applyBorder="1" applyAlignment="1">
      <alignment horizontal="left" vertical="top" wrapText="1"/>
    </xf>
    <xf numFmtId="0" fontId="60" fillId="0" borderId="97" xfId="0" applyFont="1" applyBorder="1" applyAlignment="1">
      <alignment horizontal="left" vertical="center" wrapText="1"/>
    </xf>
    <xf numFmtId="0" fontId="60" fillId="0" borderId="23" xfId="0" applyFont="1" applyBorder="1" applyAlignment="1">
      <alignment horizontal="left" vertical="center" wrapText="1"/>
    </xf>
    <xf numFmtId="0" fontId="60" fillId="0" borderId="96" xfId="0" applyFont="1" applyBorder="1" applyAlignment="1">
      <alignment horizontal="left" vertical="center" wrapText="1"/>
    </xf>
    <xf numFmtId="0" fontId="58" fillId="0" borderId="97" xfId="0" applyFont="1" applyBorder="1" applyAlignment="1">
      <alignment vertical="center" wrapText="1"/>
    </xf>
    <xf numFmtId="0" fontId="58" fillId="0" borderId="23" xfId="0" applyFont="1" applyBorder="1" applyAlignment="1">
      <alignment vertical="center" wrapText="1"/>
    </xf>
    <xf numFmtId="0" fontId="58" fillId="0" borderId="96" xfId="0" applyFont="1" applyBorder="1" applyAlignment="1">
      <alignment vertical="center" wrapText="1"/>
    </xf>
    <xf numFmtId="0" fontId="60" fillId="0" borderId="22" xfId="0" applyFont="1" applyBorder="1" applyAlignment="1">
      <alignment vertical="center" wrapText="1"/>
    </xf>
    <xf numFmtId="0" fontId="60" fillId="0" borderId="23" xfId="0" applyFont="1" applyBorder="1" applyAlignment="1">
      <alignment vertical="center" wrapText="1"/>
    </xf>
    <xf numFmtId="0" fontId="60" fillId="0" borderId="63" xfId="0" applyFont="1" applyBorder="1" applyAlignment="1">
      <alignment vertical="center" wrapText="1"/>
    </xf>
    <xf numFmtId="0" fontId="51" fillId="0" borderId="21" xfId="0" applyFont="1" applyBorder="1" applyAlignment="1">
      <alignment vertical="center" wrapText="1"/>
    </xf>
    <xf numFmtId="0" fontId="52" fillId="0" borderId="0" xfId="0" applyFont="1" applyBorder="1" applyAlignment="1">
      <alignment vertical="center" wrapText="1"/>
    </xf>
    <xf numFmtId="0" fontId="52" fillId="0" borderId="58" xfId="0" applyFont="1" applyBorder="1" applyAlignment="1">
      <alignment vertical="center" wrapText="1"/>
    </xf>
    <xf numFmtId="0" fontId="53" fillId="0" borderId="21" xfId="0" applyFont="1" applyBorder="1" applyAlignment="1">
      <alignment vertical="top" wrapText="1"/>
    </xf>
    <xf numFmtId="0" fontId="58" fillId="0" borderId="21" xfId="0" applyFont="1" applyBorder="1" applyAlignment="1">
      <alignment vertical="center" wrapText="1"/>
    </xf>
    <xf numFmtId="0" fontId="58" fillId="0" borderId="0" xfId="0" applyFont="1" applyBorder="1" applyAlignment="1">
      <alignment vertical="center" wrapText="1"/>
    </xf>
    <xf numFmtId="0" fontId="58" fillId="0" borderId="58" xfId="0" applyFont="1" applyBorder="1" applyAlignment="1">
      <alignment vertical="center" wrapText="1"/>
    </xf>
    <xf numFmtId="0" fontId="53" fillId="0" borderId="0" xfId="0" applyFont="1" applyBorder="1" applyAlignment="1">
      <alignment vertical="top" wrapText="1"/>
    </xf>
    <xf numFmtId="0" fontId="53" fillId="0" borderId="58" xfId="0" applyFont="1" applyBorder="1" applyAlignment="1">
      <alignment vertical="top" wrapText="1"/>
    </xf>
    <xf numFmtId="0" fontId="55" fillId="0" borderId="56" xfId="0" applyFont="1" applyBorder="1" applyAlignment="1">
      <alignment horizontal="center" vertical="center" wrapText="1"/>
    </xf>
  </cellXfs>
  <cellStyles count="822">
    <cellStyle name=" 1" xfId="54" xr:uid="{00000000-0005-0000-0000-000000000000}"/>
    <cellStyle name=" 1 2" xfId="55" xr:uid="{00000000-0005-0000-0000-000001000000}"/>
    <cellStyle name=" 1 2 2" xfId="56" xr:uid="{00000000-0005-0000-0000-000002000000}"/>
    <cellStyle name=" 1 2 3" xfId="57" xr:uid="{00000000-0005-0000-0000-000003000000}"/>
    <cellStyle name=" 1 3" xfId="58" xr:uid="{00000000-0005-0000-0000-000004000000}"/>
    <cellStyle name=" 1 3 2" xfId="59" xr:uid="{00000000-0005-0000-0000-000005000000}"/>
    <cellStyle name=" 1 4" xfId="60" xr:uid="{00000000-0005-0000-0000-000006000000}"/>
    <cellStyle name=" 1_29(d) - Gas extensions -tariffs" xfId="61" xr:uid="{00000000-0005-0000-0000-000007000000}"/>
    <cellStyle name="_3GIS model v2.77_Distribution Business_Retail Fin Perform " xfId="62" xr:uid="{00000000-0005-0000-0000-000008000000}"/>
    <cellStyle name="_3GIS model v2.77_Fleet Overhead Costs 2_Retail Fin Perform " xfId="63" xr:uid="{00000000-0005-0000-0000-000009000000}"/>
    <cellStyle name="_3GIS model v2.77_Fleet Overhead Costs_Retail Fin Perform " xfId="64" xr:uid="{00000000-0005-0000-0000-00000A000000}"/>
    <cellStyle name="_3GIS model v2.77_Forecast 2_Retail Fin Perform " xfId="65" xr:uid="{00000000-0005-0000-0000-00000B000000}"/>
    <cellStyle name="_3GIS model v2.77_Forecast_Retail Fin Perform " xfId="66" xr:uid="{00000000-0005-0000-0000-00000C000000}"/>
    <cellStyle name="_3GIS model v2.77_Funding &amp; Cashflow_1_Retail Fin Perform " xfId="67" xr:uid="{00000000-0005-0000-0000-00000D000000}"/>
    <cellStyle name="_3GIS model v2.77_Funding &amp; Cashflow_Retail Fin Perform " xfId="68" xr:uid="{00000000-0005-0000-0000-00000E000000}"/>
    <cellStyle name="_3GIS model v2.77_Group P&amp;L_1_Retail Fin Perform " xfId="69" xr:uid="{00000000-0005-0000-0000-00000F000000}"/>
    <cellStyle name="_3GIS model v2.77_Group P&amp;L_Retail Fin Perform " xfId="70" xr:uid="{00000000-0005-0000-0000-000010000000}"/>
    <cellStyle name="_3GIS model v2.77_Opening  Detailed BS_Retail Fin Perform " xfId="71" xr:uid="{00000000-0005-0000-0000-000011000000}"/>
    <cellStyle name="_3GIS model v2.77_OUTPUT DB_Retail Fin Perform " xfId="72" xr:uid="{00000000-0005-0000-0000-000012000000}"/>
    <cellStyle name="_3GIS model v2.77_OUTPUT EB_Retail Fin Perform " xfId="73" xr:uid="{00000000-0005-0000-0000-000013000000}"/>
    <cellStyle name="_3GIS model v2.77_Report_Retail Fin Perform " xfId="74" xr:uid="{00000000-0005-0000-0000-000014000000}"/>
    <cellStyle name="_3GIS model v2.77_Retail Fin Perform " xfId="75" xr:uid="{00000000-0005-0000-0000-000015000000}"/>
    <cellStyle name="_3GIS model v2.77_Sheet2 2_Retail Fin Perform " xfId="76" xr:uid="{00000000-0005-0000-0000-000016000000}"/>
    <cellStyle name="_3GIS model v2.77_Sheet2_Retail Fin Perform " xfId="77" xr:uid="{00000000-0005-0000-0000-000017000000}"/>
    <cellStyle name="_Capex" xfId="78" xr:uid="{00000000-0005-0000-0000-000018000000}"/>
    <cellStyle name="_Capex 2" xfId="79" xr:uid="{00000000-0005-0000-0000-000019000000}"/>
    <cellStyle name="_Capex_29(d) - Gas extensions -tariffs" xfId="80" xr:uid="{00000000-0005-0000-0000-00001A000000}"/>
    <cellStyle name="_UED AMP 2009-14 Final 250309 Less PU" xfId="81" xr:uid="{00000000-0005-0000-0000-00001B000000}"/>
    <cellStyle name="_UED AMP 2009-14 Final 250309 Less PU_1011 monthly" xfId="82" xr:uid="{00000000-0005-0000-0000-00001C000000}"/>
    <cellStyle name="=C:\WINNT\SYSTEM32\COMMAND.COM" xfId="83" xr:uid="{00000000-0005-0000-0000-00001D000000}"/>
    <cellStyle name="=C:\WINNT\SYSTEM32\COMMAND.COM 2" xfId="84" xr:uid="{00000000-0005-0000-0000-00001E000000}"/>
    <cellStyle name="20% - Accent1 2" xfId="85" xr:uid="{00000000-0005-0000-0000-00001F000000}"/>
    <cellStyle name="20% - Accent1 2 2" xfId="86" xr:uid="{00000000-0005-0000-0000-000020000000}"/>
    <cellStyle name="20% - Accent1 2 3" xfId="87" xr:uid="{00000000-0005-0000-0000-000021000000}"/>
    <cellStyle name="20% - Accent1 3" xfId="88" xr:uid="{00000000-0005-0000-0000-000022000000}"/>
    <cellStyle name="20% - Accent1 3 2" xfId="89" xr:uid="{00000000-0005-0000-0000-000023000000}"/>
    <cellStyle name="20% - Accent2 2" xfId="90" xr:uid="{00000000-0005-0000-0000-000024000000}"/>
    <cellStyle name="20% - Accent2 2 2" xfId="91" xr:uid="{00000000-0005-0000-0000-000025000000}"/>
    <cellStyle name="20% - Accent2 2 3" xfId="92" xr:uid="{00000000-0005-0000-0000-000026000000}"/>
    <cellStyle name="20% - Accent2 3" xfId="93" xr:uid="{00000000-0005-0000-0000-000027000000}"/>
    <cellStyle name="20% - Accent3 2" xfId="94" xr:uid="{00000000-0005-0000-0000-000028000000}"/>
    <cellStyle name="20% - Accent3 2 2" xfId="95" xr:uid="{00000000-0005-0000-0000-000029000000}"/>
    <cellStyle name="20% - Accent3 2 3" xfId="96" xr:uid="{00000000-0005-0000-0000-00002A000000}"/>
    <cellStyle name="20% - Accent3 3" xfId="97" xr:uid="{00000000-0005-0000-0000-00002B000000}"/>
    <cellStyle name="20% - Accent4 2" xfId="98" xr:uid="{00000000-0005-0000-0000-00002C000000}"/>
    <cellStyle name="20% - Accent4 2 2" xfId="99" xr:uid="{00000000-0005-0000-0000-00002D000000}"/>
    <cellStyle name="20% - Accent4 2 3" xfId="100" xr:uid="{00000000-0005-0000-0000-00002E000000}"/>
    <cellStyle name="20% - Accent4 3" xfId="101" xr:uid="{00000000-0005-0000-0000-00002F000000}"/>
    <cellStyle name="20% - Accent5 2" xfId="102" xr:uid="{00000000-0005-0000-0000-000030000000}"/>
    <cellStyle name="20% - Accent5 2 2" xfId="103" xr:uid="{00000000-0005-0000-0000-000031000000}"/>
    <cellStyle name="20% - Accent5 2 3" xfId="104" xr:uid="{00000000-0005-0000-0000-000032000000}"/>
    <cellStyle name="20% - Accent5 3" xfId="105" xr:uid="{00000000-0005-0000-0000-000033000000}"/>
    <cellStyle name="20% - Accent6 2" xfId="106" xr:uid="{00000000-0005-0000-0000-000034000000}"/>
    <cellStyle name="20% - Accent6 2 2" xfId="107" xr:uid="{00000000-0005-0000-0000-000035000000}"/>
    <cellStyle name="20% - Accent6 2 3" xfId="108" xr:uid="{00000000-0005-0000-0000-000036000000}"/>
    <cellStyle name="20% - Accent6 3" xfId="109" xr:uid="{00000000-0005-0000-0000-000037000000}"/>
    <cellStyle name="40% - Accent1 2" xfId="110" xr:uid="{00000000-0005-0000-0000-000038000000}"/>
    <cellStyle name="40% - Accent1 2 2" xfId="111" xr:uid="{00000000-0005-0000-0000-000039000000}"/>
    <cellStyle name="40% - Accent1 2 3" xfId="112" xr:uid="{00000000-0005-0000-0000-00003A000000}"/>
    <cellStyle name="40% - Accent1 3" xfId="113" xr:uid="{00000000-0005-0000-0000-00003B000000}"/>
    <cellStyle name="40% - Accent1 3 2" xfId="114" xr:uid="{00000000-0005-0000-0000-00003C000000}"/>
    <cellStyle name="40% - Accent2 2" xfId="115" xr:uid="{00000000-0005-0000-0000-00003D000000}"/>
    <cellStyle name="40% - Accent2 2 2" xfId="116" xr:uid="{00000000-0005-0000-0000-00003E000000}"/>
    <cellStyle name="40% - Accent2 2 3" xfId="117" xr:uid="{00000000-0005-0000-0000-00003F000000}"/>
    <cellStyle name="40% - Accent2 3" xfId="118" xr:uid="{00000000-0005-0000-0000-000040000000}"/>
    <cellStyle name="40% - Accent3 2" xfId="119" xr:uid="{00000000-0005-0000-0000-000041000000}"/>
    <cellStyle name="40% - Accent3 2 2" xfId="120" xr:uid="{00000000-0005-0000-0000-000042000000}"/>
    <cellStyle name="40% - Accent3 2 3" xfId="121" xr:uid="{00000000-0005-0000-0000-000043000000}"/>
    <cellStyle name="40% - Accent3 3" xfId="122" xr:uid="{00000000-0005-0000-0000-000044000000}"/>
    <cellStyle name="40% - Accent4 2" xfId="123" xr:uid="{00000000-0005-0000-0000-000045000000}"/>
    <cellStyle name="40% - Accent4 2 2" xfId="124" xr:uid="{00000000-0005-0000-0000-000046000000}"/>
    <cellStyle name="40% - Accent4 2 3" xfId="125" xr:uid="{00000000-0005-0000-0000-000047000000}"/>
    <cellStyle name="40% - Accent4 3" xfId="126" xr:uid="{00000000-0005-0000-0000-000048000000}"/>
    <cellStyle name="40% - Accent5 2" xfId="127" xr:uid="{00000000-0005-0000-0000-000049000000}"/>
    <cellStyle name="40% - Accent5 2 2" xfId="128" xr:uid="{00000000-0005-0000-0000-00004A000000}"/>
    <cellStyle name="40% - Accent5 2 3" xfId="129" xr:uid="{00000000-0005-0000-0000-00004B000000}"/>
    <cellStyle name="40% - Accent5 3" xfId="130" xr:uid="{00000000-0005-0000-0000-00004C000000}"/>
    <cellStyle name="40% - Accent6 2" xfId="131" xr:uid="{00000000-0005-0000-0000-00004D000000}"/>
    <cellStyle name="40% - Accent6 2 2" xfId="132" xr:uid="{00000000-0005-0000-0000-00004E000000}"/>
    <cellStyle name="40% - Accent6 2 3" xfId="133" xr:uid="{00000000-0005-0000-0000-00004F000000}"/>
    <cellStyle name="40% - Accent6 3" xfId="134" xr:uid="{00000000-0005-0000-0000-000050000000}"/>
    <cellStyle name="60% - Accent1 2" xfId="135" xr:uid="{00000000-0005-0000-0000-000051000000}"/>
    <cellStyle name="60% - Accent1 2 2" xfId="136" xr:uid="{00000000-0005-0000-0000-000052000000}"/>
    <cellStyle name="60% - Accent1 3" xfId="137" xr:uid="{00000000-0005-0000-0000-000053000000}"/>
    <cellStyle name="60% - Accent2 2" xfId="138" xr:uid="{00000000-0005-0000-0000-000054000000}"/>
    <cellStyle name="60% - Accent2 2 2" xfId="139" xr:uid="{00000000-0005-0000-0000-000055000000}"/>
    <cellStyle name="60% - Accent2 3" xfId="140" xr:uid="{00000000-0005-0000-0000-000056000000}"/>
    <cellStyle name="60% - Accent3 2" xfId="141" xr:uid="{00000000-0005-0000-0000-000057000000}"/>
    <cellStyle name="60% - Accent3 2 2" xfId="142" xr:uid="{00000000-0005-0000-0000-000058000000}"/>
    <cellStyle name="60% - Accent3 3" xfId="143" xr:uid="{00000000-0005-0000-0000-000059000000}"/>
    <cellStyle name="60% - Accent4 2" xfId="144" xr:uid="{00000000-0005-0000-0000-00005A000000}"/>
    <cellStyle name="60% - Accent4 2 2" xfId="145" xr:uid="{00000000-0005-0000-0000-00005B000000}"/>
    <cellStyle name="60% - Accent4 3" xfId="146" xr:uid="{00000000-0005-0000-0000-00005C000000}"/>
    <cellStyle name="60% - Accent5 2" xfId="147" xr:uid="{00000000-0005-0000-0000-00005D000000}"/>
    <cellStyle name="60% - Accent5 2 2" xfId="148" xr:uid="{00000000-0005-0000-0000-00005E000000}"/>
    <cellStyle name="60% - Accent5 3" xfId="149" xr:uid="{00000000-0005-0000-0000-00005F000000}"/>
    <cellStyle name="60% - Accent6 2" xfId="150" xr:uid="{00000000-0005-0000-0000-000060000000}"/>
    <cellStyle name="60% - Accent6 2 2" xfId="151" xr:uid="{00000000-0005-0000-0000-000061000000}"/>
    <cellStyle name="60% - Accent6 3" xfId="152" xr:uid="{00000000-0005-0000-0000-000062000000}"/>
    <cellStyle name="Accent1 - 20%" xfId="153" xr:uid="{00000000-0005-0000-0000-000063000000}"/>
    <cellStyle name="Accent1 - 40%" xfId="154" xr:uid="{00000000-0005-0000-0000-000064000000}"/>
    <cellStyle name="Accent1 - 60%" xfId="155" xr:uid="{00000000-0005-0000-0000-000065000000}"/>
    <cellStyle name="Accent1 2" xfId="156" xr:uid="{00000000-0005-0000-0000-000066000000}"/>
    <cellStyle name="Accent1 2 2" xfId="157" xr:uid="{00000000-0005-0000-0000-000067000000}"/>
    <cellStyle name="Accent1 3" xfId="158" xr:uid="{00000000-0005-0000-0000-000068000000}"/>
    <cellStyle name="Accent1 3 2" xfId="159" xr:uid="{00000000-0005-0000-0000-000069000000}"/>
    <cellStyle name="Accent1 4" xfId="160" xr:uid="{00000000-0005-0000-0000-00006A000000}"/>
    <cellStyle name="Accent1 5" xfId="161" xr:uid="{00000000-0005-0000-0000-00006B000000}"/>
    <cellStyle name="Accent2 - 20%" xfId="162" xr:uid="{00000000-0005-0000-0000-00006C000000}"/>
    <cellStyle name="Accent2 - 40%" xfId="163" xr:uid="{00000000-0005-0000-0000-00006D000000}"/>
    <cellStyle name="Accent2 - 60%" xfId="164" xr:uid="{00000000-0005-0000-0000-00006E000000}"/>
    <cellStyle name="Accent2 2" xfId="165" xr:uid="{00000000-0005-0000-0000-00006F000000}"/>
    <cellStyle name="Accent2 2 2" xfId="166" xr:uid="{00000000-0005-0000-0000-000070000000}"/>
    <cellStyle name="Accent2 3" xfId="167" xr:uid="{00000000-0005-0000-0000-000071000000}"/>
    <cellStyle name="Accent2 3 2" xfId="168" xr:uid="{00000000-0005-0000-0000-000072000000}"/>
    <cellStyle name="Accent2 4" xfId="169" xr:uid="{00000000-0005-0000-0000-000073000000}"/>
    <cellStyle name="Accent2 5" xfId="170" xr:uid="{00000000-0005-0000-0000-000074000000}"/>
    <cellStyle name="Accent3 - 20%" xfId="171" xr:uid="{00000000-0005-0000-0000-000075000000}"/>
    <cellStyle name="Accent3 - 40%" xfId="172" xr:uid="{00000000-0005-0000-0000-000076000000}"/>
    <cellStyle name="Accent3 - 60%" xfId="173" xr:uid="{00000000-0005-0000-0000-000077000000}"/>
    <cellStyle name="Accent3 2" xfId="174" xr:uid="{00000000-0005-0000-0000-000078000000}"/>
    <cellStyle name="Accent3 2 2" xfId="175" xr:uid="{00000000-0005-0000-0000-000079000000}"/>
    <cellStyle name="Accent3 3" xfId="176" xr:uid="{00000000-0005-0000-0000-00007A000000}"/>
    <cellStyle name="Accent3 3 2" xfId="177" xr:uid="{00000000-0005-0000-0000-00007B000000}"/>
    <cellStyle name="Accent3 4" xfId="178" xr:uid="{00000000-0005-0000-0000-00007C000000}"/>
    <cellStyle name="Accent3 5" xfId="179" xr:uid="{00000000-0005-0000-0000-00007D000000}"/>
    <cellStyle name="Accent4 - 20%" xfId="180" xr:uid="{00000000-0005-0000-0000-00007E000000}"/>
    <cellStyle name="Accent4 - 40%" xfId="181" xr:uid="{00000000-0005-0000-0000-00007F000000}"/>
    <cellStyle name="Accent4 - 60%" xfId="182" xr:uid="{00000000-0005-0000-0000-000080000000}"/>
    <cellStyle name="Accent4 2" xfId="183" xr:uid="{00000000-0005-0000-0000-000081000000}"/>
    <cellStyle name="Accent4 2 2" xfId="184" xr:uid="{00000000-0005-0000-0000-000082000000}"/>
    <cellStyle name="Accent4 3" xfId="185" xr:uid="{00000000-0005-0000-0000-000083000000}"/>
    <cellStyle name="Accent4 3 2" xfId="186" xr:uid="{00000000-0005-0000-0000-000084000000}"/>
    <cellStyle name="Accent4 4" xfId="187" xr:uid="{00000000-0005-0000-0000-000085000000}"/>
    <cellStyle name="Accent4 5" xfId="188" xr:uid="{00000000-0005-0000-0000-000086000000}"/>
    <cellStyle name="Accent5 - 20%" xfId="189" xr:uid="{00000000-0005-0000-0000-000087000000}"/>
    <cellStyle name="Accent5 - 40%" xfId="190" xr:uid="{00000000-0005-0000-0000-000088000000}"/>
    <cellStyle name="Accent5 - 60%" xfId="191" xr:uid="{00000000-0005-0000-0000-000089000000}"/>
    <cellStyle name="Accent5 2" xfId="192" xr:uid="{00000000-0005-0000-0000-00008A000000}"/>
    <cellStyle name="Accent5 2 2" xfId="193" xr:uid="{00000000-0005-0000-0000-00008B000000}"/>
    <cellStyle name="Accent5 3" xfId="194" xr:uid="{00000000-0005-0000-0000-00008C000000}"/>
    <cellStyle name="Accent5 3 2" xfId="195" xr:uid="{00000000-0005-0000-0000-00008D000000}"/>
    <cellStyle name="Accent5 4" xfId="196" xr:uid="{00000000-0005-0000-0000-00008E000000}"/>
    <cellStyle name="Accent5 5" xfId="197" xr:uid="{00000000-0005-0000-0000-00008F000000}"/>
    <cellStyle name="Accent6 - 20%" xfId="198" xr:uid="{00000000-0005-0000-0000-000090000000}"/>
    <cellStyle name="Accent6 - 40%" xfId="199" xr:uid="{00000000-0005-0000-0000-000091000000}"/>
    <cellStyle name="Accent6 - 60%" xfId="200" xr:uid="{00000000-0005-0000-0000-000092000000}"/>
    <cellStyle name="Accent6 2" xfId="201" xr:uid="{00000000-0005-0000-0000-000093000000}"/>
    <cellStyle name="Accent6 2 2" xfId="202" xr:uid="{00000000-0005-0000-0000-000094000000}"/>
    <cellStyle name="Accent6 3" xfId="203" xr:uid="{00000000-0005-0000-0000-000095000000}"/>
    <cellStyle name="Accent6 3 2" xfId="204" xr:uid="{00000000-0005-0000-0000-000096000000}"/>
    <cellStyle name="Accent6 4" xfId="205" xr:uid="{00000000-0005-0000-0000-000097000000}"/>
    <cellStyle name="Accent6 5" xfId="206" xr:uid="{00000000-0005-0000-0000-000098000000}"/>
    <cellStyle name="Agara" xfId="207" xr:uid="{00000000-0005-0000-0000-000099000000}"/>
    <cellStyle name="B79812_.wvu.PrintTitlest" xfId="208" xr:uid="{00000000-0005-0000-0000-00009A000000}"/>
    <cellStyle name="Bad" xfId="22" builtinId="27" hidden="1"/>
    <cellStyle name="Bad 2" xfId="209" xr:uid="{00000000-0005-0000-0000-00009C000000}"/>
    <cellStyle name="Bad 2 2" xfId="210" xr:uid="{00000000-0005-0000-0000-00009D000000}"/>
    <cellStyle name="Bad 3" xfId="211" xr:uid="{00000000-0005-0000-0000-00009E000000}"/>
    <cellStyle name="Black" xfId="212" xr:uid="{00000000-0005-0000-0000-00009F000000}"/>
    <cellStyle name="Blockout" xfId="213" xr:uid="{00000000-0005-0000-0000-0000A0000000}"/>
    <cellStyle name="Blockout 2" xfId="214" xr:uid="{00000000-0005-0000-0000-0000A1000000}"/>
    <cellStyle name="Blockout 3" xfId="215" xr:uid="{00000000-0005-0000-0000-0000A2000000}"/>
    <cellStyle name="Blue" xfId="216" xr:uid="{00000000-0005-0000-0000-0000A3000000}"/>
    <cellStyle name="border" xfId="217" xr:uid="{00000000-0005-0000-0000-0000A4000000}"/>
    <cellStyle name="Calculation" xfId="26" builtinId="22" hidden="1"/>
    <cellStyle name="Calculation 2" xfId="218" xr:uid="{00000000-0005-0000-0000-0000A6000000}"/>
    <cellStyle name="Calculation 2 2" xfId="219" xr:uid="{00000000-0005-0000-0000-0000A7000000}"/>
    <cellStyle name="Calculation 2 2 2" xfId="220" xr:uid="{00000000-0005-0000-0000-0000A8000000}"/>
    <cellStyle name="Calculation 2 3" xfId="221" xr:uid="{00000000-0005-0000-0000-0000A9000000}"/>
    <cellStyle name="Calculation 2 3 2" xfId="222" xr:uid="{00000000-0005-0000-0000-0000AA000000}"/>
    <cellStyle name="Calculation 2 4" xfId="223" xr:uid="{00000000-0005-0000-0000-0000AB000000}"/>
    <cellStyle name="Calculation 2 5" xfId="224" xr:uid="{00000000-0005-0000-0000-0000AC000000}"/>
    <cellStyle name="Calculation 3" xfId="225" xr:uid="{00000000-0005-0000-0000-0000AD000000}"/>
    <cellStyle name="Check Cell" xfId="28" builtinId="23" hidden="1"/>
    <cellStyle name="Check Cell 2" xfId="226" xr:uid="{00000000-0005-0000-0000-0000AF000000}"/>
    <cellStyle name="Check Cell 2 2" xfId="227" xr:uid="{00000000-0005-0000-0000-0000B0000000}"/>
    <cellStyle name="Check Cell 2 2 2 2" xfId="228" xr:uid="{00000000-0005-0000-0000-0000B1000000}"/>
    <cellStyle name="Check Cell 3" xfId="229" xr:uid="{00000000-0005-0000-0000-0000B2000000}"/>
    <cellStyle name="Comma" xfId="47" builtinId="3"/>
    <cellStyle name="Comma [0]7Z_87C" xfId="230" xr:uid="{00000000-0005-0000-0000-0000B4000000}"/>
    <cellStyle name="Comma 0" xfId="231" xr:uid="{00000000-0005-0000-0000-0000B5000000}"/>
    <cellStyle name="Comma 1" xfId="232" xr:uid="{00000000-0005-0000-0000-0000B6000000}"/>
    <cellStyle name="Comma 1 2" xfId="233" xr:uid="{00000000-0005-0000-0000-0000B7000000}"/>
    <cellStyle name="Comma 10" xfId="234" xr:uid="{00000000-0005-0000-0000-0000B8000000}"/>
    <cellStyle name="Comma 11" xfId="235" xr:uid="{00000000-0005-0000-0000-0000B9000000}"/>
    <cellStyle name="Comma 12" xfId="236" xr:uid="{00000000-0005-0000-0000-0000BA000000}"/>
    <cellStyle name="Comma 13" xfId="237" xr:uid="{00000000-0005-0000-0000-0000BB000000}"/>
    <cellStyle name="Comma 14" xfId="238" xr:uid="{00000000-0005-0000-0000-0000BC000000}"/>
    <cellStyle name="Comma 2" xfId="50" xr:uid="{00000000-0005-0000-0000-0000BD000000}"/>
    <cellStyle name="Comma 2 2" xfId="239" xr:uid="{00000000-0005-0000-0000-0000BE000000}"/>
    <cellStyle name="Comma 2 2 2" xfId="240" xr:uid="{00000000-0005-0000-0000-0000BF000000}"/>
    <cellStyle name="Comma 2 2 2 2" xfId="241" xr:uid="{00000000-0005-0000-0000-0000C0000000}"/>
    <cellStyle name="Comma 2 2 3" xfId="242" xr:uid="{00000000-0005-0000-0000-0000C1000000}"/>
    <cellStyle name="Comma 2 2 4" xfId="243" xr:uid="{00000000-0005-0000-0000-0000C2000000}"/>
    <cellStyle name="Comma 2 3" xfId="244" xr:uid="{00000000-0005-0000-0000-0000C3000000}"/>
    <cellStyle name="Comma 2 3 2" xfId="245" xr:uid="{00000000-0005-0000-0000-0000C4000000}"/>
    <cellStyle name="Comma 2 3 3" xfId="246" xr:uid="{00000000-0005-0000-0000-0000C5000000}"/>
    <cellStyle name="Comma 2 4" xfId="247" xr:uid="{00000000-0005-0000-0000-0000C6000000}"/>
    <cellStyle name="Comma 2 5" xfId="248" xr:uid="{00000000-0005-0000-0000-0000C7000000}"/>
    <cellStyle name="Comma 2 6" xfId="249" xr:uid="{00000000-0005-0000-0000-0000C8000000}"/>
    <cellStyle name="Comma 3" xfId="250" xr:uid="{00000000-0005-0000-0000-0000C9000000}"/>
    <cellStyle name="Comma 3 2" xfId="251" xr:uid="{00000000-0005-0000-0000-0000CA000000}"/>
    <cellStyle name="Comma 3 2 2" xfId="252" xr:uid="{00000000-0005-0000-0000-0000CB000000}"/>
    <cellStyle name="Comma 3 2 3" xfId="253" xr:uid="{00000000-0005-0000-0000-0000CC000000}"/>
    <cellStyle name="Comma 3 3" xfId="254" xr:uid="{00000000-0005-0000-0000-0000CD000000}"/>
    <cellStyle name="Comma 3 3 2" xfId="255" xr:uid="{00000000-0005-0000-0000-0000CE000000}"/>
    <cellStyle name="Comma 3 3 2 2" xfId="256" xr:uid="{00000000-0005-0000-0000-0000CF000000}"/>
    <cellStyle name="Comma 3 3 3" xfId="257" xr:uid="{00000000-0005-0000-0000-0000D0000000}"/>
    <cellStyle name="Comma 3 4" xfId="258" xr:uid="{00000000-0005-0000-0000-0000D1000000}"/>
    <cellStyle name="Comma 3 5" xfId="259" xr:uid="{00000000-0005-0000-0000-0000D2000000}"/>
    <cellStyle name="Comma 3 6" xfId="260" xr:uid="{00000000-0005-0000-0000-0000D3000000}"/>
    <cellStyle name="Comma 3 7" xfId="261" xr:uid="{00000000-0005-0000-0000-0000D4000000}"/>
    <cellStyle name="Comma 4" xfId="262" xr:uid="{00000000-0005-0000-0000-0000D5000000}"/>
    <cellStyle name="Comma 4 2" xfId="263" xr:uid="{00000000-0005-0000-0000-0000D6000000}"/>
    <cellStyle name="Comma 4 2 2" xfId="264" xr:uid="{00000000-0005-0000-0000-0000D7000000}"/>
    <cellStyle name="Comma 4 3" xfId="265" xr:uid="{00000000-0005-0000-0000-0000D8000000}"/>
    <cellStyle name="Comma 5" xfId="266" xr:uid="{00000000-0005-0000-0000-0000D9000000}"/>
    <cellStyle name="Comma 5 2" xfId="267" xr:uid="{00000000-0005-0000-0000-0000DA000000}"/>
    <cellStyle name="Comma 6" xfId="268" xr:uid="{00000000-0005-0000-0000-0000DB000000}"/>
    <cellStyle name="Comma 6 2" xfId="269" xr:uid="{00000000-0005-0000-0000-0000DC000000}"/>
    <cellStyle name="Comma 7" xfId="270" xr:uid="{00000000-0005-0000-0000-0000DD000000}"/>
    <cellStyle name="Comma 7 2" xfId="271" xr:uid="{00000000-0005-0000-0000-0000DE000000}"/>
    <cellStyle name="Comma 8" xfId="272" xr:uid="{00000000-0005-0000-0000-0000DF000000}"/>
    <cellStyle name="Comma 9" xfId="273" xr:uid="{00000000-0005-0000-0000-0000E0000000}"/>
    <cellStyle name="Comma 9 2" xfId="274" xr:uid="{00000000-0005-0000-0000-0000E1000000}"/>
    <cellStyle name="Comma 9 3" xfId="275" xr:uid="{00000000-0005-0000-0000-0000E2000000}"/>
    <cellStyle name="Comma0" xfId="276" xr:uid="{00000000-0005-0000-0000-0000E3000000}"/>
    <cellStyle name="Currency" xfId="1" builtinId="4" hidden="1" customBuiltin="1"/>
    <cellStyle name="Currency" xfId="39" xr:uid="{00000000-0005-0000-0000-0000E5000000}"/>
    <cellStyle name="Currency 11" xfId="277" xr:uid="{00000000-0005-0000-0000-0000E6000000}"/>
    <cellStyle name="Currency 11 2" xfId="278" xr:uid="{00000000-0005-0000-0000-0000E7000000}"/>
    <cellStyle name="Currency 2" xfId="53" xr:uid="{00000000-0005-0000-0000-0000E8000000}"/>
    <cellStyle name="Currency 2 2" xfId="279" xr:uid="{00000000-0005-0000-0000-0000E9000000}"/>
    <cellStyle name="Currency 2 2 2" xfId="280" xr:uid="{00000000-0005-0000-0000-0000EA000000}"/>
    <cellStyle name="Currency 2 3" xfId="281" xr:uid="{00000000-0005-0000-0000-0000EB000000}"/>
    <cellStyle name="Currency 3" xfId="282" xr:uid="{00000000-0005-0000-0000-0000EC000000}"/>
    <cellStyle name="Currency 3 2" xfId="283" xr:uid="{00000000-0005-0000-0000-0000ED000000}"/>
    <cellStyle name="Currency 4" xfId="284" xr:uid="{00000000-0005-0000-0000-0000EE000000}"/>
    <cellStyle name="Currency 4 2" xfId="285" xr:uid="{00000000-0005-0000-0000-0000EF000000}"/>
    <cellStyle name="Currency 5" xfId="286" xr:uid="{00000000-0005-0000-0000-0000F0000000}"/>
    <cellStyle name="Currency 6" xfId="287" xr:uid="{00000000-0005-0000-0000-0000F1000000}"/>
    <cellStyle name="Currency 6 2" xfId="288" xr:uid="{00000000-0005-0000-0000-0000F2000000}"/>
    <cellStyle name="Currency 6 3" xfId="289" xr:uid="{00000000-0005-0000-0000-0000F3000000}"/>
    <cellStyle name="Currency 7" xfId="290" xr:uid="{00000000-0005-0000-0000-0000F4000000}"/>
    <cellStyle name="Currency Assumptions" xfId="19" xr:uid="{00000000-0005-0000-0000-0000F5000000}"/>
    <cellStyle name="Currency Input" xfId="42" xr:uid="{00000000-0005-0000-0000-0000F6000000}"/>
    <cellStyle name="D4_B8B1_005004B79812_.wvu.PrintTitlest" xfId="291" xr:uid="{00000000-0005-0000-0000-0000F7000000}"/>
    <cellStyle name="Date" xfId="11" xr:uid="{00000000-0005-0000-0000-0000F8000000}"/>
    <cellStyle name="Date 2" xfId="292" xr:uid="{00000000-0005-0000-0000-0000F9000000}"/>
    <cellStyle name="Date Assumptions" xfId="12" xr:uid="{00000000-0005-0000-0000-0000FA000000}"/>
    <cellStyle name="Date Input" xfId="41" xr:uid="{00000000-0005-0000-0000-0000FB000000}"/>
    <cellStyle name="dms_Blue_HDR" xfId="293" xr:uid="{00000000-0005-0000-0000-0000FC000000}"/>
    <cellStyle name="Emphasis 1" xfId="294" xr:uid="{00000000-0005-0000-0000-0000FD000000}"/>
    <cellStyle name="Emphasis 2" xfId="295" xr:uid="{00000000-0005-0000-0000-0000FE000000}"/>
    <cellStyle name="Emphasis 3" xfId="296" xr:uid="{00000000-0005-0000-0000-0000FF000000}"/>
    <cellStyle name="Euro" xfId="297" xr:uid="{00000000-0005-0000-0000-000000010000}"/>
    <cellStyle name="Explanatory Text" xfId="31" builtinId="53" hidden="1"/>
    <cellStyle name="Explanatory Text 2" xfId="298" xr:uid="{00000000-0005-0000-0000-000002010000}"/>
    <cellStyle name="Explanatory Text 2 2" xfId="299" xr:uid="{00000000-0005-0000-0000-000003010000}"/>
    <cellStyle name="Explanatory Text 3" xfId="300" xr:uid="{00000000-0005-0000-0000-000004010000}"/>
    <cellStyle name="Fixed" xfId="301" xr:uid="{00000000-0005-0000-0000-000005010000}"/>
    <cellStyle name="Fixed 2" xfId="302" xr:uid="{00000000-0005-0000-0000-000006010000}"/>
    <cellStyle name="Gilsans" xfId="303" xr:uid="{00000000-0005-0000-0000-000007010000}"/>
    <cellStyle name="Gilsansl" xfId="304" xr:uid="{00000000-0005-0000-0000-000008010000}"/>
    <cellStyle name="Good" xfId="21" builtinId="26" hidden="1"/>
    <cellStyle name="Good 2" xfId="305" xr:uid="{00000000-0005-0000-0000-00000A010000}"/>
    <cellStyle name="Good 2 2" xfId="306" xr:uid="{00000000-0005-0000-0000-00000B010000}"/>
    <cellStyle name="Good 3" xfId="307" xr:uid="{00000000-0005-0000-0000-00000C010000}"/>
    <cellStyle name="GreyOrWhite" xfId="308" xr:uid="{00000000-0005-0000-0000-00000D010000}"/>
    <cellStyle name="Heading 1" xfId="3" builtinId="16" customBuiltin="1"/>
    <cellStyle name="Heading 1 2" xfId="309" xr:uid="{00000000-0005-0000-0000-00000F010000}"/>
    <cellStyle name="Heading 1 2 2" xfId="310" xr:uid="{00000000-0005-0000-0000-000010010000}"/>
    <cellStyle name="Heading 1 2 3" xfId="311" xr:uid="{00000000-0005-0000-0000-000011010000}"/>
    <cellStyle name="Heading 1 3" xfId="312" xr:uid="{00000000-0005-0000-0000-000012010000}"/>
    <cellStyle name="Heading 1 3 2" xfId="313" xr:uid="{00000000-0005-0000-0000-000013010000}"/>
    <cellStyle name="Heading 1 4" xfId="820" xr:uid="{00000000-0005-0000-0000-000014010000}"/>
    <cellStyle name="Heading 2" xfId="4" builtinId="17" hidden="1" customBuiltin="1"/>
    <cellStyle name="Heading 2" xfId="38" xr:uid="{00000000-0005-0000-0000-000016010000}"/>
    <cellStyle name="Heading 2 2" xfId="314" xr:uid="{00000000-0005-0000-0000-000017010000}"/>
    <cellStyle name="Heading 2 2 2" xfId="315" xr:uid="{00000000-0005-0000-0000-000018010000}"/>
    <cellStyle name="Heading 2 2 3" xfId="316" xr:uid="{00000000-0005-0000-0000-000019010000}"/>
    <cellStyle name="Heading 2 3" xfId="317" xr:uid="{00000000-0005-0000-0000-00001A010000}"/>
    <cellStyle name="Heading 2 3 2" xfId="318" xr:uid="{00000000-0005-0000-0000-00001B010000}"/>
    <cellStyle name="Heading 2 Input" xfId="821" xr:uid="{00000000-0005-0000-0000-00001C010000}"/>
    <cellStyle name="Heading 3" xfId="5" builtinId="18" hidden="1" customBuiltin="1"/>
    <cellStyle name="Heading 3 2" xfId="319" xr:uid="{00000000-0005-0000-0000-00001E010000}"/>
    <cellStyle name="Heading 3 2 2" xfId="320" xr:uid="{00000000-0005-0000-0000-00001F010000}"/>
    <cellStyle name="Heading 3 2 2 2" xfId="321" xr:uid="{00000000-0005-0000-0000-000020010000}"/>
    <cellStyle name="Heading 3 2 2 2 2" xfId="322" xr:uid="{00000000-0005-0000-0000-000021010000}"/>
    <cellStyle name="Heading 3 2 2 2 2 2" xfId="323" xr:uid="{00000000-0005-0000-0000-000022010000}"/>
    <cellStyle name="Heading 3 2 2 2 2 3" xfId="324" xr:uid="{00000000-0005-0000-0000-000023010000}"/>
    <cellStyle name="Heading 3 2 2 2 2 4" xfId="325" xr:uid="{00000000-0005-0000-0000-000024010000}"/>
    <cellStyle name="Heading 3 2 2 2 3" xfId="326" xr:uid="{00000000-0005-0000-0000-000025010000}"/>
    <cellStyle name="Heading 3 2 2 2 4" xfId="327" xr:uid="{00000000-0005-0000-0000-000026010000}"/>
    <cellStyle name="Heading 3 2 2 2 5" xfId="328" xr:uid="{00000000-0005-0000-0000-000027010000}"/>
    <cellStyle name="Heading 3 2 2 3" xfId="329" xr:uid="{00000000-0005-0000-0000-000028010000}"/>
    <cellStyle name="Heading 3 2 2 3 2" xfId="330" xr:uid="{00000000-0005-0000-0000-000029010000}"/>
    <cellStyle name="Heading 3 2 2 3 2 2" xfId="331" xr:uid="{00000000-0005-0000-0000-00002A010000}"/>
    <cellStyle name="Heading 3 2 2 3 2 3" xfId="332" xr:uid="{00000000-0005-0000-0000-00002B010000}"/>
    <cellStyle name="Heading 3 2 2 3 2 4" xfId="333" xr:uid="{00000000-0005-0000-0000-00002C010000}"/>
    <cellStyle name="Heading 3 2 2 3 3" xfId="334" xr:uid="{00000000-0005-0000-0000-00002D010000}"/>
    <cellStyle name="Heading 3 2 2 3 4" xfId="335" xr:uid="{00000000-0005-0000-0000-00002E010000}"/>
    <cellStyle name="Heading 3 2 2 3 5" xfId="336" xr:uid="{00000000-0005-0000-0000-00002F010000}"/>
    <cellStyle name="Heading 3 2 2 4" xfId="337" xr:uid="{00000000-0005-0000-0000-000030010000}"/>
    <cellStyle name="Heading 3 2 2 4 2" xfId="338" xr:uid="{00000000-0005-0000-0000-000031010000}"/>
    <cellStyle name="Heading 3 2 2 4 3" xfId="339" xr:uid="{00000000-0005-0000-0000-000032010000}"/>
    <cellStyle name="Heading 3 2 2 4 4" xfId="340" xr:uid="{00000000-0005-0000-0000-000033010000}"/>
    <cellStyle name="Heading 3 2 2 5" xfId="341" xr:uid="{00000000-0005-0000-0000-000034010000}"/>
    <cellStyle name="Heading 3 2 2 5 2" xfId="342" xr:uid="{00000000-0005-0000-0000-000035010000}"/>
    <cellStyle name="Heading 3 2 2 5 3" xfId="343" xr:uid="{00000000-0005-0000-0000-000036010000}"/>
    <cellStyle name="Heading 3 2 3" xfId="344" xr:uid="{00000000-0005-0000-0000-000037010000}"/>
    <cellStyle name="Heading 3 2 4" xfId="345" xr:uid="{00000000-0005-0000-0000-000038010000}"/>
    <cellStyle name="Heading 3 2 4 2" xfId="346" xr:uid="{00000000-0005-0000-0000-000039010000}"/>
    <cellStyle name="Heading 3 2 4 2 2" xfId="347" xr:uid="{00000000-0005-0000-0000-00003A010000}"/>
    <cellStyle name="Heading 3 2 4 2 3" xfId="348" xr:uid="{00000000-0005-0000-0000-00003B010000}"/>
    <cellStyle name="Heading 3 2 4 2 4" xfId="349" xr:uid="{00000000-0005-0000-0000-00003C010000}"/>
    <cellStyle name="Heading 3 2 4 3" xfId="350" xr:uid="{00000000-0005-0000-0000-00003D010000}"/>
    <cellStyle name="Heading 3 2 4 4" xfId="351" xr:uid="{00000000-0005-0000-0000-00003E010000}"/>
    <cellStyle name="Heading 3 2 4 5" xfId="352" xr:uid="{00000000-0005-0000-0000-00003F010000}"/>
    <cellStyle name="Heading 3 2 5" xfId="353" xr:uid="{00000000-0005-0000-0000-000040010000}"/>
    <cellStyle name="Heading 3 2 5 2" xfId="354" xr:uid="{00000000-0005-0000-0000-000041010000}"/>
    <cellStyle name="Heading 3 2 5 2 2" xfId="355" xr:uid="{00000000-0005-0000-0000-000042010000}"/>
    <cellStyle name="Heading 3 2 5 2 3" xfId="356" xr:uid="{00000000-0005-0000-0000-000043010000}"/>
    <cellStyle name="Heading 3 2 5 2 4" xfId="357" xr:uid="{00000000-0005-0000-0000-000044010000}"/>
    <cellStyle name="Heading 3 2 5 3" xfId="358" xr:uid="{00000000-0005-0000-0000-000045010000}"/>
    <cellStyle name="Heading 3 2 5 4" xfId="359" xr:uid="{00000000-0005-0000-0000-000046010000}"/>
    <cellStyle name="Heading 3 2 5 5" xfId="360" xr:uid="{00000000-0005-0000-0000-000047010000}"/>
    <cellStyle name="Heading 3 2 6" xfId="361" xr:uid="{00000000-0005-0000-0000-000048010000}"/>
    <cellStyle name="Heading 3 2 6 2" xfId="362" xr:uid="{00000000-0005-0000-0000-000049010000}"/>
    <cellStyle name="Heading 3 2 6 3" xfId="363" xr:uid="{00000000-0005-0000-0000-00004A010000}"/>
    <cellStyle name="Heading 3 2 6 4" xfId="364" xr:uid="{00000000-0005-0000-0000-00004B010000}"/>
    <cellStyle name="Heading 3 2 7" xfId="365" xr:uid="{00000000-0005-0000-0000-00004C010000}"/>
    <cellStyle name="Heading 3 2 7 2" xfId="366" xr:uid="{00000000-0005-0000-0000-00004D010000}"/>
    <cellStyle name="Heading 3 2 7 3" xfId="367" xr:uid="{00000000-0005-0000-0000-00004E010000}"/>
    <cellStyle name="Heading 3 2 8" xfId="368" xr:uid="{00000000-0005-0000-0000-00004F010000}"/>
    <cellStyle name="Heading 3 3" xfId="369" xr:uid="{00000000-0005-0000-0000-000050010000}"/>
    <cellStyle name="Heading 3 3 2" xfId="370" xr:uid="{00000000-0005-0000-0000-000051010000}"/>
    <cellStyle name="Heading 3 Input" xfId="34" xr:uid="{00000000-0005-0000-0000-000052010000}"/>
    <cellStyle name="Heading 3 Output" xfId="35" xr:uid="{00000000-0005-0000-0000-000053010000}"/>
    <cellStyle name="Heading 4" xfId="6" builtinId="19" hidden="1" customBuiltin="1"/>
    <cellStyle name="Heading 4 2" xfId="371" xr:uid="{00000000-0005-0000-0000-000055010000}"/>
    <cellStyle name="Heading 4 2 2" xfId="372" xr:uid="{00000000-0005-0000-0000-000056010000}"/>
    <cellStyle name="Heading 4 2 3" xfId="373" xr:uid="{00000000-0005-0000-0000-000057010000}"/>
    <cellStyle name="Heading 4 3" xfId="374" xr:uid="{00000000-0005-0000-0000-000058010000}"/>
    <cellStyle name="Heading 4 3 2" xfId="375" xr:uid="{00000000-0005-0000-0000-000059010000}"/>
    <cellStyle name="Heading 4 Assumptions" xfId="8" xr:uid="{00000000-0005-0000-0000-00005A010000}"/>
    <cellStyle name="Heading 4 Input" xfId="36" xr:uid="{00000000-0005-0000-0000-00005B010000}"/>
    <cellStyle name="Heading 4 Input 2" xfId="819" xr:uid="{00000000-0005-0000-0000-00005C010000}"/>
    <cellStyle name="Heading 4 Output" xfId="37" xr:uid="{00000000-0005-0000-0000-00005D010000}"/>
    <cellStyle name="Heading 4 Output 2" xfId="817" xr:uid="{00000000-0005-0000-0000-00005E010000}"/>
    <cellStyle name="Heading(4)" xfId="376" xr:uid="{00000000-0005-0000-0000-00005F010000}"/>
    <cellStyle name="Hyperlink" xfId="32" builtinId="8" customBuiltin="1"/>
    <cellStyle name="Hyperlink 2" xfId="377" xr:uid="{00000000-0005-0000-0000-000061010000}"/>
    <cellStyle name="Hyperlink 2 2" xfId="378" xr:uid="{00000000-0005-0000-0000-000062010000}"/>
    <cellStyle name="Hyperlink 2 3" xfId="379" xr:uid="{00000000-0005-0000-0000-000063010000}"/>
    <cellStyle name="Hyperlink 3" xfId="380" xr:uid="{00000000-0005-0000-0000-000064010000}"/>
    <cellStyle name="Hyperlink 4" xfId="381" xr:uid="{00000000-0005-0000-0000-000065010000}"/>
    <cellStyle name="Hyperlink 5" xfId="818" xr:uid="{00000000-0005-0000-0000-000066010000}"/>
    <cellStyle name="Hyperlink Arrow" xfId="382" xr:uid="{00000000-0005-0000-0000-000067010000}"/>
    <cellStyle name="Hyperlink Text" xfId="383" xr:uid="{00000000-0005-0000-0000-000068010000}"/>
    <cellStyle name="import" xfId="384" xr:uid="{00000000-0005-0000-0000-000069010000}"/>
    <cellStyle name="import%" xfId="385" xr:uid="{00000000-0005-0000-0000-00006A010000}"/>
    <cellStyle name="import_ICRC Electricity model 1-1  (1 Feb 2003) " xfId="386" xr:uid="{00000000-0005-0000-0000-00006B010000}"/>
    <cellStyle name="Input" xfId="24" builtinId="20" hidden="1"/>
    <cellStyle name="Input 2" xfId="387" xr:uid="{00000000-0005-0000-0000-00006D010000}"/>
    <cellStyle name="Input 2 2" xfId="388" xr:uid="{00000000-0005-0000-0000-00006E010000}"/>
    <cellStyle name="Input 2 2 2" xfId="389" xr:uid="{00000000-0005-0000-0000-00006F010000}"/>
    <cellStyle name="Input 2 3" xfId="390" xr:uid="{00000000-0005-0000-0000-000070010000}"/>
    <cellStyle name="Input 2 3 2" xfId="391" xr:uid="{00000000-0005-0000-0000-000071010000}"/>
    <cellStyle name="Input 2 4" xfId="392" xr:uid="{00000000-0005-0000-0000-000072010000}"/>
    <cellStyle name="Input 2 5" xfId="393" xr:uid="{00000000-0005-0000-0000-000073010000}"/>
    <cellStyle name="Input 3" xfId="394" xr:uid="{00000000-0005-0000-0000-000074010000}"/>
    <cellStyle name="Input1" xfId="395" xr:uid="{00000000-0005-0000-0000-000075010000}"/>
    <cellStyle name="Input1 2" xfId="396" xr:uid="{00000000-0005-0000-0000-000076010000}"/>
    <cellStyle name="Input1 2 2" xfId="397" xr:uid="{00000000-0005-0000-0000-000077010000}"/>
    <cellStyle name="Input1 3" xfId="398" xr:uid="{00000000-0005-0000-0000-000078010000}"/>
    <cellStyle name="Input1 3 2" xfId="399" xr:uid="{00000000-0005-0000-0000-000079010000}"/>
    <cellStyle name="Input1 4" xfId="400" xr:uid="{00000000-0005-0000-0000-00007A010000}"/>
    <cellStyle name="Input1 5" xfId="401" xr:uid="{00000000-0005-0000-0000-00007B010000}"/>
    <cellStyle name="Input1%" xfId="402" xr:uid="{00000000-0005-0000-0000-00007C010000}"/>
    <cellStyle name="Input1_ICRC Electricity model 1-1  (1 Feb 2003) " xfId="403" xr:uid="{00000000-0005-0000-0000-00007D010000}"/>
    <cellStyle name="Input1default" xfId="404" xr:uid="{00000000-0005-0000-0000-00007E010000}"/>
    <cellStyle name="Input1default%" xfId="405" xr:uid="{00000000-0005-0000-0000-00007F010000}"/>
    <cellStyle name="Input2" xfId="406" xr:uid="{00000000-0005-0000-0000-000080010000}"/>
    <cellStyle name="Input2 2" xfId="407" xr:uid="{00000000-0005-0000-0000-000081010000}"/>
    <cellStyle name="Input2 3" xfId="408" xr:uid="{00000000-0005-0000-0000-000082010000}"/>
    <cellStyle name="Input3" xfId="409" xr:uid="{00000000-0005-0000-0000-000083010000}"/>
    <cellStyle name="Input3 2" xfId="410" xr:uid="{00000000-0005-0000-0000-000084010000}"/>
    <cellStyle name="Input3 3" xfId="411" xr:uid="{00000000-0005-0000-0000-000085010000}"/>
    <cellStyle name="InputCell" xfId="412" xr:uid="{00000000-0005-0000-0000-000086010000}"/>
    <cellStyle name="InputCell 2" xfId="413" xr:uid="{00000000-0005-0000-0000-000087010000}"/>
    <cellStyle name="InputCell 3" xfId="414" xr:uid="{00000000-0005-0000-0000-000088010000}"/>
    <cellStyle name="InputCellText" xfId="415" xr:uid="{00000000-0005-0000-0000-000089010000}"/>
    <cellStyle name="InputCellText 2" xfId="416" xr:uid="{00000000-0005-0000-0000-00008A010000}"/>
    <cellStyle name="InputCellText 3" xfId="417" xr:uid="{00000000-0005-0000-0000-00008B010000}"/>
    <cellStyle name="key result" xfId="418" xr:uid="{00000000-0005-0000-0000-00008C010000}"/>
    <cellStyle name="Lines" xfId="419" xr:uid="{00000000-0005-0000-0000-00008D010000}"/>
    <cellStyle name="Linked Cell" xfId="27" builtinId="24" hidden="1"/>
    <cellStyle name="Linked Cell 2" xfId="420" xr:uid="{00000000-0005-0000-0000-00008F010000}"/>
    <cellStyle name="Linked Cell 2 2" xfId="421" xr:uid="{00000000-0005-0000-0000-000090010000}"/>
    <cellStyle name="Linked Cell 3" xfId="422" xr:uid="{00000000-0005-0000-0000-000091010000}"/>
    <cellStyle name="Local import" xfId="423" xr:uid="{00000000-0005-0000-0000-000092010000}"/>
    <cellStyle name="Local import %" xfId="424" xr:uid="{00000000-0005-0000-0000-000093010000}"/>
    <cellStyle name="Mine" xfId="425" xr:uid="{00000000-0005-0000-0000-000094010000}"/>
    <cellStyle name="Model Name" xfId="426" xr:uid="{00000000-0005-0000-0000-000095010000}"/>
    <cellStyle name="Multiple" xfId="17" xr:uid="{00000000-0005-0000-0000-000096010000}"/>
    <cellStyle name="Multiple Assumptions" xfId="18" xr:uid="{00000000-0005-0000-0000-000097010000}"/>
    <cellStyle name="Multiple Input" xfId="43" xr:uid="{00000000-0005-0000-0000-000098010000}"/>
    <cellStyle name="Neutral" xfId="23" builtinId="28" hidden="1"/>
    <cellStyle name="Neutral 2" xfId="427" xr:uid="{00000000-0005-0000-0000-00009A010000}"/>
    <cellStyle name="Neutral 2 2" xfId="428" xr:uid="{00000000-0005-0000-0000-00009B010000}"/>
    <cellStyle name="Neutral 3" xfId="429" xr:uid="{00000000-0005-0000-0000-00009C010000}"/>
    <cellStyle name="NonInputCell" xfId="430" xr:uid="{00000000-0005-0000-0000-00009D010000}"/>
    <cellStyle name="NonInputCell 2" xfId="431" xr:uid="{00000000-0005-0000-0000-00009E010000}"/>
    <cellStyle name="NonInputCell 3" xfId="432" xr:uid="{00000000-0005-0000-0000-00009F010000}"/>
    <cellStyle name="Normal" xfId="0" builtinId="0" customBuiltin="1"/>
    <cellStyle name="Normal - Style1" xfId="433" xr:uid="{00000000-0005-0000-0000-0000A1010000}"/>
    <cellStyle name="Normal - Style1 2" xfId="434" xr:uid="{00000000-0005-0000-0000-0000A2010000}"/>
    <cellStyle name="Normal 10" xfId="435" xr:uid="{00000000-0005-0000-0000-0000A3010000}"/>
    <cellStyle name="Normal 10 2" xfId="436" xr:uid="{00000000-0005-0000-0000-0000A4010000}"/>
    <cellStyle name="Normal 10 2 2" xfId="437" xr:uid="{00000000-0005-0000-0000-0000A5010000}"/>
    <cellStyle name="Normal 10 2 2 2" xfId="438" xr:uid="{00000000-0005-0000-0000-0000A6010000}"/>
    <cellStyle name="Normal 10 3" xfId="439" xr:uid="{00000000-0005-0000-0000-0000A7010000}"/>
    <cellStyle name="Normal 11" xfId="440" xr:uid="{00000000-0005-0000-0000-0000A8010000}"/>
    <cellStyle name="Normal 11 2" xfId="441" xr:uid="{00000000-0005-0000-0000-0000A9010000}"/>
    <cellStyle name="Normal 11 3" xfId="442" xr:uid="{00000000-0005-0000-0000-0000AA010000}"/>
    <cellStyle name="Normal 11 4" xfId="443" xr:uid="{00000000-0005-0000-0000-0000AB010000}"/>
    <cellStyle name="Normal 11 5" xfId="444" xr:uid="{00000000-0005-0000-0000-0000AC010000}"/>
    <cellStyle name="Normal 114" xfId="445" xr:uid="{00000000-0005-0000-0000-0000AD010000}"/>
    <cellStyle name="Normal 114 2" xfId="446" xr:uid="{00000000-0005-0000-0000-0000AE010000}"/>
    <cellStyle name="Normal 12" xfId="447" xr:uid="{00000000-0005-0000-0000-0000AF010000}"/>
    <cellStyle name="Normal 12 2" xfId="448" xr:uid="{00000000-0005-0000-0000-0000B0010000}"/>
    <cellStyle name="Normal 12 3" xfId="449" xr:uid="{00000000-0005-0000-0000-0000B1010000}"/>
    <cellStyle name="Normal 13" xfId="450" xr:uid="{00000000-0005-0000-0000-0000B2010000}"/>
    <cellStyle name="Normal 13 2" xfId="451" xr:uid="{00000000-0005-0000-0000-0000B3010000}"/>
    <cellStyle name="Normal 13 3" xfId="452" xr:uid="{00000000-0005-0000-0000-0000B4010000}"/>
    <cellStyle name="Normal 13_29(d) - Gas extensions -tariffs" xfId="453" xr:uid="{00000000-0005-0000-0000-0000B5010000}"/>
    <cellStyle name="Normal 14" xfId="454" xr:uid="{00000000-0005-0000-0000-0000B6010000}"/>
    <cellStyle name="Normal 14 2" xfId="455" xr:uid="{00000000-0005-0000-0000-0000B7010000}"/>
    <cellStyle name="Normal 14 3" xfId="456" xr:uid="{00000000-0005-0000-0000-0000B8010000}"/>
    <cellStyle name="Normal 14 3 2" xfId="457" xr:uid="{00000000-0005-0000-0000-0000B9010000}"/>
    <cellStyle name="Normal 14 3 3" xfId="458" xr:uid="{00000000-0005-0000-0000-0000BA010000}"/>
    <cellStyle name="Normal 14 4" xfId="459" xr:uid="{00000000-0005-0000-0000-0000BB010000}"/>
    <cellStyle name="Normal 14 5" xfId="460" xr:uid="{00000000-0005-0000-0000-0000BC010000}"/>
    <cellStyle name="Normal 14 6" xfId="461" xr:uid="{00000000-0005-0000-0000-0000BD010000}"/>
    <cellStyle name="Normal 14 7" xfId="462" xr:uid="{00000000-0005-0000-0000-0000BE010000}"/>
    <cellStyle name="Normal 15" xfId="463" xr:uid="{00000000-0005-0000-0000-0000BF010000}"/>
    <cellStyle name="Normal 15 2" xfId="464" xr:uid="{00000000-0005-0000-0000-0000C0010000}"/>
    <cellStyle name="Normal 15 3" xfId="465" xr:uid="{00000000-0005-0000-0000-0000C1010000}"/>
    <cellStyle name="Normal 16" xfId="466" xr:uid="{00000000-0005-0000-0000-0000C2010000}"/>
    <cellStyle name="Normal 16 2" xfId="467" xr:uid="{00000000-0005-0000-0000-0000C3010000}"/>
    <cellStyle name="Normal 16 3" xfId="468" xr:uid="{00000000-0005-0000-0000-0000C4010000}"/>
    <cellStyle name="Normal 17" xfId="469" xr:uid="{00000000-0005-0000-0000-0000C5010000}"/>
    <cellStyle name="Normal 17 2" xfId="470" xr:uid="{00000000-0005-0000-0000-0000C6010000}"/>
    <cellStyle name="Normal 17 2 2" xfId="471" xr:uid="{00000000-0005-0000-0000-0000C7010000}"/>
    <cellStyle name="Normal 17 2 2 2" xfId="472" xr:uid="{00000000-0005-0000-0000-0000C8010000}"/>
    <cellStyle name="Normal 17 2 2 3" xfId="473" xr:uid="{00000000-0005-0000-0000-0000C9010000}"/>
    <cellStyle name="Normal 17 2 3" xfId="474" xr:uid="{00000000-0005-0000-0000-0000CA010000}"/>
    <cellStyle name="Normal 17 2 4" xfId="475" xr:uid="{00000000-0005-0000-0000-0000CB010000}"/>
    <cellStyle name="Normal 17 2 5" xfId="476" xr:uid="{00000000-0005-0000-0000-0000CC010000}"/>
    <cellStyle name="Normal 17 3" xfId="477" xr:uid="{00000000-0005-0000-0000-0000CD010000}"/>
    <cellStyle name="Normal 17 3 2" xfId="478" xr:uid="{00000000-0005-0000-0000-0000CE010000}"/>
    <cellStyle name="Normal 17 3 2 2" xfId="479" xr:uid="{00000000-0005-0000-0000-0000CF010000}"/>
    <cellStyle name="Normal 17 3 2 3" xfId="480" xr:uid="{00000000-0005-0000-0000-0000D0010000}"/>
    <cellStyle name="Normal 17 3 3" xfId="481" xr:uid="{00000000-0005-0000-0000-0000D1010000}"/>
    <cellStyle name="Normal 17 3 4" xfId="482" xr:uid="{00000000-0005-0000-0000-0000D2010000}"/>
    <cellStyle name="Normal 17 4" xfId="483" xr:uid="{00000000-0005-0000-0000-0000D3010000}"/>
    <cellStyle name="Normal 17 4 2" xfId="484" xr:uid="{00000000-0005-0000-0000-0000D4010000}"/>
    <cellStyle name="Normal 17 4 3" xfId="485" xr:uid="{00000000-0005-0000-0000-0000D5010000}"/>
    <cellStyle name="Normal 17 5" xfId="486" xr:uid="{00000000-0005-0000-0000-0000D6010000}"/>
    <cellStyle name="Normal 17 6" xfId="487" xr:uid="{00000000-0005-0000-0000-0000D7010000}"/>
    <cellStyle name="Normal 17 7" xfId="488" xr:uid="{00000000-0005-0000-0000-0000D8010000}"/>
    <cellStyle name="Normal 18" xfId="489" xr:uid="{00000000-0005-0000-0000-0000D9010000}"/>
    <cellStyle name="Normal 18 2" xfId="490" xr:uid="{00000000-0005-0000-0000-0000DA010000}"/>
    <cellStyle name="Normal 18 2 2" xfId="491" xr:uid="{00000000-0005-0000-0000-0000DB010000}"/>
    <cellStyle name="Normal 18 3" xfId="492" xr:uid="{00000000-0005-0000-0000-0000DC010000}"/>
    <cellStyle name="Normal 19" xfId="493" xr:uid="{00000000-0005-0000-0000-0000DD010000}"/>
    <cellStyle name="Normal 19 2" xfId="494" xr:uid="{00000000-0005-0000-0000-0000DE010000}"/>
    <cellStyle name="Normal 2" xfId="49" xr:uid="{00000000-0005-0000-0000-0000DF010000}"/>
    <cellStyle name="Normal 2 2" xfId="495" xr:uid="{00000000-0005-0000-0000-0000E0010000}"/>
    <cellStyle name="Normal 2 2 2" xfId="496" xr:uid="{00000000-0005-0000-0000-0000E1010000}"/>
    <cellStyle name="Normal 2 2 3" xfId="497" xr:uid="{00000000-0005-0000-0000-0000E2010000}"/>
    <cellStyle name="Normal 2 2 3 2" xfId="498" xr:uid="{00000000-0005-0000-0000-0000E3010000}"/>
    <cellStyle name="Normal 2 2 3 3" xfId="499" xr:uid="{00000000-0005-0000-0000-0000E4010000}"/>
    <cellStyle name="Normal 2 2 4" xfId="500" xr:uid="{00000000-0005-0000-0000-0000E5010000}"/>
    <cellStyle name="Normal 2 2 5" xfId="501" xr:uid="{00000000-0005-0000-0000-0000E6010000}"/>
    <cellStyle name="Normal 2 3" xfId="502" xr:uid="{00000000-0005-0000-0000-0000E7010000}"/>
    <cellStyle name="Normal 2 3 2" xfId="503" xr:uid="{00000000-0005-0000-0000-0000E8010000}"/>
    <cellStyle name="Normal 2 3 3" xfId="504" xr:uid="{00000000-0005-0000-0000-0000E9010000}"/>
    <cellStyle name="Normal 2 3_29(d) - Gas extensions -tariffs" xfId="505" xr:uid="{00000000-0005-0000-0000-0000EA010000}"/>
    <cellStyle name="Normal 2 4" xfId="506" xr:uid="{00000000-0005-0000-0000-0000EB010000}"/>
    <cellStyle name="Normal 2 4 2" xfId="507" xr:uid="{00000000-0005-0000-0000-0000EC010000}"/>
    <cellStyle name="Normal 2 4 3" xfId="508" xr:uid="{00000000-0005-0000-0000-0000ED010000}"/>
    <cellStyle name="Normal 2 5" xfId="509" xr:uid="{00000000-0005-0000-0000-0000EE010000}"/>
    <cellStyle name="Normal 2 6" xfId="510" xr:uid="{00000000-0005-0000-0000-0000EF010000}"/>
    <cellStyle name="Normal 2_29(d) - Gas extensions -tariffs" xfId="511" xr:uid="{00000000-0005-0000-0000-0000F0010000}"/>
    <cellStyle name="Normal 20" xfId="512" xr:uid="{00000000-0005-0000-0000-0000F1010000}"/>
    <cellStyle name="Normal 20 2" xfId="513" xr:uid="{00000000-0005-0000-0000-0000F2010000}"/>
    <cellStyle name="Normal 20 2 2" xfId="514" xr:uid="{00000000-0005-0000-0000-0000F3010000}"/>
    <cellStyle name="Normal 20 3" xfId="515" xr:uid="{00000000-0005-0000-0000-0000F4010000}"/>
    <cellStyle name="Normal 20 4" xfId="516" xr:uid="{00000000-0005-0000-0000-0000F5010000}"/>
    <cellStyle name="Normal 20 5" xfId="517" xr:uid="{00000000-0005-0000-0000-0000F6010000}"/>
    <cellStyle name="Normal 206" xfId="518" xr:uid="{00000000-0005-0000-0000-0000F7010000}"/>
    <cellStyle name="Normal 21" xfId="519" xr:uid="{00000000-0005-0000-0000-0000F8010000}"/>
    <cellStyle name="Normal 21 2" xfId="520" xr:uid="{00000000-0005-0000-0000-0000F9010000}"/>
    <cellStyle name="Normal 21 3" xfId="521" xr:uid="{00000000-0005-0000-0000-0000FA010000}"/>
    <cellStyle name="Normal 22" xfId="522" xr:uid="{00000000-0005-0000-0000-0000FB010000}"/>
    <cellStyle name="Normal 23" xfId="523" xr:uid="{00000000-0005-0000-0000-0000FC010000}"/>
    <cellStyle name="Normal 23 2" xfId="524" xr:uid="{00000000-0005-0000-0000-0000FD010000}"/>
    <cellStyle name="Normal 23 2 2" xfId="525" xr:uid="{00000000-0005-0000-0000-0000FE010000}"/>
    <cellStyle name="Normal 23 3" xfId="526" xr:uid="{00000000-0005-0000-0000-0000FF010000}"/>
    <cellStyle name="Normal 23 4" xfId="527" xr:uid="{00000000-0005-0000-0000-000000020000}"/>
    <cellStyle name="Normal 24" xfId="528" xr:uid="{00000000-0005-0000-0000-000001020000}"/>
    <cellStyle name="Normal 24 2" xfId="529" xr:uid="{00000000-0005-0000-0000-000002020000}"/>
    <cellStyle name="Normal 24 2 2" xfId="530" xr:uid="{00000000-0005-0000-0000-000003020000}"/>
    <cellStyle name="Normal 24 3" xfId="531" xr:uid="{00000000-0005-0000-0000-000004020000}"/>
    <cellStyle name="Normal 24 4" xfId="532" xr:uid="{00000000-0005-0000-0000-000005020000}"/>
    <cellStyle name="Normal 25" xfId="533" xr:uid="{00000000-0005-0000-0000-000006020000}"/>
    <cellStyle name="Normal 25 2" xfId="534" xr:uid="{00000000-0005-0000-0000-000007020000}"/>
    <cellStyle name="Normal 25 2 2" xfId="535" xr:uid="{00000000-0005-0000-0000-000008020000}"/>
    <cellStyle name="Normal 25 3" xfId="536" xr:uid="{00000000-0005-0000-0000-000009020000}"/>
    <cellStyle name="Normal 25 4" xfId="537" xr:uid="{00000000-0005-0000-0000-00000A020000}"/>
    <cellStyle name="Normal 26" xfId="538" xr:uid="{00000000-0005-0000-0000-00000B020000}"/>
    <cellStyle name="Normal 26 2" xfId="539" xr:uid="{00000000-0005-0000-0000-00000C020000}"/>
    <cellStyle name="Normal 26 2 2" xfId="540" xr:uid="{00000000-0005-0000-0000-00000D020000}"/>
    <cellStyle name="Normal 26 3" xfId="541" xr:uid="{00000000-0005-0000-0000-00000E020000}"/>
    <cellStyle name="Normal 26 4" xfId="542" xr:uid="{00000000-0005-0000-0000-00000F020000}"/>
    <cellStyle name="Normal 27" xfId="543" xr:uid="{00000000-0005-0000-0000-000010020000}"/>
    <cellStyle name="Normal 28" xfId="544" xr:uid="{00000000-0005-0000-0000-000011020000}"/>
    <cellStyle name="Normal 28 2" xfId="545" xr:uid="{00000000-0005-0000-0000-000012020000}"/>
    <cellStyle name="Normal 29" xfId="546" xr:uid="{00000000-0005-0000-0000-000013020000}"/>
    <cellStyle name="Normal 3" xfId="51" xr:uid="{00000000-0005-0000-0000-000014020000}"/>
    <cellStyle name="Normal 3 2" xfId="547" xr:uid="{00000000-0005-0000-0000-000015020000}"/>
    <cellStyle name="Normal 3 2 2" xfId="548" xr:uid="{00000000-0005-0000-0000-000016020000}"/>
    <cellStyle name="Normal 3 2 3" xfId="549" xr:uid="{00000000-0005-0000-0000-000017020000}"/>
    <cellStyle name="Normal 3 3" xfId="550" xr:uid="{00000000-0005-0000-0000-000018020000}"/>
    <cellStyle name="Normal 3 3 2" xfId="551" xr:uid="{00000000-0005-0000-0000-000019020000}"/>
    <cellStyle name="Normal 3 3 3" xfId="552" xr:uid="{00000000-0005-0000-0000-00001A020000}"/>
    <cellStyle name="Normal 3 3 4" xfId="553" xr:uid="{00000000-0005-0000-0000-00001B020000}"/>
    <cellStyle name="Normal 3 4" xfId="554" xr:uid="{00000000-0005-0000-0000-00001C020000}"/>
    <cellStyle name="Normal 3 4 2" xfId="555" xr:uid="{00000000-0005-0000-0000-00001D020000}"/>
    <cellStyle name="Normal 3 5" xfId="556" xr:uid="{00000000-0005-0000-0000-00001E020000}"/>
    <cellStyle name="Normal 3 5 2" xfId="557" xr:uid="{00000000-0005-0000-0000-00001F020000}"/>
    <cellStyle name="Normal 3 5 3" xfId="558" xr:uid="{00000000-0005-0000-0000-000020020000}"/>
    <cellStyle name="Normal 3_29(d) - Gas extensions -tariffs" xfId="559" xr:uid="{00000000-0005-0000-0000-000021020000}"/>
    <cellStyle name="Normal 30" xfId="560" xr:uid="{00000000-0005-0000-0000-000022020000}"/>
    <cellStyle name="Normal 31" xfId="561" xr:uid="{00000000-0005-0000-0000-000023020000}"/>
    <cellStyle name="Normal 32" xfId="562" xr:uid="{00000000-0005-0000-0000-000024020000}"/>
    <cellStyle name="Normal 32 2" xfId="563" xr:uid="{00000000-0005-0000-0000-000025020000}"/>
    <cellStyle name="Normal 33" xfId="564" xr:uid="{00000000-0005-0000-0000-000026020000}"/>
    <cellStyle name="Normal 34" xfId="565" xr:uid="{00000000-0005-0000-0000-000027020000}"/>
    <cellStyle name="Normal 35" xfId="566" xr:uid="{00000000-0005-0000-0000-000028020000}"/>
    <cellStyle name="Normal 36" xfId="567" xr:uid="{00000000-0005-0000-0000-000029020000}"/>
    <cellStyle name="Normal 37" xfId="568" xr:uid="{00000000-0005-0000-0000-00002A020000}"/>
    <cellStyle name="Normal 38" xfId="569" xr:uid="{00000000-0005-0000-0000-00002B020000}"/>
    <cellStyle name="Normal 38 2" xfId="570" xr:uid="{00000000-0005-0000-0000-00002C020000}"/>
    <cellStyle name="Normal 38_29(d) - Gas extensions -tariffs" xfId="571" xr:uid="{00000000-0005-0000-0000-00002D020000}"/>
    <cellStyle name="Normal 39" xfId="572" xr:uid="{00000000-0005-0000-0000-00002E020000}"/>
    <cellStyle name="Normal 4" xfId="573" xr:uid="{00000000-0005-0000-0000-00002F020000}"/>
    <cellStyle name="Normal 4 2" xfId="574" xr:uid="{00000000-0005-0000-0000-000030020000}"/>
    <cellStyle name="Normal 4 2 2" xfId="575" xr:uid="{00000000-0005-0000-0000-000031020000}"/>
    <cellStyle name="Normal 4 2 2 2" xfId="576" xr:uid="{00000000-0005-0000-0000-000032020000}"/>
    <cellStyle name="Normal 4 2 2 2 2" xfId="577" xr:uid="{00000000-0005-0000-0000-000033020000}"/>
    <cellStyle name="Normal 4 2 2 2 3" xfId="578" xr:uid="{00000000-0005-0000-0000-000034020000}"/>
    <cellStyle name="Normal 4 2 2 3" xfId="579" xr:uid="{00000000-0005-0000-0000-000035020000}"/>
    <cellStyle name="Normal 4 2 2 4" xfId="580" xr:uid="{00000000-0005-0000-0000-000036020000}"/>
    <cellStyle name="Normal 4 2 3" xfId="581" xr:uid="{00000000-0005-0000-0000-000037020000}"/>
    <cellStyle name="Normal 4 2 3 2" xfId="582" xr:uid="{00000000-0005-0000-0000-000038020000}"/>
    <cellStyle name="Normal 4 2 3 2 2" xfId="583" xr:uid="{00000000-0005-0000-0000-000039020000}"/>
    <cellStyle name="Normal 4 2 3 2 3" xfId="584" xr:uid="{00000000-0005-0000-0000-00003A020000}"/>
    <cellStyle name="Normal 4 2 3 3" xfId="585" xr:uid="{00000000-0005-0000-0000-00003B020000}"/>
    <cellStyle name="Normal 4 2 3 4" xfId="586" xr:uid="{00000000-0005-0000-0000-00003C020000}"/>
    <cellStyle name="Normal 4 2 4" xfId="587" xr:uid="{00000000-0005-0000-0000-00003D020000}"/>
    <cellStyle name="Normal 4 3" xfId="588" xr:uid="{00000000-0005-0000-0000-00003E020000}"/>
    <cellStyle name="Normal 4 3 2" xfId="589" xr:uid="{00000000-0005-0000-0000-00003F020000}"/>
    <cellStyle name="Normal 4 3 2 2" xfId="590" xr:uid="{00000000-0005-0000-0000-000040020000}"/>
    <cellStyle name="Normal 4 3 2 3" xfId="591" xr:uid="{00000000-0005-0000-0000-000041020000}"/>
    <cellStyle name="Normal 4 3 3" xfId="592" xr:uid="{00000000-0005-0000-0000-000042020000}"/>
    <cellStyle name="Normal 4 3 3 2" xfId="593" xr:uid="{00000000-0005-0000-0000-000043020000}"/>
    <cellStyle name="Normal 4 3 4" xfId="594" xr:uid="{00000000-0005-0000-0000-000044020000}"/>
    <cellStyle name="Normal 4 4" xfId="595" xr:uid="{00000000-0005-0000-0000-000045020000}"/>
    <cellStyle name="Normal 4 5" xfId="596" xr:uid="{00000000-0005-0000-0000-000046020000}"/>
    <cellStyle name="Normal 4 6" xfId="597" xr:uid="{00000000-0005-0000-0000-000047020000}"/>
    <cellStyle name="Normal 4 7" xfId="598" xr:uid="{00000000-0005-0000-0000-000048020000}"/>
    <cellStyle name="Normal 4_29(d) - Gas extensions -tariffs" xfId="599" xr:uid="{00000000-0005-0000-0000-000049020000}"/>
    <cellStyle name="Normal 40" xfId="600" xr:uid="{00000000-0005-0000-0000-00004A020000}"/>
    <cellStyle name="Normal 40 2" xfId="601" xr:uid="{00000000-0005-0000-0000-00004B020000}"/>
    <cellStyle name="Normal 40_29(d) - Gas extensions -tariffs" xfId="602" xr:uid="{00000000-0005-0000-0000-00004C020000}"/>
    <cellStyle name="Normal 41" xfId="603" xr:uid="{00000000-0005-0000-0000-00004D020000}"/>
    <cellStyle name="Normal 42" xfId="604" xr:uid="{00000000-0005-0000-0000-00004E020000}"/>
    <cellStyle name="Normal 43" xfId="605" xr:uid="{00000000-0005-0000-0000-00004F020000}"/>
    <cellStyle name="Normal 44" xfId="813" xr:uid="{00000000-0005-0000-0000-000050020000}"/>
    <cellStyle name="Normal 45" xfId="816" xr:uid="{00000000-0005-0000-0000-000051020000}"/>
    <cellStyle name="Normal 484" xfId="606" xr:uid="{00000000-0005-0000-0000-000052020000}"/>
    <cellStyle name="Normal 5" xfId="607" xr:uid="{00000000-0005-0000-0000-000053020000}"/>
    <cellStyle name="Normal 5 2" xfId="608" xr:uid="{00000000-0005-0000-0000-000054020000}"/>
    <cellStyle name="Normal 5 2 2" xfId="609" xr:uid="{00000000-0005-0000-0000-000055020000}"/>
    <cellStyle name="Normal 5 2 3" xfId="610" xr:uid="{00000000-0005-0000-0000-000056020000}"/>
    <cellStyle name="Normal 5 3" xfId="611" xr:uid="{00000000-0005-0000-0000-000057020000}"/>
    <cellStyle name="Normal 5 3 2" xfId="612" xr:uid="{00000000-0005-0000-0000-000058020000}"/>
    <cellStyle name="Normal 5 4" xfId="613" xr:uid="{00000000-0005-0000-0000-000059020000}"/>
    <cellStyle name="Normal 6" xfId="614" xr:uid="{00000000-0005-0000-0000-00005A020000}"/>
    <cellStyle name="Normal 6 2" xfId="615" xr:uid="{00000000-0005-0000-0000-00005B020000}"/>
    <cellStyle name="Normal 6 2 2" xfId="616" xr:uid="{00000000-0005-0000-0000-00005C020000}"/>
    <cellStyle name="Normal 6 2 3" xfId="617" xr:uid="{00000000-0005-0000-0000-00005D020000}"/>
    <cellStyle name="Normal 6 3" xfId="618" xr:uid="{00000000-0005-0000-0000-00005E020000}"/>
    <cellStyle name="Normal 6 4" xfId="619" xr:uid="{00000000-0005-0000-0000-00005F020000}"/>
    <cellStyle name="Normal 7" xfId="620" xr:uid="{00000000-0005-0000-0000-000060020000}"/>
    <cellStyle name="Normal 7 2" xfId="621" xr:uid="{00000000-0005-0000-0000-000061020000}"/>
    <cellStyle name="Normal 7 2 2" xfId="622" xr:uid="{00000000-0005-0000-0000-000062020000}"/>
    <cellStyle name="Normal 7 2 2 2" xfId="623" xr:uid="{00000000-0005-0000-0000-000063020000}"/>
    <cellStyle name="Normal 7 2 2 3" xfId="624" xr:uid="{00000000-0005-0000-0000-000064020000}"/>
    <cellStyle name="Normal 7 2 3" xfId="625" xr:uid="{00000000-0005-0000-0000-000065020000}"/>
    <cellStyle name="Normal 7 2 4" xfId="626" xr:uid="{00000000-0005-0000-0000-000066020000}"/>
    <cellStyle name="Normal 7 2 5" xfId="627" xr:uid="{00000000-0005-0000-0000-000067020000}"/>
    <cellStyle name="Normal 8" xfId="628" xr:uid="{00000000-0005-0000-0000-000068020000}"/>
    <cellStyle name="Normal 8 2" xfId="629" xr:uid="{00000000-0005-0000-0000-000069020000}"/>
    <cellStyle name="Normal 8 2 2" xfId="630" xr:uid="{00000000-0005-0000-0000-00006A020000}"/>
    <cellStyle name="Normal 8 2 3" xfId="631" xr:uid="{00000000-0005-0000-0000-00006B020000}"/>
    <cellStyle name="Normal 8 2 3 2" xfId="632" xr:uid="{00000000-0005-0000-0000-00006C020000}"/>
    <cellStyle name="Normal 8 2 3 3" xfId="633" xr:uid="{00000000-0005-0000-0000-00006D020000}"/>
    <cellStyle name="Normal 8 2 4" xfId="634" xr:uid="{00000000-0005-0000-0000-00006E020000}"/>
    <cellStyle name="Normal 9" xfId="635" xr:uid="{00000000-0005-0000-0000-00006F020000}"/>
    <cellStyle name="Normal 9 2" xfId="636" xr:uid="{00000000-0005-0000-0000-000070020000}"/>
    <cellStyle name="Note" xfId="30" builtinId="10" hidden="1"/>
    <cellStyle name="Note 2" xfId="637" xr:uid="{00000000-0005-0000-0000-000072020000}"/>
    <cellStyle name="Note 2 2" xfId="638" xr:uid="{00000000-0005-0000-0000-000073020000}"/>
    <cellStyle name="Note 2 2 2" xfId="639" xr:uid="{00000000-0005-0000-0000-000074020000}"/>
    <cellStyle name="Note 2 3" xfId="640" xr:uid="{00000000-0005-0000-0000-000075020000}"/>
    <cellStyle name="Note 2 4" xfId="641" xr:uid="{00000000-0005-0000-0000-000076020000}"/>
    <cellStyle name="Note 3" xfId="642" xr:uid="{00000000-0005-0000-0000-000077020000}"/>
    <cellStyle name="Note 3 2" xfId="643" xr:uid="{00000000-0005-0000-0000-000078020000}"/>
    <cellStyle name="Note 3 3" xfId="644" xr:uid="{00000000-0005-0000-0000-000079020000}"/>
    <cellStyle name="Note 3 4" xfId="645" xr:uid="{00000000-0005-0000-0000-00007A020000}"/>
    <cellStyle name="Note 4" xfId="646" xr:uid="{00000000-0005-0000-0000-00007B020000}"/>
    <cellStyle name="Note 4 2" xfId="647" xr:uid="{00000000-0005-0000-0000-00007C020000}"/>
    <cellStyle name="Note 4 2 2" xfId="648" xr:uid="{00000000-0005-0000-0000-00007D020000}"/>
    <cellStyle name="Note 4 3" xfId="649" xr:uid="{00000000-0005-0000-0000-00007E020000}"/>
    <cellStyle name="Note 4 4" xfId="650" xr:uid="{00000000-0005-0000-0000-00007F020000}"/>
    <cellStyle name="Number" xfId="13" xr:uid="{00000000-0005-0000-0000-000080020000}"/>
    <cellStyle name="Number Assumptions" xfId="14" xr:uid="{00000000-0005-0000-0000-000081020000}"/>
    <cellStyle name="Number Input" xfId="40" xr:uid="{00000000-0005-0000-0000-000082020000}"/>
    <cellStyle name="Output" xfId="25" builtinId="21" hidden="1"/>
    <cellStyle name="Output 2" xfId="651" xr:uid="{00000000-0005-0000-0000-000084020000}"/>
    <cellStyle name="Output 2 2" xfId="652" xr:uid="{00000000-0005-0000-0000-000085020000}"/>
    <cellStyle name="Output 2 2 2" xfId="653" xr:uid="{00000000-0005-0000-0000-000086020000}"/>
    <cellStyle name="Output 2 3" xfId="654" xr:uid="{00000000-0005-0000-0000-000087020000}"/>
    <cellStyle name="Output 2 3 2" xfId="655" xr:uid="{00000000-0005-0000-0000-000088020000}"/>
    <cellStyle name="Output 2 4" xfId="656" xr:uid="{00000000-0005-0000-0000-000089020000}"/>
    <cellStyle name="Output 2 5" xfId="657" xr:uid="{00000000-0005-0000-0000-00008A020000}"/>
    <cellStyle name="Output 3" xfId="658" xr:uid="{00000000-0005-0000-0000-00008B020000}"/>
    <cellStyle name="Output Amounts" xfId="659" xr:uid="{00000000-0005-0000-0000-00008C020000}"/>
    <cellStyle name="Output Line Items" xfId="660" xr:uid="{00000000-0005-0000-0000-00008D020000}"/>
    <cellStyle name="Percent" xfId="46" builtinId="5" hidden="1"/>
    <cellStyle name="Percent" xfId="52" builtinId="5"/>
    <cellStyle name="Percent [2]" xfId="661" xr:uid="{00000000-0005-0000-0000-000090020000}"/>
    <cellStyle name="Percent [2] 2" xfId="662" xr:uid="{00000000-0005-0000-0000-000091020000}"/>
    <cellStyle name="Percent [2]_29(d) - Gas extensions -tariffs" xfId="663" xr:uid="{00000000-0005-0000-0000-000092020000}"/>
    <cellStyle name="Percent 10" xfId="664" xr:uid="{00000000-0005-0000-0000-000093020000}"/>
    <cellStyle name="Percent 11" xfId="665" xr:uid="{00000000-0005-0000-0000-000094020000}"/>
    <cellStyle name="Percent 12" xfId="666" xr:uid="{00000000-0005-0000-0000-000095020000}"/>
    <cellStyle name="Percent 12 2" xfId="667" xr:uid="{00000000-0005-0000-0000-000096020000}"/>
    <cellStyle name="Percent 12 2 2" xfId="668" xr:uid="{00000000-0005-0000-0000-000097020000}"/>
    <cellStyle name="Percent 12 3" xfId="669" xr:uid="{00000000-0005-0000-0000-000098020000}"/>
    <cellStyle name="Percent 12 4" xfId="670" xr:uid="{00000000-0005-0000-0000-000099020000}"/>
    <cellStyle name="Percent 13" xfId="671" xr:uid="{00000000-0005-0000-0000-00009A020000}"/>
    <cellStyle name="Percent 14" xfId="672" xr:uid="{00000000-0005-0000-0000-00009B020000}"/>
    <cellStyle name="Percent 15" xfId="673" xr:uid="{00000000-0005-0000-0000-00009C020000}"/>
    <cellStyle name="Percent 16" xfId="814" xr:uid="{00000000-0005-0000-0000-00009D020000}"/>
    <cellStyle name="Percent 2" xfId="674" xr:uid="{00000000-0005-0000-0000-00009E020000}"/>
    <cellStyle name="Percent 2 2" xfId="675" xr:uid="{00000000-0005-0000-0000-00009F020000}"/>
    <cellStyle name="Percent 2 2 2" xfId="676" xr:uid="{00000000-0005-0000-0000-0000A0020000}"/>
    <cellStyle name="Percent 2 2 2 2" xfId="677" xr:uid="{00000000-0005-0000-0000-0000A1020000}"/>
    <cellStyle name="Percent 2 2 2 2 2" xfId="678" xr:uid="{00000000-0005-0000-0000-0000A2020000}"/>
    <cellStyle name="Percent 2 2 2 2 3" xfId="679" xr:uid="{00000000-0005-0000-0000-0000A3020000}"/>
    <cellStyle name="Percent 2 2 2 3" xfId="680" xr:uid="{00000000-0005-0000-0000-0000A4020000}"/>
    <cellStyle name="Percent 2 2 2 4" xfId="681" xr:uid="{00000000-0005-0000-0000-0000A5020000}"/>
    <cellStyle name="Percent 2 2 3" xfId="682" xr:uid="{00000000-0005-0000-0000-0000A6020000}"/>
    <cellStyle name="Percent 2 2 3 2" xfId="683" xr:uid="{00000000-0005-0000-0000-0000A7020000}"/>
    <cellStyle name="Percent 2 2 3 2 2" xfId="684" xr:uid="{00000000-0005-0000-0000-0000A8020000}"/>
    <cellStyle name="Percent 2 2 3 2 3" xfId="685" xr:uid="{00000000-0005-0000-0000-0000A9020000}"/>
    <cellStyle name="Percent 2 2 3 3" xfId="686" xr:uid="{00000000-0005-0000-0000-0000AA020000}"/>
    <cellStyle name="Percent 2 2 3 4" xfId="687" xr:uid="{00000000-0005-0000-0000-0000AB020000}"/>
    <cellStyle name="Percent 2 2 4" xfId="688" xr:uid="{00000000-0005-0000-0000-0000AC020000}"/>
    <cellStyle name="Percent 2 3" xfId="689" xr:uid="{00000000-0005-0000-0000-0000AD020000}"/>
    <cellStyle name="Percent 2 3 2" xfId="690" xr:uid="{00000000-0005-0000-0000-0000AE020000}"/>
    <cellStyle name="Percent 2 3 2 2" xfId="691" xr:uid="{00000000-0005-0000-0000-0000AF020000}"/>
    <cellStyle name="Percent 2 3 2 3" xfId="692" xr:uid="{00000000-0005-0000-0000-0000B0020000}"/>
    <cellStyle name="Percent 2 3 3" xfId="693" xr:uid="{00000000-0005-0000-0000-0000B1020000}"/>
    <cellStyle name="Percent 2 3 4" xfId="694" xr:uid="{00000000-0005-0000-0000-0000B2020000}"/>
    <cellStyle name="Percent 2 4" xfId="695" xr:uid="{00000000-0005-0000-0000-0000B3020000}"/>
    <cellStyle name="Percent 2 4 2" xfId="696" xr:uid="{00000000-0005-0000-0000-0000B4020000}"/>
    <cellStyle name="Percent 2 4 2 2" xfId="697" xr:uid="{00000000-0005-0000-0000-0000B5020000}"/>
    <cellStyle name="Percent 2 4 2 3" xfId="698" xr:uid="{00000000-0005-0000-0000-0000B6020000}"/>
    <cellStyle name="Percent 2 4 3" xfId="699" xr:uid="{00000000-0005-0000-0000-0000B7020000}"/>
    <cellStyle name="Percent 2 4 4" xfId="700" xr:uid="{00000000-0005-0000-0000-0000B8020000}"/>
    <cellStyle name="Percent 3" xfId="701" xr:uid="{00000000-0005-0000-0000-0000B9020000}"/>
    <cellStyle name="Percent 3 2" xfId="702" xr:uid="{00000000-0005-0000-0000-0000BA020000}"/>
    <cellStyle name="Percent 3 4" xfId="703" xr:uid="{00000000-0005-0000-0000-0000BB020000}"/>
    <cellStyle name="Percent 3 4 2" xfId="704" xr:uid="{00000000-0005-0000-0000-0000BC020000}"/>
    <cellStyle name="Percent 3 4 3" xfId="705" xr:uid="{00000000-0005-0000-0000-0000BD020000}"/>
    <cellStyle name="Percent 4" xfId="706" xr:uid="{00000000-0005-0000-0000-0000BE020000}"/>
    <cellStyle name="Percent 4 2" xfId="707" xr:uid="{00000000-0005-0000-0000-0000BF020000}"/>
    <cellStyle name="Percent 5" xfId="48" xr:uid="{00000000-0005-0000-0000-0000C0020000}"/>
    <cellStyle name="Percent 5 2" xfId="708" xr:uid="{00000000-0005-0000-0000-0000C1020000}"/>
    <cellStyle name="Percent 5 3" xfId="709" xr:uid="{00000000-0005-0000-0000-0000C2020000}"/>
    <cellStyle name="Percent 5 4" xfId="710" xr:uid="{00000000-0005-0000-0000-0000C3020000}"/>
    <cellStyle name="Percent 6" xfId="711" xr:uid="{00000000-0005-0000-0000-0000C4020000}"/>
    <cellStyle name="Percent 6 2" xfId="712" xr:uid="{00000000-0005-0000-0000-0000C5020000}"/>
    <cellStyle name="Percent 7" xfId="713" xr:uid="{00000000-0005-0000-0000-0000C6020000}"/>
    <cellStyle name="Percent 8" xfId="714" xr:uid="{00000000-0005-0000-0000-0000C7020000}"/>
    <cellStyle name="Percent 9" xfId="715" xr:uid="{00000000-0005-0000-0000-0000C8020000}"/>
    <cellStyle name="Percentage" xfId="15" xr:uid="{00000000-0005-0000-0000-0000C9020000}"/>
    <cellStyle name="Percentage Assumptions" xfId="16" xr:uid="{00000000-0005-0000-0000-0000CA020000}"/>
    <cellStyle name="Percentage Input" xfId="44" xr:uid="{00000000-0005-0000-0000-0000CB020000}"/>
    <cellStyle name="Period Title" xfId="716" xr:uid="{00000000-0005-0000-0000-0000CC020000}"/>
    <cellStyle name="PSChar" xfId="717" xr:uid="{00000000-0005-0000-0000-0000CD020000}"/>
    <cellStyle name="PSDate" xfId="718" xr:uid="{00000000-0005-0000-0000-0000CE020000}"/>
    <cellStyle name="PSDec" xfId="719" xr:uid="{00000000-0005-0000-0000-0000CF020000}"/>
    <cellStyle name="PSDetail" xfId="720" xr:uid="{00000000-0005-0000-0000-0000D0020000}"/>
    <cellStyle name="PSHeading" xfId="721" xr:uid="{00000000-0005-0000-0000-0000D1020000}"/>
    <cellStyle name="PSHeading 2" xfId="722" xr:uid="{00000000-0005-0000-0000-0000D2020000}"/>
    <cellStyle name="PSHeading 2 2" xfId="723" xr:uid="{00000000-0005-0000-0000-0000D3020000}"/>
    <cellStyle name="PSHeading 2 2 2" xfId="724" xr:uid="{00000000-0005-0000-0000-0000D4020000}"/>
    <cellStyle name="PSHeading 2 3" xfId="725" xr:uid="{00000000-0005-0000-0000-0000D5020000}"/>
    <cellStyle name="PSHeading 3" xfId="726" xr:uid="{00000000-0005-0000-0000-0000D6020000}"/>
    <cellStyle name="PSHeading 3 2" xfId="727" xr:uid="{00000000-0005-0000-0000-0000D7020000}"/>
    <cellStyle name="PSHeading 3 2 2" xfId="728" xr:uid="{00000000-0005-0000-0000-0000D8020000}"/>
    <cellStyle name="PSHeading 3 2 2 2" xfId="729" xr:uid="{00000000-0005-0000-0000-0000D9020000}"/>
    <cellStyle name="PSHeading 3 2 3" xfId="730" xr:uid="{00000000-0005-0000-0000-0000DA020000}"/>
    <cellStyle name="PSHeading 3 3" xfId="731" xr:uid="{00000000-0005-0000-0000-0000DB020000}"/>
    <cellStyle name="PSHeading 4" xfId="732" xr:uid="{00000000-0005-0000-0000-0000DC020000}"/>
    <cellStyle name="PSHeading 4 2" xfId="733" xr:uid="{00000000-0005-0000-0000-0000DD020000}"/>
    <cellStyle name="PSHeading 5" xfId="734" xr:uid="{00000000-0005-0000-0000-0000DE020000}"/>
    <cellStyle name="PSInt" xfId="735" xr:uid="{00000000-0005-0000-0000-0000DF020000}"/>
    <cellStyle name="PSSpacer" xfId="736" xr:uid="{00000000-0005-0000-0000-0000E0020000}"/>
    <cellStyle name="Ratio" xfId="737" xr:uid="{00000000-0005-0000-0000-0000E1020000}"/>
    <cellStyle name="Ratio 2" xfId="738" xr:uid="{00000000-0005-0000-0000-0000E2020000}"/>
    <cellStyle name="Ratio_29(d) - Gas extensions -tariffs" xfId="739" xr:uid="{00000000-0005-0000-0000-0000E3020000}"/>
    <cellStyle name="Right Date" xfId="740" xr:uid="{00000000-0005-0000-0000-0000E4020000}"/>
    <cellStyle name="Right Number" xfId="741" xr:uid="{00000000-0005-0000-0000-0000E5020000}"/>
    <cellStyle name="Right Year" xfId="742" xr:uid="{00000000-0005-0000-0000-0000E6020000}"/>
    <cellStyle name="RIN_Input$_3dp" xfId="743" xr:uid="{00000000-0005-0000-0000-0000E7020000}"/>
    <cellStyle name="SAPError" xfId="744" xr:uid="{00000000-0005-0000-0000-0000E8020000}"/>
    <cellStyle name="SAPError 2" xfId="745" xr:uid="{00000000-0005-0000-0000-0000E9020000}"/>
    <cellStyle name="SAPKey" xfId="746" xr:uid="{00000000-0005-0000-0000-0000EA020000}"/>
    <cellStyle name="SAPKey 2" xfId="747" xr:uid="{00000000-0005-0000-0000-0000EB020000}"/>
    <cellStyle name="SAPLocked" xfId="748" xr:uid="{00000000-0005-0000-0000-0000EC020000}"/>
    <cellStyle name="SAPLocked 2" xfId="749" xr:uid="{00000000-0005-0000-0000-0000ED020000}"/>
    <cellStyle name="SAPOutput" xfId="750" xr:uid="{00000000-0005-0000-0000-0000EE020000}"/>
    <cellStyle name="SAPOutput 2" xfId="751" xr:uid="{00000000-0005-0000-0000-0000EF020000}"/>
    <cellStyle name="SAPSpace" xfId="752" xr:uid="{00000000-0005-0000-0000-0000F0020000}"/>
    <cellStyle name="SAPSpace 2" xfId="753" xr:uid="{00000000-0005-0000-0000-0000F1020000}"/>
    <cellStyle name="SAPText" xfId="754" xr:uid="{00000000-0005-0000-0000-0000F2020000}"/>
    <cellStyle name="SAPText 2" xfId="755" xr:uid="{00000000-0005-0000-0000-0000F3020000}"/>
    <cellStyle name="SAPUnLocked" xfId="756" xr:uid="{00000000-0005-0000-0000-0000F4020000}"/>
    <cellStyle name="SAPUnLocked 2" xfId="757" xr:uid="{00000000-0005-0000-0000-0000F5020000}"/>
    <cellStyle name="Sheet Title" xfId="758" xr:uid="{00000000-0005-0000-0000-0000F6020000}"/>
    <cellStyle name="Sheet Title Input" xfId="20" xr:uid="{00000000-0005-0000-0000-0000F7020000}"/>
    <cellStyle name="Sheet Title Input 2" xfId="815" xr:uid="{00000000-0005-0000-0000-0000F8020000}"/>
    <cellStyle name="Sheet Title Output" xfId="33" xr:uid="{00000000-0005-0000-0000-0000F9020000}"/>
    <cellStyle name="SheetHeader1" xfId="759" xr:uid="{00000000-0005-0000-0000-0000FA020000}"/>
    <cellStyle name="Style 1" xfId="760" xr:uid="{00000000-0005-0000-0000-0000FB020000}"/>
    <cellStyle name="Style 1 2" xfId="761" xr:uid="{00000000-0005-0000-0000-0000FC020000}"/>
    <cellStyle name="Style 1 2 2" xfId="762" xr:uid="{00000000-0005-0000-0000-0000FD020000}"/>
    <cellStyle name="Style 1 3" xfId="763" xr:uid="{00000000-0005-0000-0000-0000FE020000}"/>
    <cellStyle name="Style 1 3 2" xfId="764" xr:uid="{00000000-0005-0000-0000-0000FF020000}"/>
    <cellStyle name="Style 1 3 3" xfId="765" xr:uid="{00000000-0005-0000-0000-000000030000}"/>
    <cellStyle name="Style 1 4" xfId="766" xr:uid="{00000000-0005-0000-0000-000001030000}"/>
    <cellStyle name="Style 1_29(d) - Gas extensions -tariffs" xfId="767" xr:uid="{00000000-0005-0000-0000-000002030000}"/>
    <cellStyle name="Style2" xfId="768" xr:uid="{00000000-0005-0000-0000-000003030000}"/>
    <cellStyle name="Style3" xfId="769" xr:uid="{00000000-0005-0000-0000-000004030000}"/>
    <cellStyle name="Style4" xfId="770" xr:uid="{00000000-0005-0000-0000-000005030000}"/>
    <cellStyle name="Style4 2" xfId="771" xr:uid="{00000000-0005-0000-0000-000006030000}"/>
    <cellStyle name="Style4_29(d) - Gas extensions -tariffs" xfId="772" xr:uid="{00000000-0005-0000-0000-000007030000}"/>
    <cellStyle name="Style5" xfId="773" xr:uid="{00000000-0005-0000-0000-000008030000}"/>
    <cellStyle name="Style5 2" xfId="774" xr:uid="{00000000-0005-0000-0000-000009030000}"/>
    <cellStyle name="Style5_29(d) - Gas extensions -tariffs" xfId="775" xr:uid="{00000000-0005-0000-0000-00000A030000}"/>
    <cellStyle name="Table Head Green" xfId="776" xr:uid="{00000000-0005-0000-0000-00000B030000}"/>
    <cellStyle name="Table Head Green 2" xfId="777" xr:uid="{00000000-0005-0000-0000-00000C030000}"/>
    <cellStyle name="Table Head_pldt" xfId="778" xr:uid="{00000000-0005-0000-0000-00000D030000}"/>
    <cellStyle name="Table Source" xfId="779" xr:uid="{00000000-0005-0000-0000-00000E030000}"/>
    <cellStyle name="Table Units" xfId="780" xr:uid="{00000000-0005-0000-0000-00000F030000}"/>
    <cellStyle name="TableLvl2" xfId="781" xr:uid="{00000000-0005-0000-0000-000010030000}"/>
    <cellStyle name="TableLvl3" xfId="782" xr:uid="{00000000-0005-0000-0000-000011030000}"/>
    <cellStyle name="Text" xfId="783" xr:uid="{00000000-0005-0000-0000-000012030000}"/>
    <cellStyle name="Text 2" xfId="784" xr:uid="{00000000-0005-0000-0000-000013030000}"/>
    <cellStyle name="Text 3" xfId="785" xr:uid="{00000000-0005-0000-0000-000014030000}"/>
    <cellStyle name="Text Head 1" xfId="786" xr:uid="{00000000-0005-0000-0000-000015030000}"/>
    <cellStyle name="Text Head 2" xfId="787" xr:uid="{00000000-0005-0000-0000-000016030000}"/>
    <cellStyle name="Text Indent 2" xfId="788" xr:uid="{00000000-0005-0000-0000-000017030000}"/>
    <cellStyle name="Theirs" xfId="789" xr:uid="{00000000-0005-0000-0000-000018030000}"/>
    <cellStyle name="Title" xfId="2" builtinId="15" hidden="1"/>
    <cellStyle name="Title 2" xfId="790" xr:uid="{00000000-0005-0000-0000-00001A030000}"/>
    <cellStyle name="Title 2 2" xfId="791" xr:uid="{00000000-0005-0000-0000-00001B030000}"/>
    <cellStyle name="Title 3" xfId="792" xr:uid="{00000000-0005-0000-0000-00001C030000}"/>
    <cellStyle name="Title 4" xfId="793" xr:uid="{00000000-0005-0000-0000-00001D030000}"/>
    <cellStyle name="TOC 1" xfId="794" xr:uid="{00000000-0005-0000-0000-00001E030000}"/>
    <cellStyle name="TOC 2" xfId="795" xr:uid="{00000000-0005-0000-0000-00001F030000}"/>
    <cellStyle name="TOC 3" xfId="796" xr:uid="{00000000-0005-0000-0000-000020030000}"/>
    <cellStyle name="Total" xfId="7" builtinId="25" hidden="1"/>
    <cellStyle name="Total 2" xfId="797" xr:uid="{00000000-0005-0000-0000-000022030000}"/>
    <cellStyle name="Total 2 2" xfId="798" xr:uid="{00000000-0005-0000-0000-000023030000}"/>
    <cellStyle name="Total 2 2 2" xfId="799" xr:uid="{00000000-0005-0000-0000-000024030000}"/>
    <cellStyle name="Total 2 3" xfId="800" xr:uid="{00000000-0005-0000-0000-000025030000}"/>
    <cellStyle name="Total 2 3 2" xfId="801" xr:uid="{00000000-0005-0000-0000-000026030000}"/>
    <cellStyle name="Total 2 4" xfId="802" xr:uid="{00000000-0005-0000-0000-000027030000}"/>
    <cellStyle name="Total 2 5" xfId="803" xr:uid="{00000000-0005-0000-0000-000028030000}"/>
    <cellStyle name="Total 3" xfId="804" xr:uid="{00000000-0005-0000-0000-000029030000}"/>
    <cellStyle name="Warning Text" xfId="29" builtinId="11" hidden="1"/>
    <cellStyle name="Warning Text 2" xfId="805" xr:uid="{00000000-0005-0000-0000-00002B030000}"/>
    <cellStyle name="Warning Text 2 2" xfId="806" xr:uid="{00000000-0005-0000-0000-00002C030000}"/>
    <cellStyle name="Warning Text 3" xfId="807" xr:uid="{00000000-0005-0000-0000-00002D030000}"/>
    <cellStyle name="Year" xfId="9" xr:uid="{00000000-0005-0000-0000-00002E030000}"/>
    <cellStyle name="year 2" xfId="808" xr:uid="{00000000-0005-0000-0000-00002F030000}"/>
    <cellStyle name="year 2 2" xfId="809" xr:uid="{00000000-0005-0000-0000-000030030000}"/>
    <cellStyle name="year 3" xfId="810" xr:uid="{00000000-0005-0000-0000-000031030000}"/>
    <cellStyle name="Year Assumptions" xfId="10" xr:uid="{00000000-0005-0000-0000-000032030000}"/>
    <cellStyle name="Year Input" xfId="45" xr:uid="{00000000-0005-0000-0000-000033030000}"/>
    <cellStyle name="year_29(d) - Gas extensions -tariffs" xfId="811" xr:uid="{00000000-0005-0000-0000-000034030000}"/>
    <cellStyle name="Yellow" xfId="812" xr:uid="{00000000-0005-0000-0000-000035030000}"/>
  </cellStyles>
  <dxfs count="29">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b/>
        <i val="0"/>
        <color rgb="FFFF0000"/>
      </font>
    </dxf>
    <dxf>
      <font>
        <color rgb="FFFF0000"/>
      </font>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0066"/>
      <color rgb="FF2A3D6F"/>
      <color rgb="FF75842F"/>
      <color rgb="FF139C00"/>
      <color rgb="FF42628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41696113074223E-2"/>
          <c:y val="3.6827195467422122E-2"/>
          <c:w val="0.80998377770639196"/>
          <c:h val="0.85170930829113822"/>
        </c:manualLayout>
      </c:layout>
      <c:scatterChart>
        <c:scatterStyle val="lineMarker"/>
        <c:varyColors val="0"/>
        <c:ser>
          <c:idx val="0"/>
          <c:order val="0"/>
          <c:tx>
            <c:v>Existing DBT</c:v>
          </c:tx>
          <c:spPr>
            <a:ln w="28575">
              <a:solidFill>
                <a:srgbClr val="0000FF"/>
              </a:solidFill>
            </a:ln>
          </c:spPr>
          <c:marker>
            <c:symbol val="none"/>
          </c:marker>
          <c:xVal>
            <c:numRef>
              <c:f>'Output_Impact&lt;750'!$T$46:$T$147</c:f>
              <c:numCache>
                <c:formatCode>General</c:formatCode>
                <c:ptCount val="102"/>
              </c:numCache>
            </c:numRef>
          </c:xVal>
          <c:yVal>
            <c:numRef>
              <c:f>'Output_Impact&lt;750'!$AI$46:$AI$147</c:f>
              <c:numCache>
                <c:formatCode>General</c:formatCode>
                <c:ptCount val="102"/>
              </c:numCache>
            </c:numRef>
          </c:yVal>
          <c:smooth val="0"/>
          <c:extLst>
            <c:ext xmlns:c16="http://schemas.microsoft.com/office/drawing/2014/chart" uri="{C3380CC4-5D6E-409C-BE32-E72D297353CC}">
              <c16:uniqueId val="{00000000-F94D-4D8F-8AA7-4DCB5BA9A83F}"/>
            </c:ext>
          </c:extLst>
        </c:ser>
        <c:ser>
          <c:idx val="2"/>
          <c:order val="2"/>
          <c:tx>
            <c:v>Flat rate</c:v>
          </c:tx>
          <c:spPr>
            <a:ln>
              <a:solidFill>
                <a:schemeClr val="tx1"/>
              </a:solidFill>
            </a:ln>
          </c:spPr>
          <c:marker>
            <c:symbol val="none"/>
          </c:marker>
          <c:xVal>
            <c:numRef>
              <c:f>'Output_Impact&lt;750'!$T$44:$T$147</c:f>
              <c:numCache>
                <c:formatCode>General</c:formatCode>
                <c:ptCount val="104"/>
              </c:numCache>
            </c:numRef>
          </c:xVal>
          <c:yVal>
            <c:numRef>
              <c:f>'Output_Impact&lt;750'!$AM$46:$AM$148</c:f>
              <c:numCache>
                <c:formatCode>General</c:formatCode>
                <c:ptCount val="103"/>
              </c:numCache>
            </c:numRef>
          </c:yVal>
          <c:smooth val="0"/>
          <c:extLst>
            <c:ext xmlns:c16="http://schemas.microsoft.com/office/drawing/2014/chart" uri="{C3380CC4-5D6E-409C-BE32-E72D297353CC}">
              <c16:uniqueId val="{00000001-F94D-4D8F-8AA7-4DCB5BA9A83F}"/>
            </c:ext>
          </c:extLst>
        </c:ser>
        <c:ser>
          <c:idx val="3"/>
          <c:order val="3"/>
          <c:tx>
            <c:v>IBT 1</c:v>
          </c:tx>
          <c:spPr>
            <a:ln>
              <a:solidFill>
                <a:srgbClr val="008000"/>
              </a:solidFill>
            </a:ln>
          </c:spPr>
          <c:marker>
            <c:symbol val="none"/>
          </c:marker>
          <c:xVal>
            <c:numRef>
              <c:f>'Output_Impact&lt;750'!$T$46:$T$147</c:f>
              <c:numCache>
                <c:formatCode>General</c:formatCode>
                <c:ptCount val="102"/>
              </c:numCache>
            </c:numRef>
          </c:xVal>
          <c:yVal>
            <c:numRef>
              <c:f>'Output_Impact&lt;750'!$AO$46:$AO$147</c:f>
              <c:numCache>
                <c:formatCode>General</c:formatCode>
                <c:ptCount val="102"/>
              </c:numCache>
            </c:numRef>
          </c:yVal>
          <c:smooth val="0"/>
          <c:extLst>
            <c:ext xmlns:c16="http://schemas.microsoft.com/office/drawing/2014/chart" uri="{C3380CC4-5D6E-409C-BE32-E72D297353CC}">
              <c16:uniqueId val="{00000002-F94D-4D8F-8AA7-4DCB5BA9A83F}"/>
            </c:ext>
          </c:extLst>
        </c:ser>
        <c:ser>
          <c:idx val="4"/>
          <c:order val="4"/>
          <c:tx>
            <c:v>IBT 2</c:v>
          </c:tx>
          <c:spPr>
            <a:ln>
              <a:solidFill>
                <a:srgbClr val="800000"/>
              </a:solidFill>
            </a:ln>
          </c:spPr>
          <c:marker>
            <c:symbol val="none"/>
          </c:marker>
          <c:xVal>
            <c:numRef>
              <c:f>'Output_Impact&lt;750'!$T$46:$T$147</c:f>
              <c:numCache>
                <c:formatCode>General</c:formatCode>
                <c:ptCount val="102"/>
              </c:numCache>
            </c:numRef>
          </c:xVal>
          <c:yVal>
            <c:numRef>
              <c:f>'Output_Impact&lt;750'!$AQ$46:$AQ$146</c:f>
              <c:numCache>
                <c:formatCode>General</c:formatCode>
                <c:ptCount val="101"/>
              </c:numCache>
            </c:numRef>
          </c:yVal>
          <c:smooth val="0"/>
          <c:extLst>
            <c:ext xmlns:c16="http://schemas.microsoft.com/office/drawing/2014/chart" uri="{C3380CC4-5D6E-409C-BE32-E72D297353CC}">
              <c16:uniqueId val="{00000003-F94D-4D8F-8AA7-4DCB5BA9A83F}"/>
            </c:ext>
          </c:extLst>
        </c:ser>
        <c:ser>
          <c:idx val="5"/>
          <c:order val="5"/>
          <c:spPr>
            <a:ln w="88900" cap="sq">
              <a:solidFill>
                <a:srgbClr val="FF6600"/>
              </a:solidFill>
              <a:headEnd type="stealth"/>
              <a:tailEnd type="none"/>
            </a:ln>
          </c:spPr>
          <c:marker>
            <c:symbol val="none"/>
          </c:marker>
          <c:xVal>
            <c:numRef>
              <c:f>'Output_Impact&lt;750'!$BB$52:$BC$52</c:f>
              <c:numCache>
                <c:formatCode>General</c:formatCode>
                <c:ptCount val="2"/>
              </c:numCache>
            </c:numRef>
          </c:xVal>
          <c:yVal>
            <c:numRef>
              <c:f>'Output_Impact&lt;750'!$BB$51:$BC$51</c:f>
              <c:numCache>
                <c:formatCode>General</c:formatCode>
                <c:ptCount val="2"/>
              </c:numCache>
            </c:numRef>
          </c:yVal>
          <c:smooth val="0"/>
          <c:extLst>
            <c:ext xmlns:c16="http://schemas.microsoft.com/office/drawing/2014/chart" uri="{C3380CC4-5D6E-409C-BE32-E72D297353CC}">
              <c16:uniqueId val="{00000004-F94D-4D8F-8AA7-4DCB5BA9A83F}"/>
            </c:ext>
          </c:extLst>
        </c:ser>
        <c:ser>
          <c:idx val="6"/>
          <c:order val="6"/>
          <c:spPr>
            <a:ln w="88900" cap="sq">
              <a:solidFill>
                <a:srgbClr val="FF6600"/>
              </a:solidFill>
              <a:headEnd type="none"/>
              <a:tailEnd type="stealth"/>
            </a:ln>
          </c:spPr>
          <c:marker>
            <c:symbol val="none"/>
          </c:marker>
          <c:xVal>
            <c:numRef>
              <c:f>'Output_Impact&lt;750'!$BB$55:$BC$55</c:f>
              <c:numCache>
                <c:formatCode>General</c:formatCode>
                <c:ptCount val="2"/>
              </c:numCache>
            </c:numRef>
          </c:xVal>
          <c:yVal>
            <c:numRef>
              <c:f>'Output_Impact&lt;750'!$BB$54:$BC$54</c:f>
              <c:numCache>
                <c:formatCode>General</c:formatCode>
                <c:ptCount val="2"/>
              </c:numCache>
            </c:numRef>
          </c:yVal>
          <c:smooth val="0"/>
          <c:extLst>
            <c:ext xmlns:c16="http://schemas.microsoft.com/office/drawing/2014/chart" uri="{C3380CC4-5D6E-409C-BE32-E72D297353CC}">
              <c16:uniqueId val="{00000005-F94D-4D8F-8AA7-4DCB5BA9A83F}"/>
            </c:ext>
          </c:extLst>
        </c:ser>
        <c:dLbls>
          <c:showLegendKey val="0"/>
          <c:showVal val="0"/>
          <c:showCatName val="0"/>
          <c:showSerName val="0"/>
          <c:showPercent val="0"/>
          <c:showBubbleSize val="0"/>
        </c:dLbls>
        <c:axId val="179343744"/>
        <c:axId val="179345664"/>
      </c:scatterChart>
      <c:scatterChart>
        <c:scatterStyle val="lineMarker"/>
        <c:varyColors val="0"/>
        <c:ser>
          <c:idx val="1"/>
          <c:order val="1"/>
          <c:tx>
            <c:v>Proportion of customers (RHS)</c:v>
          </c:tx>
          <c:spPr>
            <a:ln>
              <a:solidFill>
                <a:srgbClr val="FF0000"/>
              </a:solidFill>
            </a:ln>
          </c:spPr>
          <c:marker>
            <c:symbol val="none"/>
          </c:marker>
          <c:xVal>
            <c:numRef>
              <c:f>'Output_Impact&lt;750'!$T$45:$T$147</c:f>
              <c:numCache>
                <c:formatCode>General</c:formatCode>
                <c:ptCount val="103"/>
              </c:numCache>
            </c:numRef>
          </c:xVal>
          <c:yVal>
            <c:numRef>
              <c:f>'Output_Impact&lt;750'!$W$45:$W$147</c:f>
              <c:numCache>
                <c:formatCode>General</c:formatCode>
                <c:ptCount val="103"/>
              </c:numCache>
            </c:numRef>
          </c:yVal>
          <c:smooth val="0"/>
          <c:extLst>
            <c:ext xmlns:c16="http://schemas.microsoft.com/office/drawing/2014/chart" uri="{C3380CC4-5D6E-409C-BE32-E72D297353CC}">
              <c16:uniqueId val="{00000006-F94D-4D8F-8AA7-4DCB5BA9A83F}"/>
            </c:ext>
          </c:extLst>
        </c:ser>
        <c:dLbls>
          <c:showLegendKey val="0"/>
          <c:showVal val="0"/>
          <c:showCatName val="0"/>
          <c:showSerName val="0"/>
          <c:showPercent val="0"/>
          <c:showBubbleSize val="0"/>
        </c:dLbls>
        <c:axId val="179364224"/>
        <c:axId val="179365760"/>
      </c:scatterChart>
      <c:valAx>
        <c:axId val="179343744"/>
        <c:scaling>
          <c:orientation val="minMax"/>
          <c:max val="25000"/>
        </c:scaling>
        <c:delete val="0"/>
        <c:axPos val="b"/>
        <c:title>
          <c:tx>
            <c:rich>
              <a:bodyPr/>
              <a:lstStyle/>
              <a:p>
                <a:pPr>
                  <a:defRPr sz="1200"/>
                </a:pPr>
                <a:r>
                  <a:rPr lang="en-US" sz="1200"/>
                  <a:t>Customer consumption kWh p.a.</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345664"/>
        <c:crosses val="autoZero"/>
        <c:crossBetween val="midCat"/>
      </c:valAx>
      <c:valAx>
        <c:axId val="179345664"/>
        <c:scaling>
          <c:orientation val="minMax"/>
          <c:max val="30"/>
        </c:scaling>
        <c:delete val="0"/>
        <c:axPos val="l"/>
        <c:majorGridlines/>
        <c:title>
          <c:tx>
            <c:rich>
              <a:bodyPr rot="-5400000" vert="horz"/>
              <a:lstStyle/>
              <a:p>
                <a:pPr>
                  <a:defRPr sz="1200"/>
                </a:pPr>
                <a:r>
                  <a:rPr lang="en-US" sz="1200"/>
                  <a:t>Average price ¢/kWh</a:t>
                </a:r>
              </a:p>
            </c:rich>
          </c:tx>
          <c:layout>
            <c:manualLayout>
              <c:xMode val="edge"/>
              <c:yMode val="edge"/>
              <c:x val="1.0108644535818934E-2"/>
              <c:y val="0.33261282056055075"/>
            </c:manualLayout>
          </c:layout>
          <c:overlay val="0"/>
        </c:title>
        <c:numFmt formatCode="0" sourceLinked="0"/>
        <c:majorTickMark val="out"/>
        <c:minorTickMark val="none"/>
        <c:tickLblPos val="nextTo"/>
        <c:crossAx val="179343744"/>
        <c:crosses val="autoZero"/>
        <c:crossBetween val="midCat"/>
      </c:valAx>
      <c:valAx>
        <c:axId val="179364224"/>
        <c:scaling>
          <c:orientation val="minMax"/>
        </c:scaling>
        <c:delete val="1"/>
        <c:axPos val="b"/>
        <c:numFmt formatCode="General" sourceLinked="1"/>
        <c:majorTickMark val="out"/>
        <c:minorTickMark val="none"/>
        <c:tickLblPos val="none"/>
        <c:crossAx val="179365760"/>
        <c:crosses val="autoZero"/>
        <c:crossBetween val="midCat"/>
      </c:valAx>
      <c:valAx>
        <c:axId val="179365760"/>
        <c:scaling>
          <c:orientation val="minMax"/>
          <c:max val="3.0000000000000002E-2"/>
        </c:scaling>
        <c:delete val="0"/>
        <c:axPos val="r"/>
        <c:title>
          <c:tx>
            <c:rich>
              <a:bodyPr rot="-5400000" vert="horz"/>
              <a:lstStyle/>
              <a:p>
                <a:pPr>
                  <a:defRPr sz="1200"/>
                </a:pPr>
                <a:r>
                  <a:rPr lang="en-US" sz="1200"/>
                  <a:t>Proportion of customers</a:t>
                </a:r>
              </a:p>
            </c:rich>
          </c:tx>
          <c:layout>
            <c:manualLayout>
              <c:xMode val="edge"/>
              <c:yMode val="edge"/>
              <c:x val="0.95729236755053393"/>
              <c:y val="0.28199574343987155"/>
            </c:manualLayout>
          </c:layout>
          <c:overlay val="0"/>
        </c:title>
        <c:numFmt formatCode="0%" sourceLinked="0"/>
        <c:majorTickMark val="out"/>
        <c:minorTickMark val="none"/>
        <c:tickLblPos val="nextTo"/>
        <c:crossAx val="179364224"/>
        <c:crosses val="max"/>
        <c:crossBetween val="midCat"/>
      </c:valAx>
    </c:plotArea>
    <c:legend>
      <c:legendPos val="r"/>
      <c:legendEntry>
        <c:idx val="4"/>
        <c:delete val="1"/>
      </c:legendEntry>
      <c:legendEntry>
        <c:idx val="5"/>
        <c:delete val="1"/>
      </c:legendEntry>
      <c:layout>
        <c:manualLayout>
          <c:xMode val="edge"/>
          <c:yMode val="edge"/>
          <c:x val="0.31240428790199093"/>
          <c:y val="6.3830035429968429E-2"/>
          <c:w val="0.43032159264931102"/>
          <c:h val="0.26004777771572885"/>
        </c:manualLayout>
      </c:layout>
      <c:overlay val="0"/>
      <c:spPr>
        <a:solidFill>
          <a:schemeClr val="bg1"/>
        </a:solidFill>
      </c:spPr>
      <c:txPr>
        <a:bodyPr/>
        <a:lstStyle/>
        <a:p>
          <a:pPr>
            <a:defRPr sz="1200"/>
          </a:pPr>
          <a:endParaRPr lang="en-US"/>
        </a:p>
      </c:txPr>
    </c:legend>
    <c:plotVisOnly val="1"/>
    <c:dispBlanksAs val="gap"/>
    <c:showDLblsOverMax val="0"/>
  </c:chart>
  <c:spPr>
    <a:ln>
      <a:noFill/>
    </a:ln>
  </c:spPr>
  <c:printSettings>
    <c:headerFooter/>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034528292703"/>
          <c:y val="3.6827195467422122E-2"/>
          <c:w val="0.85590108024691403"/>
          <c:h val="0.85170930829113822"/>
        </c:manualLayout>
      </c:layout>
      <c:scatterChart>
        <c:scatterStyle val="lineMarker"/>
        <c:varyColors val="0"/>
        <c:ser>
          <c:idx val="1"/>
          <c:order val="0"/>
          <c:spPr>
            <a:ln>
              <a:solidFill>
                <a:srgbClr val="FF0000"/>
              </a:solidFill>
            </a:ln>
          </c:spPr>
          <c:marker>
            <c:symbol val="none"/>
          </c:marker>
          <c:xVal>
            <c:numRef>
              <c:f>'Output_Impact&lt;750'!$T$44:$T$147</c:f>
              <c:numCache>
                <c:formatCode>General</c:formatCode>
                <c:ptCount val="104"/>
              </c:numCache>
            </c:numRef>
          </c:xVal>
          <c:yVal>
            <c:numRef>
              <c:f>'Output_Impact&lt;750'!$V$44:$V$147</c:f>
              <c:numCache>
                <c:formatCode>General</c:formatCode>
                <c:ptCount val="104"/>
              </c:numCache>
            </c:numRef>
          </c:yVal>
          <c:smooth val="0"/>
          <c:extLst>
            <c:ext xmlns:c16="http://schemas.microsoft.com/office/drawing/2014/chart" uri="{C3380CC4-5D6E-409C-BE32-E72D297353CC}">
              <c16:uniqueId val="{00000000-2CAF-45F7-A408-DE3200CEBCA7}"/>
            </c:ext>
          </c:extLst>
        </c:ser>
        <c:dLbls>
          <c:showLegendKey val="0"/>
          <c:showVal val="0"/>
          <c:showCatName val="0"/>
          <c:showSerName val="0"/>
          <c:showPercent val="0"/>
          <c:showBubbleSize val="0"/>
        </c:dLbls>
        <c:axId val="179674112"/>
        <c:axId val="179680384"/>
      </c:scatterChart>
      <c:valAx>
        <c:axId val="179674112"/>
        <c:scaling>
          <c:orientation val="minMax"/>
          <c:max val="25000"/>
        </c:scaling>
        <c:delete val="0"/>
        <c:axPos val="b"/>
        <c:title>
          <c:tx>
            <c:rich>
              <a:bodyPr/>
              <a:lstStyle/>
              <a:p>
                <a:pPr>
                  <a:defRPr sz="1200"/>
                </a:pPr>
                <a:r>
                  <a:rPr lang="en-US" sz="1200"/>
                  <a:t>Customer consumption kWh p.a.</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680384"/>
        <c:crosses val="autoZero"/>
        <c:crossBetween val="midCat"/>
      </c:valAx>
      <c:valAx>
        <c:axId val="179680384"/>
        <c:scaling>
          <c:orientation val="minMax"/>
        </c:scaling>
        <c:delete val="0"/>
        <c:axPos val="l"/>
        <c:majorGridlines/>
        <c:title>
          <c:tx>
            <c:rich>
              <a:bodyPr rot="-5400000" vert="horz"/>
              <a:lstStyle/>
              <a:p>
                <a:pPr>
                  <a:defRPr sz="1200"/>
                </a:pPr>
                <a:r>
                  <a:rPr lang="en-US" sz="1200"/>
                  <a:t>Cumulative proportion of customers</a:t>
                </a:r>
              </a:p>
            </c:rich>
          </c:tx>
          <c:overlay val="0"/>
        </c:title>
        <c:numFmt formatCode="0%" sourceLinked="0"/>
        <c:majorTickMark val="out"/>
        <c:minorTickMark val="none"/>
        <c:tickLblPos val="nextTo"/>
        <c:crossAx val="179674112"/>
        <c:crosses val="autoZero"/>
        <c:crossBetween val="midCat"/>
      </c:valAx>
    </c:plotArea>
    <c:plotVisOnly val="1"/>
    <c:dispBlanksAs val="gap"/>
    <c:showDLblsOverMax val="0"/>
  </c:chart>
  <c:spPr>
    <a:ln>
      <a:noFill/>
    </a:ln>
  </c:spPr>
  <c:printSettings>
    <c:headerFooter/>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'Output_Impact&gt;750'!$W$34</c:f>
              <c:strCache>
                <c:ptCount val="1"/>
              </c:strCache>
            </c:strRef>
          </c:tx>
          <c:spPr>
            <a:ln w="28575">
              <a:noFill/>
            </a:ln>
          </c:spPr>
          <c:xVal>
            <c:numRef>
              <c:f>'Output_Impact&gt;750'!$D$35:$D$219</c:f>
              <c:numCache>
                <c:formatCode>General</c:formatCode>
                <c:ptCount val="185"/>
              </c:numCache>
            </c:numRef>
          </c:xVal>
          <c:yVal>
            <c:numRef>
              <c:f>'Output_Impact&gt;750'!$X$35:$X$214</c:f>
              <c:numCache>
                <c:formatCode>General</c:formatCode>
                <c:ptCount val="180"/>
              </c:numCache>
            </c:numRef>
          </c:yVal>
          <c:smooth val="0"/>
          <c:extLst>
            <c:ext xmlns:c16="http://schemas.microsoft.com/office/drawing/2014/chart" uri="{C3380CC4-5D6E-409C-BE32-E72D297353CC}">
              <c16:uniqueId val="{00000000-7136-4BDF-81AD-A94565D1811C}"/>
            </c:ext>
          </c:extLst>
        </c:ser>
        <c:dLbls>
          <c:showLegendKey val="0"/>
          <c:showVal val="0"/>
          <c:showCatName val="0"/>
          <c:showSerName val="0"/>
          <c:showPercent val="0"/>
          <c:showBubbleSize val="0"/>
        </c:dLbls>
        <c:axId val="179765632"/>
        <c:axId val="179767168"/>
      </c:scatterChart>
      <c:valAx>
        <c:axId val="179765632"/>
        <c:scaling>
          <c:orientation val="minMax"/>
        </c:scaling>
        <c:delete val="0"/>
        <c:axPos val="b"/>
        <c:numFmt formatCode="General" sourceLinked="1"/>
        <c:majorTickMark val="out"/>
        <c:minorTickMark val="none"/>
        <c:tickLblPos val="nextTo"/>
        <c:crossAx val="179767168"/>
        <c:crosses val="autoZero"/>
        <c:crossBetween val="midCat"/>
      </c:valAx>
      <c:valAx>
        <c:axId val="179767168"/>
        <c:scaling>
          <c:orientation val="minMax"/>
        </c:scaling>
        <c:delete val="0"/>
        <c:axPos val="l"/>
        <c:majorGridlines/>
        <c:numFmt formatCode="General" sourceLinked="1"/>
        <c:majorTickMark val="out"/>
        <c:minorTickMark val="none"/>
        <c:tickLblPos val="nextTo"/>
        <c:crossAx val="179765632"/>
        <c:crosses val="autoZero"/>
        <c:crossBetween val="midCat"/>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4</xdr:row>
      <xdr:rowOff>19050</xdr:rowOff>
    </xdr:from>
    <xdr:to>
      <xdr:col>5</xdr:col>
      <xdr:colOff>581025</xdr:colOff>
      <xdr:row>9</xdr:row>
      <xdr:rowOff>76201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srcRect l="14325" t="12822" r="14313" b="16229"/>
        <a:stretch/>
      </xdr:blipFill>
      <xdr:spPr>
        <a:xfrm>
          <a:off x="771525" y="695325"/>
          <a:ext cx="2562225" cy="790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277882</xdr:colOff>
      <xdr:row>14</xdr:row>
      <xdr:rowOff>17395</xdr:rowOff>
    </xdr:from>
    <xdr:to>
      <xdr:col>4</xdr:col>
      <xdr:colOff>7454348</xdr:colOff>
      <xdr:row>45</xdr:row>
      <xdr:rowOff>77173</xdr:rowOff>
    </xdr:to>
    <xdr:pic>
      <xdr:nvPicPr>
        <xdr:cNvPr id="2" name="Picture 1">
          <a:extLst>
            <a:ext uri="{FF2B5EF4-FFF2-40B4-BE49-F238E27FC236}">
              <a16:creationId xmlns:a16="http://schemas.microsoft.com/office/drawing/2014/main" id="{19670850-9808-4F97-87F0-5992D01EC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1782" y="2774883"/>
          <a:ext cx="7176466" cy="5227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298175</xdr:colOff>
      <xdr:row>62</xdr:row>
      <xdr:rowOff>132522</xdr:rowOff>
    </xdr:from>
    <xdr:to>
      <xdr:col>4</xdr:col>
      <xdr:colOff>7562023</xdr:colOff>
      <xdr:row>72</xdr:row>
      <xdr:rowOff>113837</xdr:rowOff>
    </xdr:to>
    <xdr:pic>
      <xdr:nvPicPr>
        <xdr:cNvPr id="3" name="Picture 2">
          <a:extLst>
            <a:ext uri="{FF2B5EF4-FFF2-40B4-BE49-F238E27FC236}">
              <a16:creationId xmlns:a16="http://schemas.microsoft.com/office/drawing/2014/main" id="{4F6D9948-87DA-4B54-AC80-17B7D518AC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075" y="11462510"/>
          <a:ext cx="7263848" cy="164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45</xdr:col>
      <xdr:colOff>371475</xdr:colOff>
      <xdr:row>44</xdr:row>
      <xdr:rowOff>161925</xdr:rowOff>
    </xdr:from>
    <xdr:to>
      <xdr:col>52</xdr:col>
      <xdr:colOff>38100</xdr:colOff>
      <xdr:row>66</xdr:row>
      <xdr:rowOff>0</xdr:rowOff>
    </xdr:to>
    <xdr:graphicFrame macro="">
      <xdr:nvGraphicFramePr>
        <xdr:cNvPr id="4" name="Chart 7">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45</xdr:col>
      <xdr:colOff>371475</xdr:colOff>
      <xdr:row>71</xdr:row>
      <xdr:rowOff>57150</xdr:rowOff>
    </xdr:from>
    <xdr:to>
      <xdr:col>52</xdr:col>
      <xdr:colOff>28575</xdr:colOff>
      <xdr:row>95</xdr:row>
      <xdr:rowOff>114300</xdr:rowOff>
    </xdr:to>
    <xdr:graphicFrame macro="">
      <xdr:nvGraphicFramePr>
        <xdr:cNvPr id="5" name="Chart 8">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642937</xdr:colOff>
      <xdr:row>221</xdr:row>
      <xdr:rowOff>38099</xdr:rowOff>
    </xdr:from>
    <xdr:to>
      <xdr:col>27</xdr:col>
      <xdr:colOff>114300</xdr:colOff>
      <xdr:row>261</xdr:row>
      <xdr:rowOff>9524</xdr:rowOff>
    </xdr:to>
    <xdr:graphicFrame macro="">
      <xdr:nvGraphicFramePr>
        <xdr:cNvPr id="3" name="Chart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WC12.10%20-%20Rate%20of%20Return%20Model%20-%2031%20Jan%2018%20-%20Publ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WC12.1%20-%20SCS%20Post-tax%20Revenue%20Model%20-%2016%20Mar%2018%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WC12.7%20-%20SCS%20and%20ACS%20Metering%20Capex%20Model%20%20-%2016%20Mar%2018%20-%20Publ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nput_Data"/>
      <sheetName val="Calc_Returns"/>
      <sheetName val="Output_PTRM"/>
      <sheetName val="Lookup"/>
      <sheetName val="Checks"/>
      <sheetName val="PWC12"/>
    </sheetNames>
    <sheetDataSet>
      <sheetData sheetId="0"/>
      <sheetData sheetId="1"/>
      <sheetData sheetId="2">
        <row r="18">
          <cell r="J18">
            <v>1.5108593012275628E-2</v>
          </cell>
        </row>
      </sheetData>
      <sheetData sheetId="3">
        <row r="110">
          <cell r="J110">
            <v>4.6481759804943998E-2</v>
          </cell>
        </row>
      </sheetData>
      <sheetData sheetId="4">
        <row r="18">
          <cell r="O18">
            <v>2.4248746575396662E-2</v>
          </cell>
        </row>
      </sheetData>
      <sheetData sheetId="5">
        <row r="1">
          <cell r="B1" t="str">
            <v>Model Lookups</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Depn|Inputs"/>
      <sheetName val="Depn|Calc"/>
      <sheetName val="Depn|Comparison"/>
      <sheetName val="Depn|Existing Assets"/>
      <sheetName val="DMIA"/>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 val="PWC12"/>
    </sheetNames>
    <definedNames>
      <definedName name="f" refersTo="='PTRM input'!$G$216"/>
      <definedName name="vanilla01" refersTo="='WACC'!$G$1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J7">
            <v>268.24601667949491</v>
          </cell>
        </row>
        <row r="8">
          <cell r="J8">
            <v>243.79090173519486</v>
          </cell>
        </row>
        <row r="9">
          <cell r="J9">
            <v>180.53440799429359</v>
          </cell>
        </row>
        <row r="10">
          <cell r="J10">
            <v>7.6600899739675867</v>
          </cell>
        </row>
        <row r="11">
          <cell r="J11">
            <v>99.608956662973966</v>
          </cell>
        </row>
        <row r="12">
          <cell r="J12">
            <v>43.812806131127651</v>
          </cell>
        </row>
        <row r="13">
          <cell r="J13">
            <v>33.116638375029275</v>
          </cell>
        </row>
        <row r="14">
          <cell r="J14">
            <v>9.4940274448363784</v>
          </cell>
        </row>
        <row r="15">
          <cell r="J15">
            <v>15.044125562886432</v>
          </cell>
        </row>
        <row r="16">
          <cell r="J16">
            <v>46.354917721396681</v>
          </cell>
        </row>
        <row r="17">
          <cell r="J17">
            <v>10.359004210140208</v>
          </cell>
        </row>
        <row r="18">
          <cell r="G18" t="str">
            <v>IT and Communications</v>
          </cell>
          <cell r="J18">
            <v>14.722412528496614</v>
          </cell>
        </row>
        <row r="19">
          <cell r="J19">
            <v>0.31276830796123112</v>
          </cell>
        </row>
        <row r="20">
          <cell r="J20">
            <v>0.44612408791803038</v>
          </cell>
        </row>
        <row r="216">
          <cell r="G216">
            <v>2.4248746575396662E-2</v>
          </cell>
        </row>
      </sheetData>
      <sheetData sheetId="10">
        <row r="18">
          <cell r="G18">
            <v>6.6223823594072889E-2</v>
          </cell>
        </row>
      </sheetData>
      <sheetData sheetId="11" refreshError="1"/>
      <sheetData sheetId="12" refreshError="1"/>
      <sheetData sheetId="13" refreshError="1"/>
      <sheetData sheetId="14">
        <row r="60">
          <cell r="F60">
            <v>177.84186661021639</v>
          </cell>
          <cell r="G60">
            <v>164.99861387816443</v>
          </cell>
          <cell r="H60">
            <v>174.7051634304531</v>
          </cell>
          <cell r="I60">
            <v>184.98273053250497</v>
          </cell>
          <cell r="J60">
            <v>195.86490704313468</v>
          </cell>
          <cell r="K60">
            <v>207.387260965286</v>
          </cell>
        </row>
        <row r="63">
          <cell r="G63">
            <v>9.4182208389897021E-2</v>
          </cell>
          <cell r="H63">
            <v>-3.3760666814186872E-2</v>
          </cell>
          <cell r="I63">
            <v>-3.3760666814186872E-2</v>
          </cell>
          <cell r="J63">
            <v>-3.3760666814186872E-2</v>
          </cell>
          <cell r="K63">
            <v>-3.3760666814186872E-2</v>
          </cell>
        </row>
      </sheetData>
      <sheetData sheetId="15">
        <row r="30">
          <cell r="Q30">
            <v>337.78954211459484</v>
          </cell>
        </row>
        <row r="31">
          <cell r="Q31">
            <v>149.11498268395454</v>
          </cell>
        </row>
        <row r="32">
          <cell r="Q32">
            <v>339.25110215696355</v>
          </cell>
        </row>
        <row r="33">
          <cell r="Q33">
            <v>0.37477792817639299</v>
          </cell>
        </row>
        <row r="34">
          <cell r="Q34">
            <v>34.927943946344243</v>
          </cell>
        </row>
      </sheetData>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Project list"/>
      <sheetName val="Total by category"/>
      <sheetName val="SCS --&gt;"/>
      <sheetName val="SCS total"/>
      <sheetName val="SCS CapCon"/>
      <sheetName val="Augex"/>
      <sheetName val="Repex"/>
      <sheetName val="Connections"/>
      <sheetName val="Non-Network"/>
      <sheetName val="IT"/>
      <sheetName val="Escalation"/>
      <sheetName val="Capitalised OH"/>
      <sheetName val="ACS Metering --&gt;"/>
      <sheetName val="Metering total"/>
      <sheetName val="Metering"/>
      <sheetName val="Metering | Escalation"/>
      <sheetName val="Metering | Capitalised OH"/>
      <sheetName val="Repex --&gt;"/>
      <sheetName val="BNI 1"/>
      <sheetName val="BNI 2"/>
      <sheetName val="BNI 3"/>
      <sheetName val="BNI 4"/>
      <sheetName val="BNI 5"/>
      <sheetName val="BNI 6"/>
      <sheetName val="BNI 7"/>
      <sheetName val="BNI 8"/>
      <sheetName val="BNI 9"/>
      <sheetName val="BNI 10"/>
      <sheetName val="BNI 11"/>
      <sheetName val="BNI 12"/>
      <sheetName val="BNI 13"/>
      <sheetName val="BNI 14"/>
      <sheetName val="BNI 15"/>
      <sheetName val="BNI 16"/>
      <sheetName val="BNI 17"/>
      <sheetName val="BNI 18"/>
      <sheetName val="BNI 19"/>
      <sheetName val="BNI 20"/>
      <sheetName val="BNI 21"/>
      <sheetName val="BNI 22"/>
      <sheetName val="BNI 23"/>
      <sheetName val="BNI 24"/>
      <sheetName val="BNI 25"/>
      <sheetName val="BNI 26"/>
      <sheetName val="BNI 27"/>
      <sheetName val="BNI 28"/>
      <sheetName val="BNI 29"/>
      <sheetName val="BNI 30"/>
      <sheetName val="BNI 31"/>
      <sheetName val="BNI 32"/>
      <sheetName val="BNI 33"/>
      <sheetName val="BNI 34"/>
      <sheetName val="BNI 35"/>
      <sheetName val="Augex --&gt;"/>
      <sheetName val="A-BNI 1"/>
      <sheetName val="A-BNI 2"/>
      <sheetName val="A-BNI 3"/>
      <sheetName val="A-BNI 4"/>
      <sheetName val="A-BNI 5"/>
      <sheetName val="A-BNI 6"/>
      <sheetName val="A-BNI 7"/>
      <sheetName val="A-BNI 8"/>
      <sheetName val="A-BNI 9"/>
      <sheetName val="A-BNI 10"/>
      <sheetName val="A-BNI 11"/>
      <sheetName val="A-BNI 12"/>
      <sheetName val="A-BNI 13"/>
      <sheetName val="A-BNI 14"/>
      <sheetName val="A-BNI 15"/>
      <sheetName val="ICT --&gt;"/>
      <sheetName val="I-BNI 1"/>
      <sheetName val="NonN --&gt;"/>
      <sheetName val="N-BNI 1"/>
      <sheetName val="N-BNI 2"/>
      <sheetName val="N-BNI 3"/>
      <sheetName val="N-BNI 4"/>
      <sheetName val="N-BNI 5"/>
      <sheetName val="N-BNI 6"/>
      <sheetName val="Checks"/>
    </sheetNames>
    <sheetDataSet>
      <sheetData sheetId="0"/>
      <sheetData sheetId="1"/>
      <sheetData sheetId="2"/>
      <sheetData sheetId="3"/>
      <sheetData sheetId="4"/>
      <sheetData sheetId="5">
        <row r="7">
          <cell r="I7">
            <v>2.2499999999999999E-2</v>
          </cell>
        </row>
      </sheetData>
      <sheetData sheetId="6"/>
      <sheetData sheetId="7">
        <row r="8">
          <cell r="J8">
            <v>2.1</v>
          </cell>
          <cell r="K8">
            <v>0.5</v>
          </cell>
          <cell r="L8">
            <v>8.1530000000000005</v>
          </cell>
          <cell r="M8">
            <v>10.129999999999999</v>
          </cell>
          <cell r="N8">
            <v>7.2670000000000003</v>
          </cell>
        </row>
        <row r="9">
          <cell r="J9">
            <v>1.5</v>
          </cell>
          <cell r="K9">
            <v>1.5</v>
          </cell>
          <cell r="L9">
            <v>1.5</v>
          </cell>
          <cell r="M9">
            <v>1.5</v>
          </cell>
          <cell r="N9">
            <v>1.5</v>
          </cell>
        </row>
        <row r="10">
          <cell r="J10">
            <v>0.8</v>
          </cell>
          <cell r="K10">
            <v>0.8</v>
          </cell>
          <cell r="L10">
            <v>0.8</v>
          </cell>
          <cell r="M10">
            <v>0.8</v>
          </cell>
          <cell r="N10">
            <v>0.8</v>
          </cell>
        </row>
        <row r="11">
          <cell r="J11">
            <v>0</v>
          </cell>
          <cell r="K11">
            <v>0</v>
          </cell>
          <cell r="L11">
            <v>0</v>
          </cell>
          <cell r="M11">
            <v>0</v>
          </cell>
          <cell r="N11">
            <v>0</v>
          </cell>
        </row>
        <row r="12">
          <cell r="J12">
            <v>0.3</v>
          </cell>
          <cell r="K12">
            <v>0.3</v>
          </cell>
          <cell r="L12">
            <v>0.3</v>
          </cell>
          <cell r="M12">
            <v>0.3</v>
          </cell>
          <cell r="N12">
            <v>0.3</v>
          </cell>
        </row>
        <row r="13">
          <cell r="J13">
            <v>1.9165269733530961</v>
          </cell>
          <cell r="K13">
            <v>1.8996415088260687</v>
          </cell>
          <cell r="L13">
            <v>1.7129856840751394</v>
          </cell>
          <cell r="M13">
            <v>1.6642978766294496</v>
          </cell>
          <cell r="N13">
            <v>1.6337413722922536</v>
          </cell>
        </row>
        <row r="14">
          <cell r="J14">
            <v>0</v>
          </cell>
          <cell r="K14">
            <v>0</v>
          </cell>
          <cell r="L14">
            <v>0.94899999999999995</v>
          </cell>
          <cell r="M14">
            <v>0.94399999999999995</v>
          </cell>
          <cell r="N14">
            <v>0.82799999999999996</v>
          </cell>
        </row>
        <row r="15">
          <cell r="J15">
            <v>0</v>
          </cell>
          <cell r="K15">
            <v>0</v>
          </cell>
          <cell r="L15">
            <v>0.39899999999999997</v>
          </cell>
          <cell r="M15">
            <v>0.38800000000000001</v>
          </cell>
          <cell r="N15">
            <v>0.34</v>
          </cell>
        </row>
        <row r="16">
          <cell r="J16">
            <v>0.53</v>
          </cell>
          <cell r="K16">
            <v>0.53</v>
          </cell>
          <cell r="L16">
            <v>0.92900000000000005</v>
          </cell>
          <cell r="M16">
            <v>0.91800000000000004</v>
          </cell>
          <cell r="N16">
            <v>0.87000000000000011</v>
          </cell>
        </row>
        <row r="17">
          <cell r="J17">
            <v>0</v>
          </cell>
          <cell r="K17">
            <v>0</v>
          </cell>
          <cell r="L17">
            <v>0</v>
          </cell>
          <cell r="M17">
            <v>0</v>
          </cell>
          <cell r="N17">
            <v>0</v>
          </cell>
        </row>
        <row r="18">
          <cell r="J18">
            <v>0</v>
          </cell>
          <cell r="K18">
            <v>0</v>
          </cell>
          <cell r="L18">
            <v>0</v>
          </cell>
          <cell r="M18">
            <v>0</v>
          </cell>
          <cell r="N18">
            <v>0</v>
          </cell>
        </row>
        <row r="19">
          <cell r="J19">
            <v>0</v>
          </cell>
          <cell r="K19">
            <v>0</v>
          </cell>
          <cell r="L19">
            <v>0</v>
          </cell>
          <cell r="M19">
            <v>0</v>
          </cell>
          <cell r="N19">
            <v>0</v>
          </cell>
        </row>
        <row r="20">
          <cell r="J20">
            <v>0</v>
          </cell>
          <cell r="K20">
            <v>0</v>
          </cell>
          <cell r="L20">
            <v>0</v>
          </cell>
          <cell r="M20">
            <v>0</v>
          </cell>
          <cell r="N20">
            <v>0</v>
          </cell>
        </row>
        <row r="21">
          <cell r="J21">
            <v>0</v>
          </cell>
          <cell r="K21">
            <v>0</v>
          </cell>
          <cell r="L21">
            <v>0</v>
          </cell>
          <cell r="M21">
            <v>0</v>
          </cell>
          <cell r="N21">
            <v>0</v>
          </cell>
        </row>
        <row r="22">
          <cell r="J22">
            <v>0</v>
          </cell>
          <cell r="K22">
            <v>0</v>
          </cell>
          <cell r="L22">
            <v>0</v>
          </cell>
          <cell r="M22">
            <v>0</v>
          </cell>
          <cell r="N22">
            <v>0</v>
          </cell>
        </row>
      </sheetData>
      <sheetData sheetId="8">
        <row r="8">
          <cell r="J8">
            <v>8.125</v>
          </cell>
          <cell r="K8">
            <v>8.213000000000001</v>
          </cell>
          <cell r="L8">
            <v>4.53</v>
          </cell>
          <cell r="M8">
            <v>1.867</v>
          </cell>
          <cell r="N8">
            <v>0.15</v>
          </cell>
        </row>
        <row r="9">
          <cell r="J9">
            <v>12.882666166478044</v>
          </cell>
          <cell r="K9">
            <v>14.74236817547644</v>
          </cell>
          <cell r="L9">
            <v>10.937164443200933</v>
          </cell>
          <cell r="M9">
            <v>8.2383464805098807</v>
          </cell>
          <cell r="N9">
            <v>9.1621007877890506</v>
          </cell>
        </row>
        <row r="10">
          <cell r="J10">
            <v>1.65</v>
          </cell>
          <cell r="K10">
            <v>1.468</v>
          </cell>
          <cell r="L10">
            <v>1.468</v>
          </cell>
          <cell r="M10">
            <v>1.468</v>
          </cell>
          <cell r="N10">
            <v>1.4390000000000001</v>
          </cell>
        </row>
        <row r="11">
          <cell r="J11">
            <v>7.5999999999999998E-2</v>
          </cell>
          <cell r="K11">
            <v>7.5999999999999998E-2</v>
          </cell>
          <cell r="L11">
            <v>7.5999999999999998E-2</v>
          </cell>
          <cell r="M11">
            <v>7.5999999999999998E-2</v>
          </cell>
          <cell r="N11">
            <v>7.5999999999999998E-2</v>
          </cell>
        </row>
        <row r="12">
          <cell r="J12">
            <v>2.9210000000000003</v>
          </cell>
          <cell r="K12">
            <v>3.1639999999999997</v>
          </cell>
          <cell r="L12">
            <v>3.3919999999999999</v>
          </cell>
          <cell r="M12">
            <v>3.5679999999999996</v>
          </cell>
          <cell r="N12">
            <v>3.6440000000000001</v>
          </cell>
        </row>
        <row r="13">
          <cell r="J13">
            <v>2.1619999999999999</v>
          </cell>
          <cell r="K13">
            <v>2.2250000000000001</v>
          </cell>
          <cell r="L13">
            <v>2.2930000000000001</v>
          </cell>
          <cell r="M13">
            <v>2.363</v>
          </cell>
          <cell r="N13">
            <v>2.4329999999999998</v>
          </cell>
        </row>
        <row r="14">
          <cell r="J14">
            <v>3.1959999999999997</v>
          </cell>
          <cell r="K14">
            <v>3.383</v>
          </cell>
          <cell r="L14">
            <v>1.17</v>
          </cell>
          <cell r="M14">
            <v>1.079</v>
          </cell>
          <cell r="N14">
            <v>0.76</v>
          </cell>
        </row>
        <row r="15">
          <cell r="J15">
            <v>0.88100000000000012</v>
          </cell>
          <cell r="K15">
            <v>1.0529999999999999</v>
          </cell>
          <cell r="L15">
            <v>0.55200000000000005</v>
          </cell>
          <cell r="M15">
            <v>0.29099999999999998</v>
          </cell>
          <cell r="N15">
            <v>0.17299999999999999</v>
          </cell>
        </row>
        <row r="16">
          <cell r="J16">
            <v>1.8310000000000002</v>
          </cell>
          <cell r="K16">
            <v>1.94</v>
          </cell>
          <cell r="L16">
            <v>1.4180000000000001</v>
          </cell>
          <cell r="M16">
            <v>1.0370000000000001</v>
          </cell>
          <cell r="N16">
            <v>0.67100000000000004</v>
          </cell>
        </row>
        <row r="17">
          <cell r="J17">
            <v>0</v>
          </cell>
          <cell r="K17">
            <v>0</v>
          </cell>
          <cell r="L17">
            <v>0</v>
          </cell>
          <cell r="M17">
            <v>0</v>
          </cell>
          <cell r="N17">
            <v>0</v>
          </cell>
        </row>
        <row r="18">
          <cell r="J18">
            <v>2.4500000000000001E-2</v>
          </cell>
          <cell r="K18">
            <v>0.13564999999999999</v>
          </cell>
          <cell r="L18">
            <v>0.16420000000000001</v>
          </cell>
          <cell r="M18">
            <v>4.2099999999999999E-2</v>
          </cell>
          <cell r="N18">
            <v>2.5950000000000001E-2</v>
          </cell>
        </row>
        <row r="19">
          <cell r="J19">
            <v>0</v>
          </cell>
          <cell r="K19">
            <v>0.6</v>
          </cell>
          <cell r="L19">
            <v>5.9</v>
          </cell>
          <cell r="M19">
            <v>0.8</v>
          </cell>
          <cell r="N19">
            <v>0</v>
          </cell>
        </row>
        <row r="20">
          <cell r="J20">
            <v>0</v>
          </cell>
          <cell r="K20">
            <v>0</v>
          </cell>
          <cell r="L20">
            <v>0</v>
          </cell>
          <cell r="M20">
            <v>0</v>
          </cell>
          <cell r="N20">
            <v>0</v>
          </cell>
        </row>
        <row r="21">
          <cell r="J21">
            <v>0</v>
          </cell>
          <cell r="K21">
            <v>0</v>
          </cell>
          <cell r="L21">
            <v>0</v>
          </cell>
          <cell r="M21">
            <v>0</v>
          </cell>
          <cell r="N21">
            <v>0</v>
          </cell>
        </row>
        <row r="22">
          <cell r="J22">
            <v>0</v>
          </cell>
          <cell r="K22">
            <v>0</v>
          </cell>
          <cell r="L22">
            <v>0</v>
          </cell>
          <cell r="M22">
            <v>0</v>
          </cell>
          <cell r="N2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X35"/>
  <sheetViews>
    <sheetView showGridLines="0" tabSelected="1" zoomScaleNormal="100" workbookViewId="0"/>
  </sheetViews>
  <sheetFormatPr defaultColWidth="0" defaultRowHeight="12.9" zeroHeight="1"/>
  <cols>
    <col min="1" max="1" width="9.1171875" style="13" customWidth="1"/>
    <col min="2" max="3" width="5.703125" style="13" customWidth="1"/>
    <col min="4" max="4" width="12.703125" style="13" customWidth="1"/>
    <col min="5" max="24" width="9.1171875" style="13" customWidth="1"/>
    <col min="25" max="16384" width="9.1171875" style="13" hidden="1"/>
  </cols>
  <sheetData>
    <row r="1" spans="2:13" ht="11.25" customHeight="1"/>
    <row r="2" spans="2:13" ht="11.25" customHeight="1"/>
    <row r="3" spans="2:13" s="11" customFormat="1" ht="20.399999999999999">
      <c r="B3" s="8" t="s">
        <v>547</v>
      </c>
    </row>
    <row r="4" spans="2:13" ht="11.25" customHeight="1"/>
    <row r="5" spans="2:13" ht="11.25" customHeight="1"/>
    <row r="6" spans="2:13" ht="11.25" customHeight="1"/>
    <row r="7" spans="2:13" ht="11.25" customHeight="1"/>
    <row r="8" spans="2:13" ht="11.25" customHeight="1"/>
    <row r="9" spans="2:13"/>
    <row r="10" spans="2:13"/>
    <row r="11" spans="2:13">
      <c r="C11" s="64" t="s">
        <v>89</v>
      </c>
      <c r="E11" s="29" t="s">
        <v>546</v>
      </c>
    </row>
    <row r="12" spans="2:13"/>
    <row r="13" spans="2:13">
      <c r="D13" s="337" t="str">
        <f>TOC!B1</f>
        <v>Table of Contents</v>
      </c>
    </row>
    <row r="14" spans="2:13"/>
    <row r="15" spans="2:13">
      <c r="C15" s="48"/>
      <c r="D15" s="49"/>
      <c r="E15" s="49"/>
      <c r="F15" s="49"/>
      <c r="G15" s="49"/>
      <c r="H15" s="49"/>
      <c r="I15" s="49"/>
      <c r="J15" s="49"/>
      <c r="K15" s="49"/>
      <c r="L15" s="49"/>
      <c r="M15" s="50"/>
    </row>
    <row r="16" spans="2:13">
      <c r="C16" s="51"/>
      <c r="D16" s="61" t="s">
        <v>72</v>
      </c>
      <c r="E16" s="52"/>
      <c r="F16" s="54" t="s">
        <v>86</v>
      </c>
      <c r="G16" s="52"/>
      <c r="H16" s="52"/>
      <c r="I16" s="52"/>
      <c r="J16" s="52"/>
      <c r="K16" s="52"/>
      <c r="L16" s="52"/>
      <c r="M16" s="53"/>
    </row>
    <row r="17" spans="3:22">
      <c r="C17" s="51"/>
      <c r="D17" s="55" t="s">
        <v>81</v>
      </c>
      <c r="E17" s="52"/>
      <c r="F17" s="54" t="s">
        <v>83</v>
      </c>
      <c r="G17" s="52"/>
      <c r="H17" s="52"/>
      <c r="I17" s="52"/>
      <c r="J17" s="52"/>
      <c r="K17" s="52"/>
      <c r="L17" s="52"/>
      <c r="M17" s="53"/>
    </row>
    <row r="18" spans="3:22">
      <c r="C18" s="51"/>
      <c r="D18" s="56" t="s">
        <v>82</v>
      </c>
      <c r="E18" s="52"/>
      <c r="F18" s="54" t="s">
        <v>84</v>
      </c>
      <c r="G18" s="52"/>
      <c r="H18" s="52"/>
      <c r="I18" s="52"/>
      <c r="J18" s="52"/>
      <c r="K18" s="52"/>
      <c r="L18" s="52"/>
      <c r="M18" s="53"/>
    </row>
    <row r="19" spans="3:22">
      <c r="C19" s="51"/>
      <c r="D19" s="57" t="s">
        <v>20</v>
      </c>
      <c r="E19" s="52"/>
      <c r="F19" s="54" t="s">
        <v>87</v>
      </c>
      <c r="G19" s="52"/>
      <c r="H19" s="52"/>
      <c r="I19" s="52"/>
      <c r="J19" s="52"/>
      <c r="K19" s="52"/>
      <c r="L19" s="52"/>
      <c r="M19" s="53"/>
    </row>
    <row r="20" spans="3:22" ht="14.4">
      <c r="C20" s="51"/>
      <c r="D20" s="70" t="s">
        <v>85</v>
      </c>
      <c r="E20" s="52"/>
      <c r="F20" s="54" t="s">
        <v>88</v>
      </c>
      <c r="G20" s="52"/>
      <c r="H20" s="52"/>
      <c r="I20" s="52"/>
      <c r="J20" s="52"/>
      <c r="K20" s="52"/>
      <c r="L20" s="52"/>
      <c r="M20" s="53"/>
    </row>
    <row r="21" spans="3:22">
      <c r="C21" s="58"/>
      <c r="D21" s="59"/>
      <c r="E21" s="59"/>
      <c r="F21" s="59"/>
      <c r="G21" s="59"/>
      <c r="H21" s="59"/>
      <c r="I21" s="59"/>
      <c r="J21" s="59"/>
      <c r="K21" s="59"/>
      <c r="L21" s="59"/>
      <c r="M21" s="60"/>
    </row>
    <row r="22" spans="3:22"/>
    <row r="23" spans="3:22">
      <c r="C23" s="482" t="s">
        <v>553</v>
      </c>
      <c r="D23" s="482"/>
      <c r="E23" s="482"/>
      <c r="F23" s="482"/>
      <c r="G23" s="482"/>
      <c r="H23" s="482"/>
      <c r="I23" s="482"/>
      <c r="J23" s="482"/>
      <c r="K23" s="482"/>
      <c r="L23" s="482"/>
      <c r="M23" s="482"/>
      <c r="N23" s="482"/>
      <c r="O23" s="482"/>
      <c r="P23" s="482"/>
      <c r="Q23" s="482"/>
      <c r="R23" s="482"/>
      <c r="S23" s="482"/>
      <c r="T23" s="482"/>
      <c r="U23" s="482"/>
      <c r="V23" s="482"/>
    </row>
    <row r="24" spans="3:22">
      <c r="C24" s="482"/>
      <c r="D24" s="482"/>
      <c r="E24" s="482"/>
      <c r="F24" s="482"/>
      <c r="G24" s="482"/>
      <c r="H24" s="482"/>
      <c r="I24" s="482"/>
      <c r="J24" s="482"/>
      <c r="K24" s="482"/>
      <c r="L24" s="482"/>
      <c r="M24" s="482"/>
      <c r="N24" s="482"/>
      <c r="O24" s="482"/>
      <c r="P24" s="482"/>
      <c r="Q24" s="482"/>
      <c r="R24" s="482"/>
      <c r="S24" s="482"/>
      <c r="T24" s="482"/>
      <c r="U24" s="482"/>
      <c r="V24" s="482"/>
    </row>
    <row r="25" spans="3:22">
      <c r="C25" s="482"/>
      <c r="D25" s="482"/>
      <c r="E25" s="482"/>
      <c r="F25" s="482"/>
      <c r="G25" s="482"/>
      <c r="H25" s="482"/>
      <c r="I25" s="482"/>
      <c r="J25" s="482"/>
      <c r="K25" s="482"/>
      <c r="L25" s="482"/>
      <c r="M25" s="482"/>
      <c r="N25" s="482"/>
      <c r="O25" s="482"/>
      <c r="P25" s="482"/>
      <c r="Q25" s="482"/>
      <c r="R25" s="482"/>
      <c r="S25" s="482"/>
      <c r="T25" s="482"/>
      <c r="U25" s="482"/>
      <c r="V25" s="482"/>
    </row>
    <row r="26" spans="3:22">
      <c r="C26" s="482"/>
      <c r="D26" s="482"/>
      <c r="E26" s="482"/>
      <c r="F26" s="482"/>
      <c r="G26" s="482"/>
      <c r="H26" s="482"/>
      <c r="I26" s="482"/>
      <c r="J26" s="482"/>
      <c r="K26" s="482"/>
      <c r="L26" s="482"/>
      <c r="M26" s="482"/>
      <c r="N26" s="482"/>
      <c r="O26" s="482"/>
      <c r="P26" s="482"/>
      <c r="Q26" s="482"/>
      <c r="R26" s="482"/>
      <c r="S26" s="482"/>
      <c r="T26" s="482"/>
      <c r="U26" s="482"/>
      <c r="V26" s="482"/>
    </row>
    <row r="27" spans="3:22">
      <c r="C27" s="482"/>
      <c r="D27" s="482"/>
      <c r="E27" s="482"/>
      <c r="F27" s="482"/>
      <c r="G27" s="482"/>
      <c r="H27" s="482"/>
      <c r="I27" s="482"/>
      <c r="J27" s="482"/>
      <c r="K27" s="482"/>
      <c r="L27" s="482"/>
      <c r="M27" s="482"/>
      <c r="N27" s="482"/>
      <c r="O27" s="482"/>
      <c r="P27" s="482"/>
      <c r="Q27" s="482"/>
      <c r="R27" s="482"/>
      <c r="S27" s="482"/>
      <c r="T27" s="482"/>
      <c r="U27" s="482"/>
      <c r="V27" s="482"/>
    </row>
    <row r="28" spans="3:22">
      <c r="C28" s="482"/>
      <c r="D28" s="482"/>
      <c r="E28" s="482"/>
      <c r="F28" s="482"/>
      <c r="G28" s="482"/>
      <c r="H28" s="482"/>
      <c r="I28" s="482"/>
      <c r="J28" s="482"/>
      <c r="K28" s="482"/>
      <c r="L28" s="482"/>
      <c r="M28" s="482"/>
      <c r="N28" s="482"/>
      <c r="O28" s="482"/>
      <c r="P28" s="482"/>
      <c r="Q28" s="482"/>
      <c r="R28" s="482"/>
      <c r="S28" s="482"/>
      <c r="T28" s="482"/>
      <c r="U28" s="482"/>
      <c r="V28" s="482"/>
    </row>
    <row r="29" spans="3:22">
      <c r="C29" s="482"/>
      <c r="D29" s="482"/>
      <c r="E29" s="482"/>
      <c r="F29" s="482"/>
      <c r="G29" s="482"/>
      <c r="H29" s="482"/>
      <c r="I29" s="482"/>
      <c r="J29" s="482"/>
      <c r="K29" s="482"/>
      <c r="L29" s="482"/>
      <c r="M29" s="482"/>
      <c r="N29" s="482"/>
      <c r="O29" s="482"/>
      <c r="P29" s="482"/>
      <c r="Q29" s="482"/>
      <c r="R29" s="482"/>
      <c r="S29" s="482"/>
      <c r="T29" s="482"/>
      <c r="U29" s="482"/>
      <c r="V29" s="482"/>
    </row>
    <row r="30" spans="3:22"/>
    <row r="31" spans="3:22"/>
    <row r="32" spans="3:22"/>
    <row r="33"/>
    <row r="34"/>
    <row r="35"/>
  </sheetData>
  <mergeCells count="1">
    <mergeCell ref="C23:V29"/>
  </mergeCells>
  <hyperlinks>
    <hyperlink ref="D13" location="'ToC'!$A$1" tooltip="Go To Table of Contents" display="='ToC'!B1" xr:uid="{00000000-0004-0000-0000-000000000000}"/>
  </hyperlinks>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29"/>
  <sheetViews>
    <sheetView showGridLines="0" zoomScaleNormal="100" workbookViewId="0">
      <pane xSplit="1" ySplit="4" topLeftCell="B5" activePane="bottomRight" state="frozen"/>
      <selection activeCell="D17" sqref="D17"/>
      <selection pane="topRight" activeCell="D17" sqref="D17"/>
      <selection pane="bottomLeft" activeCell="D17" sqref="D17"/>
      <selection pane="bottomRight" activeCell="B5" sqref="B5"/>
    </sheetView>
  </sheetViews>
  <sheetFormatPr defaultColWidth="0" defaultRowHeight="10.199999999999999"/>
  <cols>
    <col min="1" max="3" width="2.41015625" style="456" customWidth="1"/>
    <col min="4" max="4" width="32.29296875" style="456" customWidth="1"/>
    <col min="5" max="8" width="9.29296875" style="456" customWidth="1"/>
    <col min="9" max="9" width="40" style="456" customWidth="1"/>
    <col min="10" max="15" width="9.29296875" style="456" hidden="1" customWidth="1"/>
    <col min="16" max="16384" width="8" style="456" hidden="1"/>
  </cols>
  <sheetData>
    <row r="1" spans="2:9" ht="18.899999999999999">
      <c r="B1" s="455" t="s">
        <v>96</v>
      </c>
    </row>
    <row r="2" spans="2:9">
      <c r="B2" s="457" t="str">
        <f>Title_Msg</f>
        <v>No Errors Found</v>
      </c>
    </row>
    <row r="3" spans="2:9" ht="12.9">
      <c r="B3" s="465" t="s">
        <v>548</v>
      </c>
      <c r="C3" s="458"/>
      <c r="D3" s="458"/>
      <c r="E3" s="459"/>
    </row>
    <row r="4" spans="2:9" ht="12.3">
      <c r="B4" s="460" t="str">
        <f>Model_Name</f>
        <v>Power and Water Corporation (PWC) Network Pricing Model</v>
      </c>
    </row>
    <row r="6" spans="2:9" s="461" customFormat="1" ht="15">
      <c r="B6" s="461" t="str">
        <f>B1</f>
        <v>Table of Contents</v>
      </c>
    </row>
    <row r="7" spans="2:9" s="462" customFormat="1" ht="4.5" customHeight="1"/>
    <row r="8" spans="2:9" s="463" customFormat="1" ht="14.1">
      <c r="C8" s="463" t="s">
        <v>551</v>
      </c>
    </row>
    <row r="9" spans="2:9" s="462" customFormat="1" ht="4.5" customHeight="1"/>
    <row r="10" spans="2:9" s="462" customFormat="1" ht="20.25" customHeight="1">
      <c r="D10" s="464" t="str">
        <f>Sources!$B$1</f>
        <v>Sources</v>
      </c>
      <c r="E10" s="483" t="s">
        <v>453</v>
      </c>
      <c r="F10" s="483"/>
      <c r="G10" s="483"/>
      <c r="H10" s="483"/>
    </row>
    <row r="11" spans="2:9" s="462" customFormat="1" ht="21" customHeight="1">
      <c r="D11" s="464" t="str">
        <f>Inputs_General!B1</f>
        <v>Inputs | General</v>
      </c>
      <c r="E11" s="483" t="s">
        <v>98</v>
      </c>
      <c r="F11" s="483"/>
      <c r="G11" s="483"/>
      <c r="H11" s="483"/>
    </row>
    <row r="12" spans="2:9" s="462" customFormat="1" ht="21.4" customHeight="1">
      <c r="D12" s="475" t="str">
        <f>'Inputs_&gt;750MWh'!B1</f>
        <v>Inputs | Data for customers &gt;750 MWh</v>
      </c>
      <c r="E12" s="484" t="s">
        <v>454</v>
      </c>
      <c r="F12" s="484"/>
      <c r="G12" s="484"/>
      <c r="H12" s="484"/>
      <c r="I12" s="474" t="s">
        <v>554</v>
      </c>
    </row>
    <row r="13" spans="2:9" s="462" customFormat="1" ht="80.25" customHeight="1">
      <c r="D13" s="464" t="str">
        <f>Calc_Cost_of_Supply!B1</f>
        <v>Calc | Cost of supply</v>
      </c>
      <c r="E13" s="483" t="s">
        <v>102</v>
      </c>
      <c r="F13" s="483"/>
      <c r="G13" s="483"/>
      <c r="H13" s="483"/>
    </row>
    <row r="14" spans="2:9" s="462" customFormat="1" ht="30.4" customHeight="1">
      <c r="D14" s="464" t="str">
        <f>Calc_A_SA_Costs!B1</f>
        <v>Calc | Avoidable &amp; stand-alone costs</v>
      </c>
      <c r="E14" s="483" t="s">
        <v>103</v>
      </c>
      <c r="F14" s="483"/>
      <c r="G14" s="483"/>
      <c r="H14" s="483"/>
    </row>
    <row r="15" spans="2:9" s="462" customFormat="1" ht="46.15" customHeight="1">
      <c r="D15" s="464" t="str">
        <f>Calc_LRMC!B1</f>
        <v>Calc | Long run marginal cost</v>
      </c>
      <c r="E15" s="483" t="s">
        <v>496</v>
      </c>
      <c r="F15" s="483"/>
      <c r="G15" s="483"/>
      <c r="H15" s="483"/>
    </row>
    <row r="16" spans="2:9" s="462" customFormat="1" ht="30.75" customHeight="1">
      <c r="D16" s="464" t="str">
        <f>Calc_Network_Cost_Alloc!B1</f>
        <v>Calc | Network cost allocation</v>
      </c>
      <c r="E16" s="483" t="s">
        <v>105</v>
      </c>
      <c r="F16" s="483"/>
      <c r="G16" s="483"/>
      <c r="H16" s="483"/>
    </row>
    <row r="17" spans="2:9" s="462" customFormat="1" ht="23.65" customHeight="1">
      <c r="D17" s="464" t="str">
        <f>Output_AER_Compliance!B1</f>
        <v>Output | AER compliance</v>
      </c>
      <c r="E17" s="483" t="s">
        <v>99</v>
      </c>
      <c r="F17" s="483"/>
      <c r="G17" s="483"/>
      <c r="H17" s="483"/>
    </row>
    <row r="18" spans="2:9" s="462" customFormat="1" ht="31.15" customHeight="1">
      <c r="D18" s="464" t="str">
        <f>Output_Cost_of_Supply!B1</f>
        <v>Output | Cost of supply</v>
      </c>
      <c r="E18" s="483" t="s">
        <v>101</v>
      </c>
      <c r="F18" s="483"/>
      <c r="G18" s="483"/>
      <c r="H18" s="483"/>
    </row>
    <row r="19" spans="2:9" s="462" customFormat="1" ht="31.15" customHeight="1">
      <c r="D19" s="475" t="str">
        <f>'Output_Impact&lt;750'!B1</f>
        <v>Output | Impact &lt;750</v>
      </c>
      <c r="E19" s="484" t="s">
        <v>556</v>
      </c>
      <c r="F19" s="484"/>
      <c r="G19" s="484"/>
      <c r="H19" s="484"/>
      <c r="I19" s="474" t="s">
        <v>554</v>
      </c>
    </row>
    <row r="20" spans="2:9" s="462" customFormat="1" ht="31.15" customHeight="1">
      <c r="D20" s="475" t="str">
        <f>'Output_Impact&gt;750'!B1</f>
        <v>Output | Impact &gt;750</v>
      </c>
      <c r="E20" s="484" t="s">
        <v>557</v>
      </c>
      <c r="F20" s="484"/>
      <c r="G20" s="484"/>
      <c r="H20" s="484"/>
      <c r="I20" s="474" t="s">
        <v>554</v>
      </c>
    </row>
    <row r="21" spans="2:9" s="462" customFormat="1" ht="30.75" customHeight="1">
      <c r="D21" s="464" t="str">
        <f>'Output_Tariff_Schedules_No GST'!B1</f>
        <v>Output | Tariff schedules (no GST)</v>
      </c>
      <c r="E21" s="483" t="s">
        <v>100</v>
      </c>
      <c r="F21" s="483"/>
      <c r="G21" s="483"/>
      <c r="H21" s="483"/>
    </row>
    <row r="22" spans="2:9" s="462" customFormat="1" ht="33.4" customHeight="1">
      <c r="D22" s="464" t="str">
        <f>Output_Tariff_Schedules_GST!B1</f>
        <v>Output | Tariff schedules (GST)</v>
      </c>
      <c r="E22" s="483" t="s">
        <v>100</v>
      </c>
      <c r="F22" s="483"/>
      <c r="G22" s="483"/>
      <c r="H22" s="483"/>
    </row>
    <row r="23" spans="2:9" s="462" customFormat="1" ht="11.25" customHeight="1"/>
    <row r="24" spans="2:9" s="463" customFormat="1" ht="14.1">
      <c r="C24" s="463" t="s">
        <v>549</v>
      </c>
    </row>
    <row r="25" spans="2:9" s="462" customFormat="1" ht="4.5" customHeight="1"/>
    <row r="26" spans="2:9" ht="21.4" customHeight="1">
      <c r="D26" s="464" t="str">
        <f>[1]Lookup!B1</f>
        <v>Model Lookups</v>
      </c>
      <c r="E26" s="483" t="s">
        <v>106</v>
      </c>
      <c r="F26" s="483"/>
      <c r="G26" s="483"/>
      <c r="H26" s="483"/>
    </row>
    <row r="27" spans="2:9">
      <c r="D27" s="458" t="str">
        <f>Checks!B1</f>
        <v>Checks</v>
      </c>
    </row>
    <row r="28" spans="2:9" s="462" customFormat="1" ht="4.5" customHeight="1"/>
    <row r="29" spans="2:9" s="461" customFormat="1" ht="15">
      <c r="B29" s="461" t="s">
        <v>550</v>
      </c>
    </row>
  </sheetData>
  <mergeCells count="14">
    <mergeCell ref="E26:H26"/>
    <mergeCell ref="E19:H19"/>
    <mergeCell ref="E16:H16"/>
    <mergeCell ref="E17:H17"/>
    <mergeCell ref="E18:H18"/>
    <mergeCell ref="E20:H20"/>
    <mergeCell ref="E21:H21"/>
    <mergeCell ref="E22:H22"/>
    <mergeCell ref="E15:H15"/>
    <mergeCell ref="E10:H10"/>
    <mergeCell ref="E11:H11"/>
    <mergeCell ref="E12:H12"/>
    <mergeCell ref="E13:H13"/>
    <mergeCell ref="E14:H14"/>
  </mergeCells>
  <conditionalFormatting sqref="B2">
    <cfRule type="cellIs" dxfId="28" priority="1" operator="notEqual">
      <formula>"No Errors Found"</formula>
    </cfRule>
  </conditionalFormatting>
  <hyperlinks>
    <hyperlink ref="D26" location="Lookup!A1" display="Lookup!A1" xr:uid="{00000000-0004-0000-0100-000000000000}"/>
    <hyperlink ref="B3:D3" location="Cover!A1" display="Go to Cover Sheet" xr:uid="{00000000-0004-0000-0100-000001000000}"/>
    <hyperlink ref="C8" location="SC_General!A1" display="SC_General!A1" xr:uid="{00000000-0004-0000-0100-000002000000}"/>
    <hyperlink ref="D10" location="'Sources'!$A$1" tooltip="Go To Sources" display="='Sources'!B1" xr:uid="{00000000-0004-0000-0100-000003000000}"/>
    <hyperlink ref="D11" location="'Inputs_General'!$A$1" tooltip="Go To Inputs - General" display="='Inputs_General'!B1" xr:uid="{00000000-0004-0000-0100-000004000000}"/>
    <hyperlink ref="D12" location="'Inputs_&gt;750MWh'!A1" tooltip="Go To Input Data for Pricing Proposal: Cost of Supply Model" display="'Inputs_&gt;750MWh'!A1" xr:uid="{00000000-0004-0000-0100-000005000000}"/>
    <hyperlink ref="D17" location="Output_AER_Compliance!A1" tooltip="Go To Compliance Modelling Summary" display="Output_AER_Compliance!A1" xr:uid="{00000000-0004-0000-0100-000006000000}"/>
    <hyperlink ref="D13" location="Calc_Cost_of_Supply!A1" tooltip="Go To Cost of Supply" display="Calc_Cost_of_Supply!A1" xr:uid="{00000000-0004-0000-0100-000007000000}"/>
    <hyperlink ref="D18" location="Output_Cost_of_Supply!A1" tooltip="Go To Cost of Supply Summary" display="Output_Cost_of_Supply!A1" xr:uid="{00000000-0004-0000-0100-000008000000}"/>
    <hyperlink ref="D21" location="'Output_Tariff_Schedules_No GST'!A1" tooltip="Go To Tariff Schedules (No GST)" display="'Output_Tariff_Schedules_No GST'!A1" xr:uid="{00000000-0004-0000-0100-000009000000}"/>
    <hyperlink ref="D22" location="Output_Tariff_Schedules_GST!A1" tooltip="Go To Tariff Schedules (GST)" display="Output_Tariff_Schedules_GST!A1" xr:uid="{00000000-0004-0000-0100-00000A000000}"/>
    <hyperlink ref="D14" location="Calc_A_SA_Costs!A1" tooltip="Go To Avoidable &amp; Stand-Alone Costs" display="Calc_A_SA_Costs!A1" xr:uid="{00000000-0004-0000-0100-00000B000000}"/>
    <hyperlink ref="D15" location="Calc_LRMC!A1" tooltip="Go To LRMC" display="Calc_LRMC!A1" xr:uid="{00000000-0004-0000-0100-00000C000000}"/>
    <hyperlink ref="D16" location="Calc_Network_Cost_Alloc!A1" tooltip="Go To Network Cost Allocation" display="Calc_Network_Cost_Alloc!A1" xr:uid="{00000000-0004-0000-0100-00000D000000}"/>
    <hyperlink ref="D20" location="'Impact&gt;750'!$A$1" tooltip="Go To Impact &gt;750" display="='Impact&gt;750'!B1" xr:uid="{00000000-0004-0000-0100-00000E000000}"/>
    <hyperlink ref="D27" location="'Checks'!$A$1" tooltip="Go To Checks" display="='Checks'!B1" xr:uid="{00000000-0004-0000-0100-00000F000000}"/>
    <hyperlink ref="B3" location="Cover!A1" display="Go to Cover Sheet" xr:uid="{00000000-0004-0000-0100-000010000000}"/>
    <hyperlink ref="D19" location="'Output_Impact&lt;750'!A1" tooltip="Go To Impact &gt;750" display="'Output_Impact&lt;750'!A1" xr:uid="{00000000-0004-0000-0100-00001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H127"/>
  <sheetViews>
    <sheetView showGridLines="0" zoomScaleNormal="100" workbookViewId="0">
      <pane xSplit="1" ySplit="5" topLeftCell="B6" activePane="bottomRight" state="frozen"/>
      <selection pane="topRight"/>
      <selection pane="bottomLeft"/>
      <selection pane="bottomRight" activeCell="B6" sqref="B6"/>
    </sheetView>
  </sheetViews>
  <sheetFormatPr defaultColWidth="0" defaultRowHeight="13.15" customHeight="1" zeroHeight="1"/>
  <cols>
    <col min="1" max="4" width="2.703125" style="13" customWidth="1"/>
    <col min="5" max="5" width="120.703125" style="13" customWidth="1"/>
    <col min="6" max="6" width="10.703125" style="13" customWidth="1"/>
    <col min="7" max="8" width="10.703125" style="13" hidden="1" customWidth="1"/>
    <col min="9" max="16384" width="9.1171875" style="13" hidden="1"/>
  </cols>
  <sheetData>
    <row r="1" spans="2:5" ht="20.399999999999999">
      <c r="B1" s="8" t="s">
        <v>97</v>
      </c>
    </row>
    <row r="2" spans="2:5" ht="11.25" customHeight="1">
      <c r="B2" s="72" t="str">
        <f>Title_Msg</f>
        <v>No Errors Found</v>
      </c>
    </row>
    <row r="3" spans="2:5" ht="12.9">
      <c r="B3" s="71" t="str">
        <f>Model_Name</f>
        <v>Power and Water Corporation (PWC) Network Pricing Model</v>
      </c>
    </row>
    <row r="4" spans="2:5" ht="12.9">
      <c r="B4" s="337" t="str">
        <f>TOC!$B$1</f>
        <v>Table of Contents</v>
      </c>
    </row>
    <row r="5" spans="2:5" ht="12.9"/>
    <row r="6" spans="2:5" ht="12.9"/>
    <row r="7" spans="2:5" ht="14.4">
      <c r="C7" s="485" t="s">
        <v>107</v>
      </c>
      <c r="D7" s="485"/>
      <c r="E7" s="485"/>
    </row>
    <row r="8" spans="2:5" ht="12.9"/>
    <row r="9" spans="2:5" ht="12.9">
      <c r="D9" s="486" t="s">
        <v>108</v>
      </c>
      <c r="E9" s="486"/>
    </row>
    <row r="10" spans="2:5" ht="38.700000000000003">
      <c r="E10" s="437" t="s">
        <v>109</v>
      </c>
    </row>
    <row r="11" spans="2:5" ht="12.9">
      <c r="E11" s="14"/>
    </row>
    <row r="12" spans="2:5" ht="12.9">
      <c r="D12" s="486" t="s">
        <v>110</v>
      </c>
      <c r="E12" s="486"/>
    </row>
    <row r="13" spans="2:5" ht="12.9">
      <c r="E13" s="14" t="s">
        <v>111</v>
      </c>
    </row>
    <row r="14" spans="2:5" ht="12.9">
      <c r="E14" s="14"/>
    </row>
    <row r="15" spans="2:5" ht="12.9">
      <c r="E15" s="14"/>
    </row>
    <row r="16" spans="2:5" ht="12.9">
      <c r="E16" s="14"/>
    </row>
    <row r="17" spans="5:5" ht="12.9">
      <c r="E17" s="14"/>
    </row>
    <row r="18" spans="5:5" ht="12.9">
      <c r="E18" s="14"/>
    </row>
    <row r="19" spans="5:5" ht="12.9">
      <c r="E19" s="14"/>
    </row>
    <row r="20" spans="5:5" ht="12.9">
      <c r="E20" s="14"/>
    </row>
    <row r="21" spans="5:5" ht="12.9">
      <c r="E21" s="14"/>
    </row>
    <row r="22" spans="5:5" ht="12.9">
      <c r="E22" s="14"/>
    </row>
    <row r="23" spans="5:5" ht="12.9">
      <c r="E23" s="14"/>
    </row>
    <row r="24" spans="5:5" ht="12.9">
      <c r="E24" s="14"/>
    </row>
    <row r="25" spans="5:5" ht="12.9">
      <c r="E25" s="14"/>
    </row>
    <row r="26" spans="5:5" ht="12.9">
      <c r="E26" s="14"/>
    </row>
    <row r="27" spans="5:5" ht="12.9">
      <c r="E27" s="14"/>
    </row>
    <row r="28" spans="5:5" ht="12.9">
      <c r="E28" s="14"/>
    </row>
    <row r="29" spans="5:5" ht="12.9">
      <c r="E29" s="14"/>
    </row>
    <row r="30" spans="5:5" ht="12.9">
      <c r="E30" s="14"/>
    </row>
    <row r="31" spans="5:5" ht="12.9">
      <c r="E31" s="14"/>
    </row>
    <row r="32" spans="5:5" ht="12.9">
      <c r="E32" s="14"/>
    </row>
    <row r="33" spans="5:5" ht="12.9">
      <c r="E33" s="14"/>
    </row>
    <row r="34" spans="5:5" ht="12.9">
      <c r="E34" s="14"/>
    </row>
    <row r="35" spans="5:5" ht="12.9">
      <c r="E35" s="14"/>
    </row>
    <row r="36" spans="5:5" ht="12.9">
      <c r="E36" s="14"/>
    </row>
    <row r="37" spans="5:5" ht="12.9">
      <c r="E37" s="14"/>
    </row>
    <row r="38" spans="5:5" ht="12.9">
      <c r="E38" s="14"/>
    </row>
    <row r="39" spans="5:5" ht="12.9">
      <c r="E39" s="14"/>
    </row>
    <row r="40" spans="5:5" ht="12.9">
      <c r="E40" s="14"/>
    </row>
    <row r="41" spans="5:5" ht="12.9">
      <c r="E41" s="14"/>
    </row>
    <row r="42" spans="5:5" ht="12.9">
      <c r="E42" s="14"/>
    </row>
    <row r="43" spans="5:5" ht="12.9">
      <c r="E43" s="14"/>
    </row>
    <row r="44" spans="5:5" ht="12.9">
      <c r="E44" s="14"/>
    </row>
    <row r="45" spans="5:5" ht="12.9">
      <c r="E45" s="14"/>
    </row>
    <row r="46" spans="5:5" ht="12.9">
      <c r="E46" s="14"/>
    </row>
    <row r="47" spans="5:5" ht="12.9">
      <c r="E47" s="14"/>
    </row>
    <row r="48" spans="5:5" ht="12.9">
      <c r="E48" s="437" t="s">
        <v>112</v>
      </c>
    </row>
    <row r="49" spans="5:5" ht="12.9"/>
    <row r="50" spans="5:5" ht="25.8">
      <c r="E50" s="437" t="s">
        <v>113</v>
      </c>
    </row>
    <row r="51" spans="5:5" ht="12.9"/>
    <row r="52" spans="5:5" ht="25.8">
      <c r="E52" s="437" t="s">
        <v>114</v>
      </c>
    </row>
    <row r="53" spans="5:5" ht="12.9"/>
    <row r="54" spans="5:5" ht="12.9">
      <c r="E54" s="437" t="s">
        <v>115</v>
      </c>
    </row>
    <row r="55" spans="5:5" ht="12.9"/>
    <row r="56" spans="5:5" ht="12.9">
      <c r="E56" s="437" t="s">
        <v>116</v>
      </c>
    </row>
    <row r="57" spans="5:5" ht="12.9"/>
    <row r="58" spans="5:5" ht="14.7">
      <c r="E58" s="437" t="s">
        <v>129</v>
      </c>
    </row>
    <row r="59" spans="5:5" ht="12.9"/>
    <row r="60" spans="5:5" ht="14.7">
      <c r="E60" s="437" t="s">
        <v>130</v>
      </c>
    </row>
    <row r="61" spans="5:5" ht="12.9"/>
    <row r="62" spans="5:5" ht="27.6">
      <c r="E62" s="437" t="s">
        <v>131</v>
      </c>
    </row>
    <row r="63" spans="5:5" ht="12.9">
      <c r="E63" s="14"/>
    </row>
    <row r="64" spans="5:5" ht="12.9">
      <c r="E64" s="14"/>
    </row>
    <row r="65" spans="5:5" ht="12.9">
      <c r="E65" s="14"/>
    </row>
    <row r="66" spans="5:5" ht="12.9">
      <c r="E66" s="14"/>
    </row>
    <row r="67" spans="5:5" ht="12.9">
      <c r="E67" s="14"/>
    </row>
    <row r="68" spans="5:5" ht="12.9">
      <c r="E68" s="14"/>
    </row>
    <row r="69" spans="5:5" ht="12.9">
      <c r="E69" s="14"/>
    </row>
    <row r="70" spans="5:5" ht="12.9">
      <c r="E70" s="14"/>
    </row>
    <row r="71" spans="5:5" ht="12.9">
      <c r="E71" s="14"/>
    </row>
    <row r="72" spans="5:5" ht="12.9">
      <c r="E72" s="14"/>
    </row>
    <row r="73" spans="5:5" ht="12.9">
      <c r="E73" s="14"/>
    </row>
    <row r="74" spans="5:5" ht="12.9">
      <c r="E74" s="14"/>
    </row>
    <row r="75" spans="5:5" ht="64.5">
      <c r="E75" s="437" t="s">
        <v>117</v>
      </c>
    </row>
    <row r="76" spans="5:5" ht="12.9">
      <c r="E76" s="14"/>
    </row>
    <row r="77" spans="5:5" ht="25.8">
      <c r="E77" s="437" t="s">
        <v>118</v>
      </c>
    </row>
    <row r="78" spans="5:5" ht="12.9">
      <c r="E78" s="14"/>
    </row>
    <row r="79" spans="5:5" ht="51.6">
      <c r="E79" s="437" t="s">
        <v>497</v>
      </c>
    </row>
    <row r="80" spans="5:5" ht="12.9">
      <c r="E80" s="14"/>
    </row>
    <row r="81" spans="4:5" ht="12.9">
      <c r="E81" s="14" t="s">
        <v>119</v>
      </c>
    </row>
    <row r="82" spans="4:5" ht="12.9">
      <c r="E82" s="14"/>
    </row>
    <row r="83" spans="4:5" ht="14.7">
      <c r="E83" s="14" t="s">
        <v>132</v>
      </c>
    </row>
    <row r="84" spans="4:5" ht="12.9">
      <c r="E84" s="14"/>
    </row>
    <row r="85" spans="4:5" ht="40.5">
      <c r="E85" s="437" t="s">
        <v>133</v>
      </c>
    </row>
    <row r="86" spans="4:5" ht="12.9">
      <c r="E86" s="14"/>
    </row>
    <row r="87" spans="4:5" ht="12.9">
      <c r="D87" s="486" t="s">
        <v>120</v>
      </c>
      <c r="E87" s="486"/>
    </row>
    <row r="88" spans="4:5" ht="12.9">
      <c r="E88" s="14"/>
    </row>
    <row r="89" spans="4:5" ht="12.9">
      <c r="E89" s="14" t="s">
        <v>121</v>
      </c>
    </row>
    <row r="90" spans="4:5" ht="12.9">
      <c r="E90" s="14" t="s">
        <v>122</v>
      </c>
    </row>
    <row r="91" spans="4:5" ht="12.9">
      <c r="E91" s="14" t="s">
        <v>123</v>
      </c>
    </row>
    <row r="92" spans="4:5" ht="25.8">
      <c r="E92" s="437" t="s">
        <v>124</v>
      </c>
    </row>
    <row r="93" spans="4:5" ht="12.9">
      <c r="E93" s="14"/>
    </row>
    <row r="94" spans="4:5" ht="25.8">
      <c r="E94" s="437" t="s">
        <v>125</v>
      </c>
    </row>
    <row r="95" spans="4:5" ht="12.9">
      <c r="E95" s="437"/>
    </row>
    <row r="96" spans="4:5" ht="51.6">
      <c r="E96" s="437" t="s">
        <v>126</v>
      </c>
    </row>
    <row r="97" spans="4:5" ht="12.9">
      <c r="E97" s="437"/>
    </row>
    <row r="98" spans="4:5" ht="12.9">
      <c r="D98" s="486" t="s">
        <v>127</v>
      </c>
      <c r="E98" s="486"/>
    </row>
    <row r="99" spans="4:5" ht="12.9">
      <c r="E99" s="437"/>
    </row>
    <row r="100" spans="4:5" ht="25.8">
      <c r="E100" s="437" t="s">
        <v>128</v>
      </c>
    </row>
    <row r="101" spans="4:5" ht="12.9">
      <c r="E101" s="14"/>
    </row>
    <row r="102" spans="4:5" ht="12.9"/>
    <row r="103" spans="4:5" ht="12.9"/>
    <row r="104" spans="4:5" ht="12.9" hidden="1"/>
    <row r="105" spans="4:5" ht="12.9" hidden="1"/>
    <row r="106" spans="4:5" ht="12.9" hidden="1"/>
    <row r="107" spans="4:5" ht="12.9" hidden="1"/>
    <row r="108" spans="4:5" ht="12.9" hidden="1"/>
    <row r="109" spans="4:5" ht="12.9" hidden="1"/>
    <row r="110" spans="4:5" ht="12.9" hidden="1"/>
    <row r="111" spans="4:5" ht="12.9" hidden="1"/>
    <row r="112" spans="4:5" ht="12.9" hidden="1"/>
    <row r="113" ht="12.9" hidden="1"/>
    <row r="114" ht="12.9" hidden="1"/>
    <row r="115" ht="12.9" hidden="1"/>
    <row r="116" ht="12.9" hidden="1"/>
    <row r="117" ht="12.9" hidden="1"/>
    <row r="118" ht="12.9" hidden="1"/>
    <row r="119" ht="12.9" hidden="1"/>
    <row r="120" ht="12.9" hidden="1"/>
    <row r="121" ht="12.9" hidden="1"/>
    <row r="122" ht="12.9" hidden="1"/>
    <row r="123" ht="12.9" hidden="1"/>
    <row r="124" ht="12.9" hidden="1"/>
    <row r="125" ht="12.9" hidden="1"/>
    <row r="126" ht="12.9"/>
    <row r="127" ht="12.9"/>
  </sheetData>
  <mergeCells count="5">
    <mergeCell ref="C7:E7"/>
    <mergeCell ref="D9:E9"/>
    <mergeCell ref="D12:E12"/>
    <mergeCell ref="D87:E87"/>
    <mergeCell ref="D98:E98"/>
  </mergeCells>
  <conditionalFormatting sqref="B2">
    <cfRule type="cellIs" dxfId="27" priority="1" operator="notEqual">
      <formula>"No Errors Found"</formula>
    </cfRule>
  </conditionalFormatting>
  <hyperlinks>
    <hyperlink ref="B4" location="'ToC'!$A$1" tooltip="Go To Table of Contents" display="='ToC'!B1" xr:uid="{00000000-0004-0000-0200-000000000000}"/>
  </hyperlinks>
  <pageMargins left="0.7" right="0.7" top="0.75" bottom="0.75" header="0.3" footer="0.3"/>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AL265"/>
  <sheetViews>
    <sheetView showGridLines="0" zoomScaleNormal="100" workbookViewId="0">
      <pane xSplit="5" ySplit="5" topLeftCell="F6" activePane="bottomRight" state="frozen"/>
      <selection activeCell="I9" sqref="I9"/>
      <selection pane="topRight" activeCell="I9" sqref="I9"/>
      <selection pane="bottomLeft" activeCell="I9" sqref="I9"/>
      <selection pane="bottomRight" activeCell="F6" sqref="F6"/>
    </sheetView>
  </sheetViews>
  <sheetFormatPr defaultColWidth="9.1171875" defaultRowHeight="12.75" customHeight="1"/>
  <cols>
    <col min="1" max="4" width="2.703125" style="13" customWidth="1"/>
    <col min="5" max="5" width="25.703125" style="13" customWidth="1"/>
    <col min="6" max="6" width="12.41015625" style="13" customWidth="1"/>
    <col min="7" max="22" width="12.703125" style="13" customWidth="1"/>
    <col min="23" max="23" width="9.1171875" style="13"/>
    <col min="24" max="30" width="12.703125" style="13" customWidth="1"/>
    <col min="31" max="31" width="9.1171875" style="13"/>
    <col min="32" max="38" width="12.703125" style="13" customWidth="1"/>
    <col min="39" max="16384" width="9.1171875" style="13"/>
  </cols>
  <sheetData>
    <row r="1" spans="2:38" ht="20.399999999999999">
      <c r="B1" s="8" t="s">
        <v>452</v>
      </c>
    </row>
    <row r="2" spans="2:38" ht="11.25" customHeight="1">
      <c r="B2" s="72" t="str">
        <f>Title_Msg</f>
        <v>No Errors Found</v>
      </c>
    </row>
    <row r="3" spans="2:38" ht="12.9">
      <c r="B3" s="71" t="str">
        <f>Model_Name</f>
        <v>Power and Water Corporation (PWC) Network Pricing Model</v>
      </c>
    </row>
    <row r="4" spans="2:38" ht="12.9">
      <c r="B4" s="337" t="str">
        <f>TOC!$B$1</f>
        <v>Table of Contents</v>
      </c>
    </row>
    <row r="7" spans="2:38" s="7" customFormat="1" ht="15.6">
      <c r="B7" s="7" t="s">
        <v>166</v>
      </c>
    </row>
    <row r="9" spans="2:38" ht="12.75" customHeight="1">
      <c r="C9" s="14" t="s">
        <v>167</v>
      </c>
      <c r="F9" s="109" t="s">
        <v>159</v>
      </c>
    </row>
    <row r="10" spans="2:38" ht="12.75" customHeight="1">
      <c r="C10" s="14" t="s">
        <v>369</v>
      </c>
      <c r="F10" s="118">
        <v>0.1</v>
      </c>
    </row>
    <row r="12" spans="2:38" s="7" customFormat="1" ht="15.6">
      <c r="B12" s="7" t="s">
        <v>134</v>
      </c>
    </row>
    <row r="13" spans="2:38" ht="13.2" thickBot="1">
      <c r="E13" s="14"/>
    </row>
    <row r="14" spans="2:38" ht="14.7" thickBot="1">
      <c r="E14" s="14"/>
      <c r="H14" s="487" t="s">
        <v>312</v>
      </c>
      <c r="I14" s="488"/>
      <c r="J14" s="488"/>
      <c r="K14" s="488"/>
      <c r="L14" s="488"/>
      <c r="M14" s="488"/>
      <c r="N14" s="489"/>
      <c r="P14" s="487" t="s">
        <v>313</v>
      </c>
      <c r="Q14" s="488"/>
      <c r="R14" s="488"/>
      <c r="S14" s="488"/>
      <c r="T14" s="488"/>
      <c r="U14" s="488"/>
      <c r="V14" s="489"/>
      <c r="X14" s="487" t="s">
        <v>315</v>
      </c>
      <c r="Y14" s="488"/>
      <c r="Z14" s="488"/>
      <c r="AA14" s="488"/>
      <c r="AB14" s="488"/>
      <c r="AC14" s="488"/>
      <c r="AD14" s="489"/>
      <c r="AF14" s="487" t="s">
        <v>365</v>
      </c>
      <c r="AG14" s="488"/>
      <c r="AH14" s="488"/>
      <c r="AI14" s="488"/>
      <c r="AJ14" s="488"/>
      <c r="AK14" s="488"/>
      <c r="AL14" s="489"/>
    </row>
    <row r="15" spans="2:38" ht="26.1" thickBot="1">
      <c r="D15" s="75" t="s">
        <v>137</v>
      </c>
      <c r="E15" s="76"/>
      <c r="F15" s="77" t="s">
        <v>135</v>
      </c>
      <c r="G15" s="77" t="s">
        <v>136</v>
      </c>
      <c r="H15" s="89" t="s">
        <v>490</v>
      </c>
      <c r="I15" s="78" t="s">
        <v>498</v>
      </c>
      <c r="J15" s="78" t="s">
        <v>154</v>
      </c>
      <c r="K15" s="78" t="s">
        <v>155</v>
      </c>
      <c r="L15" s="78" t="s">
        <v>156</v>
      </c>
      <c r="M15" s="78" t="s">
        <v>314</v>
      </c>
      <c r="N15" s="79" t="s">
        <v>181</v>
      </c>
      <c r="P15" s="235" t="str">
        <f t="shared" ref="P15:V15" si="0">H15</f>
        <v>Residential</v>
      </c>
      <c r="Q15" s="236" t="str">
        <f t="shared" si="0"/>
        <v>Non-residential</v>
      </c>
      <c r="R15" s="236" t="str">
        <f t="shared" si="0"/>
        <v>Unmetered SL</v>
      </c>
      <c r="S15" s="236" t="str">
        <f t="shared" si="0"/>
        <v>Unmetered TL</v>
      </c>
      <c r="T15" s="236" t="str">
        <f t="shared" si="0"/>
        <v>LV Smart</v>
      </c>
      <c r="U15" s="236" t="str">
        <f t="shared" si="0"/>
        <v xml:space="preserve"> &gt;750 LV</v>
      </c>
      <c r="V15" s="237" t="str">
        <f t="shared" si="0"/>
        <v>HV</v>
      </c>
      <c r="X15" s="235" t="str">
        <f t="shared" ref="X15:AD15" si="1">P15</f>
        <v>Residential</v>
      </c>
      <c r="Y15" s="236" t="str">
        <f t="shared" si="1"/>
        <v>Non-residential</v>
      </c>
      <c r="Z15" s="236" t="str">
        <f t="shared" si="1"/>
        <v>Unmetered SL</v>
      </c>
      <c r="AA15" s="236" t="str">
        <f t="shared" si="1"/>
        <v>Unmetered TL</v>
      </c>
      <c r="AB15" s="236" t="str">
        <f t="shared" si="1"/>
        <v>LV Smart</v>
      </c>
      <c r="AC15" s="236" t="str">
        <f t="shared" si="1"/>
        <v xml:space="preserve"> &gt;750 LV</v>
      </c>
      <c r="AD15" s="237" t="str">
        <f t="shared" si="1"/>
        <v>HV</v>
      </c>
      <c r="AF15" s="235" t="str">
        <f t="shared" ref="AF15" si="2">X15</f>
        <v>Residential</v>
      </c>
      <c r="AG15" s="236" t="str">
        <f t="shared" ref="AG15" si="3">Y15</f>
        <v>Non-residential</v>
      </c>
      <c r="AH15" s="236" t="str">
        <f t="shared" ref="AH15" si="4">Z15</f>
        <v>Unmetered SL</v>
      </c>
      <c r="AI15" s="236" t="str">
        <f t="shared" ref="AI15" si="5">AA15</f>
        <v>Unmetered TL</v>
      </c>
      <c r="AJ15" s="236" t="str">
        <f t="shared" ref="AJ15" si="6">AB15</f>
        <v>LV Smart</v>
      </c>
      <c r="AK15" s="236" t="str">
        <f t="shared" ref="AK15" si="7">AC15</f>
        <v xml:space="preserve"> &gt;750 LV</v>
      </c>
      <c r="AL15" s="237" t="str">
        <f t="shared" ref="AL15" si="8">AD15</f>
        <v>HV</v>
      </c>
    </row>
    <row r="16" spans="2:38" ht="12.9">
      <c r="D16" s="85" t="s">
        <v>292</v>
      </c>
      <c r="E16" s="86"/>
      <c r="F16" s="87" t="s">
        <v>153</v>
      </c>
      <c r="G16" s="87" t="s">
        <v>147</v>
      </c>
      <c r="H16" s="104"/>
      <c r="I16" s="105"/>
      <c r="J16" s="105"/>
      <c r="K16" s="105"/>
      <c r="L16" s="409">
        <v>175</v>
      </c>
      <c r="M16" s="105">
        <v>768.673</v>
      </c>
      <c r="N16" s="106">
        <v>849.72900000000004</v>
      </c>
      <c r="P16" s="104"/>
      <c r="Q16" s="105"/>
      <c r="R16" s="105"/>
      <c r="S16" s="105"/>
      <c r="T16" s="105">
        <v>135</v>
      </c>
      <c r="U16" s="105">
        <v>1298.0454680479745</v>
      </c>
      <c r="V16" s="106">
        <v>1116.3191025212582</v>
      </c>
      <c r="X16" s="238">
        <v>0</v>
      </c>
      <c r="Y16" s="239">
        <v>0</v>
      </c>
      <c r="Z16" s="239">
        <v>0</v>
      </c>
      <c r="AA16" s="239">
        <v>0</v>
      </c>
      <c r="AB16" s="239">
        <v>0</v>
      </c>
      <c r="AC16" s="239">
        <v>0</v>
      </c>
      <c r="AD16" s="240">
        <v>0</v>
      </c>
      <c r="AF16" s="285" t="s">
        <v>46</v>
      </c>
      <c r="AG16" s="286" t="s">
        <v>46</v>
      </c>
      <c r="AH16" s="286" t="s">
        <v>46</v>
      </c>
      <c r="AI16" s="286" t="s">
        <v>46</v>
      </c>
      <c r="AJ16" s="286" t="s">
        <v>46</v>
      </c>
      <c r="AK16" s="286" t="s">
        <v>46</v>
      </c>
      <c r="AL16" s="287" t="s">
        <v>46</v>
      </c>
    </row>
    <row r="17" spans="4:38" ht="12.9">
      <c r="D17" s="80" t="s">
        <v>293</v>
      </c>
      <c r="E17" s="54"/>
      <c r="F17" s="42" t="s">
        <v>153</v>
      </c>
      <c r="G17" s="42" t="s">
        <v>148</v>
      </c>
      <c r="H17" s="394">
        <v>44.417999999999999</v>
      </c>
      <c r="I17" s="93">
        <v>79.012</v>
      </c>
      <c r="J17" s="93"/>
      <c r="K17" s="93"/>
      <c r="L17" s="410">
        <v>650</v>
      </c>
      <c r="M17" s="93"/>
      <c r="N17" s="94">
        <v>427.33333156377762</v>
      </c>
      <c r="P17" s="92">
        <v>64.041769951086621</v>
      </c>
      <c r="Q17" s="93">
        <v>135</v>
      </c>
      <c r="R17" s="93"/>
      <c r="S17" s="93"/>
      <c r="T17" s="93">
        <v>650</v>
      </c>
      <c r="U17" s="93"/>
      <c r="V17" s="94">
        <f>T17*(Calc_LRMC!$M$80/Calc_LRMC!$L$80)</f>
        <v>333.80729068933186</v>
      </c>
      <c r="X17" s="241">
        <v>0</v>
      </c>
      <c r="Y17" s="242">
        <v>0</v>
      </c>
      <c r="Z17" s="242">
        <v>0</v>
      </c>
      <c r="AA17" s="242">
        <v>0</v>
      </c>
      <c r="AB17" s="242">
        <v>0</v>
      </c>
      <c r="AC17" s="242">
        <v>0</v>
      </c>
      <c r="AD17" s="243">
        <v>0</v>
      </c>
      <c r="AF17" s="288" t="s">
        <v>46</v>
      </c>
      <c r="AG17" s="61" t="s">
        <v>46</v>
      </c>
      <c r="AH17" s="61" t="s">
        <v>46</v>
      </c>
      <c r="AI17" s="61" t="s">
        <v>46</v>
      </c>
      <c r="AJ17" s="61" t="s">
        <v>46</v>
      </c>
      <c r="AK17" s="61" t="s">
        <v>46</v>
      </c>
      <c r="AL17" s="289" t="s">
        <v>46</v>
      </c>
    </row>
    <row r="18" spans="4:38" ht="12.9">
      <c r="D18" s="80" t="s">
        <v>214</v>
      </c>
      <c r="E18" s="54"/>
      <c r="F18" s="42" t="s">
        <v>153</v>
      </c>
      <c r="G18" s="42" t="s">
        <v>149</v>
      </c>
      <c r="H18" s="394">
        <v>11.115</v>
      </c>
      <c r="I18" s="93">
        <v>10.448</v>
      </c>
      <c r="J18" s="93">
        <f>26.7530400000007/100</f>
        <v>0.267530400000007</v>
      </c>
      <c r="K18" s="93">
        <f>61.3988399999999/100</f>
        <v>0.61398839999999899</v>
      </c>
      <c r="L18" s="410"/>
      <c r="M18" s="93"/>
      <c r="N18" s="94"/>
      <c r="P18" s="394">
        <v>10.104915273055934</v>
      </c>
      <c r="Q18" s="93">
        <v>10.455</v>
      </c>
      <c r="R18" s="93">
        <f>26.7530400000007/100</f>
        <v>0.267530400000007</v>
      </c>
      <c r="S18" s="93">
        <f>61.3988399999999/100</f>
        <v>0.61398839999999899</v>
      </c>
      <c r="T18" s="93"/>
      <c r="U18" s="93"/>
      <c r="V18" s="94"/>
      <c r="X18" s="241">
        <v>0</v>
      </c>
      <c r="Y18" s="242">
        <v>0</v>
      </c>
      <c r="Z18" s="242">
        <v>0</v>
      </c>
      <c r="AA18" s="242">
        <v>0</v>
      </c>
      <c r="AB18" s="242">
        <v>0</v>
      </c>
      <c r="AC18" s="242">
        <v>0</v>
      </c>
      <c r="AD18" s="243">
        <v>0</v>
      </c>
      <c r="AF18" s="288" t="s">
        <v>45</v>
      </c>
      <c r="AG18" s="61" t="s">
        <v>45</v>
      </c>
      <c r="AH18" s="61" t="s">
        <v>45</v>
      </c>
      <c r="AI18" s="61" t="s">
        <v>45</v>
      </c>
      <c r="AJ18" s="61" t="s">
        <v>45</v>
      </c>
      <c r="AK18" s="61" t="s">
        <v>45</v>
      </c>
      <c r="AL18" s="289" t="s">
        <v>45</v>
      </c>
    </row>
    <row r="19" spans="4:38" ht="12.9">
      <c r="D19" s="80" t="s">
        <v>215</v>
      </c>
      <c r="E19" s="54"/>
      <c r="F19" s="42" t="s">
        <v>153</v>
      </c>
      <c r="G19" s="42" t="s">
        <v>149</v>
      </c>
      <c r="H19" s="394"/>
      <c r="I19" s="93"/>
      <c r="J19" s="93"/>
      <c r="K19" s="93"/>
      <c r="L19" s="410">
        <v>4.0999999999999996</v>
      </c>
      <c r="M19" s="411">
        <v>3.2850999999999999</v>
      </c>
      <c r="N19" s="412">
        <v>4.0999999999999996</v>
      </c>
      <c r="P19" s="92"/>
      <c r="Q19" s="93"/>
      <c r="R19" s="93"/>
      <c r="S19" s="93"/>
      <c r="T19" s="93">
        <v>3.07569605206987</v>
      </c>
      <c r="U19" s="93">
        <v>3.2850999999999999</v>
      </c>
      <c r="V19" s="94">
        <f>T19</f>
        <v>3.07569605206987</v>
      </c>
      <c r="X19" s="241">
        <v>0</v>
      </c>
      <c r="Y19" s="242">
        <v>0</v>
      </c>
      <c r="Z19" s="242">
        <v>0</v>
      </c>
      <c r="AA19" s="242">
        <v>0</v>
      </c>
      <c r="AB19" s="242">
        <v>0</v>
      </c>
      <c r="AC19" s="242">
        <v>0</v>
      </c>
      <c r="AD19" s="243">
        <v>0</v>
      </c>
      <c r="AF19" s="288" t="s">
        <v>46</v>
      </c>
      <c r="AG19" s="61" t="s">
        <v>46</v>
      </c>
      <c r="AH19" s="61" t="s">
        <v>46</v>
      </c>
      <c r="AI19" s="61" t="s">
        <v>46</v>
      </c>
      <c r="AJ19" s="61" t="s">
        <v>46</v>
      </c>
      <c r="AK19" s="61" t="s">
        <v>46</v>
      </c>
      <c r="AL19" s="289" t="s">
        <v>46</v>
      </c>
    </row>
    <row r="20" spans="4:38" ht="12.9">
      <c r="D20" s="80" t="s">
        <v>296</v>
      </c>
      <c r="E20" s="54"/>
      <c r="F20" s="42" t="s">
        <v>153</v>
      </c>
      <c r="G20" s="42" t="s">
        <v>151</v>
      </c>
      <c r="H20" s="394"/>
      <c r="I20" s="93"/>
      <c r="J20" s="93"/>
      <c r="K20" s="93"/>
      <c r="L20" s="410">
        <v>20</v>
      </c>
      <c r="M20" s="411">
        <v>8.2579999999999991</v>
      </c>
      <c r="N20" s="412">
        <v>13.148717894270082</v>
      </c>
      <c r="P20" s="92"/>
      <c r="Q20" s="93"/>
      <c r="R20" s="93"/>
      <c r="S20" s="93"/>
      <c r="T20" s="93">
        <v>20</v>
      </c>
      <c r="U20" s="93">
        <v>8.2579999999999991</v>
      </c>
      <c r="V20" s="94">
        <f>T20*(Calc_LRMC!$M$80/Calc_LRMC!$L$80)</f>
        <v>10.270993559671751</v>
      </c>
      <c r="X20" s="241">
        <v>0</v>
      </c>
      <c r="Y20" s="242">
        <v>0</v>
      </c>
      <c r="Z20" s="242">
        <v>0</v>
      </c>
      <c r="AA20" s="242">
        <v>0</v>
      </c>
      <c r="AB20" s="242">
        <v>0</v>
      </c>
      <c r="AC20" s="242">
        <v>0</v>
      </c>
      <c r="AD20" s="243">
        <v>0</v>
      </c>
      <c r="AF20" s="288" t="s">
        <v>45</v>
      </c>
      <c r="AG20" s="61" t="s">
        <v>45</v>
      </c>
      <c r="AH20" s="61" t="s">
        <v>45</v>
      </c>
      <c r="AI20" s="61" t="s">
        <v>45</v>
      </c>
      <c r="AJ20" s="61" t="s">
        <v>45</v>
      </c>
      <c r="AK20" s="61" t="s">
        <v>45</v>
      </c>
      <c r="AL20" s="289" t="s">
        <v>45</v>
      </c>
    </row>
    <row r="21" spans="4:38" ht="12.9">
      <c r="D21" s="80" t="s">
        <v>297</v>
      </c>
      <c r="E21" s="54"/>
      <c r="F21" s="42" t="s">
        <v>153</v>
      </c>
      <c r="G21" s="42" t="s">
        <v>151</v>
      </c>
      <c r="H21" s="394"/>
      <c r="I21" s="93"/>
      <c r="J21" s="93"/>
      <c r="K21" s="93"/>
      <c r="L21" s="410">
        <v>0</v>
      </c>
      <c r="M21" s="411">
        <v>0</v>
      </c>
      <c r="N21" s="412">
        <v>0</v>
      </c>
      <c r="P21" s="92"/>
      <c r="Q21" s="93"/>
      <c r="R21" s="93"/>
      <c r="S21" s="93"/>
      <c r="T21" s="93">
        <v>0</v>
      </c>
      <c r="U21" s="93">
        <v>0</v>
      </c>
      <c r="V21" s="94">
        <v>0</v>
      </c>
      <c r="X21" s="241">
        <v>0</v>
      </c>
      <c r="Y21" s="242">
        <v>0</v>
      </c>
      <c r="Z21" s="242">
        <v>0</v>
      </c>
      <c r="AA21" s="242">
        <v>0</v>
      </c>
      <c r="AB21" s="242">
        <v>0</v>
      </c>
      <c r="AC21" s="242">
        <v>0</v>
      </c>
      <c r="AD21" s="243">
        <v>0</v>
      </c>
      <c r="AF21" s="288" t="s">
        <v>45</v>
      </c>
      <c r="AG21" s="61" t="s">
        <v>45</v>
      </c>
      <c r="AH21" s="61" t="s">
        <v>45</v>
      </c>
      <c r="AI21" s="61" t="s">
        <v>45</v>
      </c>
      <c r="AJ21" s="61" t="s">
        <v>45</v>
      </c>
      <c r="AK21" s="61" t="s">
        <v>45</v>
      </c>
      <c r="AL21" s="289" t="s">
        <v>45</v>
      </c>
    </row>
    <row r="22" spans="4:38" ht="13.2" thickBot="1">
      <c r="D22" s="80" t="s">
        <v>298</v>
      </c>
      <c r="E22" s="54"/>
      <c r="F22" s="42" t="s">
        <v>153</v>
      </c>
      <c r="G22" s="42" t="s">
        <v>150</v>
      </c>
      <c r="H22" s="394"/>
      <c r="I22" s="93"/>
      <c r="J22" s="93"/>
      <c r="K22" s="93"/>
      <c r="L22" s="411">
        <v>4</v>
      </c>
      <c r="M22" s="411">
        <v>4</v>
      </c>
      <c r="N22" s="412">
        <v>4</v>
      </c>
      <c r="P22" s="92"/>
      <c r="Q22" s="93"/>
      <c r="R22" s="93"/>
      <c r="S22" s="93"/>
      <c r="T22" s="93">
        <v>4</v>
      </c>
      <c r="U22" s="93">
        <v>4</v>
      </c>
      <c r="V22" s="94">
        <v>4</v>
      </c>
      <c r="X22" s="244">
        <v>0</v>
      </c>
      <c r="Y22" s="245">
        <v>0</v>
      </c>
      <c r="Z22" s="245">
        <v>0</v>
      </c>
      <c r="AA22" s="245">
        <v>0</v>
      </c>
      <c r="AB22" s="245">
        <v>0</v>
      </c>
      <c r="AC22" s="245">
        <v>0</v>
      </c>
      <c r="AD22" s="246">
        <v>0</v>
      </c>
      <c r="AF22" s="290" t="s">
        <v>46</v>
      </c>
      <c r="AG22" s="291" t="s">
        <v>46</v>
      </c>
      <c r="AH22" s="291" t="s">
        <v>46</v>
      </c>
      <c r="AI22" s="291" t="s">
        <v>46</v>
      </c>
      <c r="AJ22" s="291" t="s">
        <v>46</v>
      </c>
      <c r="AK22" s="291" t="s">
        <v>46</v>
      </c>
      <c r="AL22" s="292" t="s">
        <v>45</v>
      </c>
    </row>
    <row r="23" spans="4:38" ht="12.9">
      <c r="D23" s="75" t="s">
        <v>138</v>
      </c>
      <c r="E23" s="86"/>
      <c r="F23" s="76"/>
      <c r="G23" s="76"/>
      <c r="H23" s="90"/>
      <c r="I23" s="76"/>
      <c r="J23" s="76"/>
      <c r="K23" s="76"/>
      <c r="L23" s="76"/>
      <c r="M23" s="76"/>
      <c r="N23" s="88"/>
      <c r="P23" s="90"/>
      <c r="Q23" s="76"/>
      <c r="R23" s="76"/>
      <c r="S23" s="76"/>
      <c r="T23" s="76"/>
      <c r="U23" s="76"/>
      <c r="V23" s="88"/>
      <c r="X23" s="90"/>
      <c r="Y23" s="76"/>
      <c r="Z23" s="76"/>
      <c r="AA23" s="76"/>
      <c r="AB23" s="76"/>
      <c r="AC23" s="76"/>
      <c r="AD23" s="88"/>
      <c r="AF23" s="90"/>
      <c r="AG23" s="76"/>
      <c r="AH23" s="76"/>
      <c r="AI23" s="76"/>
      <c r="AJ23" s="76"/>
      <c r="AK23" s="76"/>
      <c r="AL23" s="88"/>
    </row>
    <row r="24" spans="4:38" ht="12.9">
      <c r="D24" s="81"/>
      <c r="E24" s="54" t="s">
        <v>139</v>
      </c>
      <c r="F24" s="42" t="s">
        <v>153</v>
      </c>
      <c r="G24" s="42" t="s">
        <v>149</v>
      </c>
      <c r="H24" s="95">
        <v>0</v>
      </c>
      <c r="I24" s="96">
        <v>0</v>
      </c>
      <c r="J24" s="96">
        <v>0</v>
      </c>
      <c r="K24" s="96">
        <v>0</v>
      </c>
      <c r="L24" s="96">
        <v>0</v>
      </c>
      <c r="M24" s="96">
        <v>6.0577000000000005</v>
      </c>
      <c r="N24" s="97">
        <v>5.4835000000000012</v>
      </c>
      <c r="P24" s="95">
        <v>0</v>
      </c>
      <c r="Q24" s="96">
        <v>0</v>
      </c>
      <c r="R24" s="96">
        <v>0</v>
      </c>
      <c r="S24" s="96">
        <v>0</v>
      </c>
      <c r="T24" s="96">
        <v>0</v>
      </c>
      <c r="U24" s="96">
        <f>$U$19</f>
        <v>3.2850999999999999</v>
      </c>
      <c r="V24" s="97">
        <v>3.2851393876953505</v>
      </c>
      <c r="X24" s="241">
        <v>0</v>
      </c>
      <c r="Y24" s="242">
        <v>0</v>
      </c>
      <c r="Z24" s="242">
        <v>0</v>
      </c>
      <c r="AA24" s="242">
        <v>0</v>
      </c>
      <c r="AB24" s="242">
        <v>0</v>
      </c>
      <c r="AC24" s="242">
        <v>0</v>
      </c>
      <c r="AD24" s="243">
        <v>0</v>
      </c>
      <c r="AF24" s="288" t="s">
        <v>46</v>
      </c>
      <c r="AG24" s="61" t="s">
        <v>46</v>
      </c>
      <c r="AH24" s="61" t="s">
        <v>46</v>
      </c>
      <c r="AI24" s="61" t="s">
        <v>46</v>
      </c>
      <c r="AJ24" s="61" t="s">
        <v>46</v>
      </c>
      <c r="AK24" s="61" t="s">
        <v>46</v>
      </c>
      <c r="AL24" s="289" t="s">
        <v>46</v>
      </c>
    </row>
    <row r="25" spans="4:38" ht="12.9">
      <c r="D25" s="81"/>
      <c r="E25" s="54" t="s">
        <v>140</v>
      </c>
      <c r="F25" s="42" t="s">
        <v>153</v>
      </c>
      <c r="G25" s="42" t="s">
        <v>149</v>
      </c>
      <c r="H25" s="95">
        <v>0</v>
      </c>
      <c r="I25" s="96">
        <v>0</v>
      </c>
      <c r="J25" s="96">
        <v>0</v>
      </c>
      <c r="K25" s="96">
        <v>0</v>
      </c>
      <c r="L25" s="96">
        <v>0</v>
      </c>
      <c r="M25" s="96">
        <v>5.1062000000000012</v>
      </c>
      <c r="N25" s="97">
        <v>4.4671000000000003</v>
      </c>
      <c r="P25" s="95">
        <v>0</v>
      </c>
      <c r="Q25" s="96">
        <v>0</v>
      </c>
      <c r="R25" s="96">
        <v>0</v>
      </c>
      <c r="S25" s="96">
        <v>0</v>
      </c>
      <c r="T25" s="96">
        <v>0</v>
      </c>
      <c r="U25" s="96">
        <f t="shared" ref="U25:U28" si="9">$U$19</f>
        <v>3.2850999999999999</v>
      </c>
      <c r="V25" s="97">
        <v>3.2851393876953505</v>
      </c>
      <c r="X25" s="241">
        <v>0</v>
      </c>
      <c r="Y25" s="242">
        <v>0</v>
      </c>
      <c r="Z25" s="242">
        <v>0</v>
      </c>
      <c r="AA25" s="242">
        <v>0</v>
      </c>
      <c r="AB25" s="242">
        <v>0</v>
      </c>
      <c r="AC25" s="242">
        <v>0</v>
      </c>
      <c r="AD25" s="243">
        <v>0</v>
      </c>
      <c r="AF25" s="288" t="s">
        <v>46</v>
      </c>
      <c r="AG25" s="61" t="s">
        <v>46</v>
      </c>
      <c r="AH25" s="61" t="s">
        <v>46</v>
      </c>
      <c r="AI25" s="61" t="s">
        <v>46</v>
      </c>
      <c r="AJ25" s="61" t="s">
        <v>46</v>
      </c>
      <c r="AK25" s="61" t="s">
        <v>46</v>
      </c>
      <c r="AL25" s="289" t="s">
        <v>46</v>
      </c>
    </row>
    <row r="26" spans="4:38" ht="12.9">
      <c r="D26" s="81"/>
      <c r="E26" s="54" t="s">
        <v>141</v>
      </c>
      <c r="F26" s="42" t="s">
        <v>153</v>
      </c>
      <c r="G26" s="42" t="s">
        <v>149</v>
      </c>
      <c r="H26" s="95">
        <v>0</v>
      </c>
      <c r="I26" s="96">
        <v>0</v>
      </c>
      <c r="J26" s="96">
        <v>0</v>
      </c>
      <c r="K26" s="96">
        <v>0</v>
      </c>
      <c r="L26" s="96">
        <v>0</v>
      </c>
      <c r="M26" s="96">
        <v>4.2471000000000005</v>
      </c>
      <c r="N26" s="97">
        <v>3.8115000000000001</v>
      </c>
      <c r="P26" s="95">
        <v>0</v>
      </c>
      <c r="Q26" s="96">
        <v>0</v>
      </c>
      <c r="R26" s="96">
        <v>0</v>
      </c>
      <c r="S26" s="96">
        <v>0</v>
      </c>
      <c r="T26" s="96">
        <v>0</v>
      </c>
      <c r="U26" s="96">
        <f t="shared" si="9"/>
        <v>3.2850999999999999</v>
      </c>
      <c r="V26" s="97">
        <v>3.2851393876953505</v>
      </c>
      <c r="X26" s="241">
        <v>0</v>
      </c>
      <c r="Y26" s="242">
        <v>0</v>
      </c>
      <c r="Z26" s="242">
        <v>0</v>
      </c>
      <c r="AA26" s="242">
        <v>0</v>
      </c>
      <c r="AB26" s="242">
        <v>0</v>
      </c>
      <c r="AC26" s="242">
        <v>0</v>
      </c>
      <c r="AD26" s="243">
        <v>0</v>
      </c>
      <c r="AF26" s="288" t="s">
        <v>46</v>
      </c>
      <c r="AG26" s="61" t="s">
        <v>46</v>
      </c>
      <c r="AH26" s="61" t="s">
        <v>46</v>
      </c>
      <c r="AI26" s="61" t="s">
        <v>46</v>
      </c>
      <c r="AJ26" s="61" t="s">
        <v>46</v>
      </c>
      <c r="AK26" s="61" t="s">
        <v>46</v>
      </c>
      <c r="AL26" s="289" t="s">
        <v>46</v>
      </c>
    </row>
    <row r="27" spans="4:38" ht="12.9">
      <c r="D27" s="81"/>
      <c r="E27" s="54" t="s">
        <v>142</v>
      </c>
      <c r="F27" s="42" t="s">
        <v>153</v>
      </c>
      <c r="G27" s="42" t="s">
        <v>149</v>
      </c>
      <c r="H27" s="95">
        <v>0</v>
      </c>
      <c r="I27" s="96">
        <v>0</v>
      </c>
      <c r="J27" s="96">
        <v>0</v>
      </c>
      <c r="K27" s="96">
        <v>0</v>
      </c>
      <c r="L27" s="96">
        <v>0</v>
      </c>
      <c r="M27" s="96">
        <v>3.8698000000000001</v>
      </c>
      <c r="N27" s="97">
        <v>3.6289000000000002</v>
      </c>
      <c r="P27" s="95">
        <v>0</v>
      </c>
      <c r="Q27" s="96">
        <v>0</v>
      </c>
      <c r="R27" s="96">
        <v>0</v>
      </c>
      <c r="S27" s="96">
        <v>0</v>
      </c>
      <c r="T27" s="96">
        <v>0</v>
      </c>
      <c r="U27" s="96">
        <f t="shared" si="9"/>
        <v>3.2850999999999999</v>
      </c>
      <c r="V27" s="97">
        <v>3.2851393876953505</v>
      </c>
      <c r="X27" s="241">
        <v>0</v>
      </c>
      <c r="Y27" s="242">
        <v>0</v>
      </c>
      <c r="Z27" s="242">
        <v>0</v>
      </c>
      <c r="AA27" s="242">
        <v>0</v>
      </c>
      <c r="AB27" s="242">
        <v>0</v>
      </c>
      <c r="AC27" s="242">
        <v>0</v>
      </c>
      <c r="AD27" s="243">
        <v>0</v>
      </c>
      <c r="AF27" s="288" t="s">
        <v>46</v>
      </c>
      <c r="AG27" s="61" t="s">
        <v>46</v>
      </c>
      <c r="AH27" s="61" t="s">
        <v>46</v>
      </c>
      <c r="AI27" s="61" t="s">
        <v>46</v>
      </c>
      <c r="AJ27" s="61" t="s">
        <v>46</v>
      </c>
      <c r="AK27" s="61" t="s">
        <v>46</v>
      </c>
      <c r="AL27" s="289" t="s">
        <v>46</v>
      </c>
    </row>
    <row r="28" spans="4:38" ht="13.2" thickBot="1">
      <c r="D28" s="81"/>
      <c r="E28" s="54" t="s">
        <v>143</v>
      </c>
      <c r="F28" s="42" t="s">
        <v>153</v>
      </c>
      <c r="G28" s="42" t="s">
        <v>149</v>
      </c>
      <c r="H28" s="95">
        <v>0</v>
      </c>
      <c r="I28" s="96">
        <v>0</v>
      </c>
      <c r="J28" s="96">
        <v>0</v>
      </c>
      <c r="K28" s="96">
        <v>0</v>
      </c>
      <c r="L28" s="96">
        <v>0</v>
      </c>
      <c r="M28" s="96">
        <v>2.6543000000000001</v>
      </c>
      <c r="N28" s="97">
        <v>2.7071000000000001</v>
      </c>
      <c r="P28" s="95">
        <v>0</v>
      </c>
      <c r="Q28" s="96">
        <v>0</v>
      </c>
      <c r="R28" s="96">
        <v>0</v>
      </c>
      <c r="S28" s="96">
        <v>0</v>
      </c>
      <c r="T28" s="96">
        <v>0</v>
      </c>
      <c r="U28" s="96">
        <f t="shared" si="9"/>
        <v>3.2850999999999999</v>
      </c>
      <c r="V28" s="97">
        <v>3.2851393876953505</v>
      </c>
      <c r="X28" s="244">
        <v>0</v>
      </c>
      <c r="Y28" s="245">
        <v>0</v>
      </c>
      <c r="Z28" s="245">
        <v>0</v>
      </c>
      <c r="AA28" s="245">
        <v>0</v>
      </c>
      <c r="AB28" s="245">
        <v>0</v>
      </c>
      <c r="AC28" s="245">
        <v>0</v>
      </c>
      <c r="AD28" s="246">
        <v>0</v>
      </c>
      <c r="AF28" s="290" t="s">
        <v>46</v>
      </c>
      <c r="AG28" s="291" t="s">
        <v>46</v>
      </c>
      <c r="AH28" s="291" t="s">
        <v>46</v>
      </c>
      <c r="AI28" s="291" t="s">
        <v>46</v>
      </c>
      <c r="AJ28" s="291" t="s">
        <v>46</v>
      </c>
      <c r="AK28" s="291" t="s">
        <v>46</v>
      </c>
      <c r="AL28" s="292" t="s">
        <v>46</v>
      </c>
    </row>
    <row r="29" spans="4:38" ht="12.9">
      <c r="D29" s="75" t="s">
        <v>144</v>
      </c>
      <c r="E29" s="86"/>
      <c r="F29" s="76"/>
      <c r="G29" s="76"/>
      <c r="H29" s="98"/>
      <c r="I29" s="99"/>
      <c r="J29" s="99"/>
      <c r="K29" s="99"/>
      <c r="L29" s="99"/>
      <c r="M29" s="99"/>
      <c r="N29" s="100"/>
      <c r="P29" s="98"/>
      <c r="Q29" s="99"/>
      <c r="R29" s="99"/>
      <c r="S29" s="99"/>
      <c r="T29" s="99"/>
      <c r="U29" s="99"/>
      <c r="V29" s="100"/>
      <c r="X29" s="98"/>
      <c r="Y29" s="99"/>
      <c r="Z29" s="99"/>
      <c r="AA29" s="99"/>
      <c r="AB29" s="99"/>
      <c r="AC29" s="99"/>
      <c r="AD29" s="100"/>
      <c r="AF29" s="98"/>
      <c r="AG29" s="99"/>
      <c r="AH29" s="99"/>
      <c r="AI29" s="99"/>
      <c r="AJ29" s="99"/>
      <c r="AK29" s="99"/>
      <c r="AL29" s="100"/>
    </row>
    <row r="30" spans="4:38" ht="12.9">
      <c r="D30" s="81"/>
      <c r="E30" s="54" t="s">
        <v>139</v>
      </c>
      <c r="F30" s="42" t="s">
        <v>153</v>
      </c>
      <c r="G30" s="42" t="s">
        <v>149</v>
      </c>
      <c r="H30" s="95">
        <v>0</v>
      </c>
      <c r="I30" s="96">
        <v>0</v>
      </c>
      <c r="J30" s="96">
        <v>0</v>
      </c>
      <c r="K30" s="96">
        <v>0</v>
      </c>
      <c r="L30" s="96">
        <v>0</v>
      </c>
      <c r="M30" s="96">
        <v>5.4263000000000003</v>
      </c>
      <c r="N30" s="97">
        <v>4.9115000000000002</v>
      </c>
      <c r="P30" s="95">
        <v>0</v>
      </c>
      <c r="Q30" s="96">
        <v>0</v>
      </c>
      <c r="R30" s="96">
        <v>0</v>
      </c>
      <c r="S30" s="96">
        <v>0</v>
      </c>
      <c r="T30" s="96">
        <v>0</v>
      </c>
      <c r="U30" s="96">
        <f t="shared" ref="U30:U34" si="10">$U$19</f>
        <v>3.2850999999999999</v>
      </c>
      <c r="V30" s="97">
        <f>U30</f>
        <v>3.2850999999999999</v>
      </c>
      <c r="X30" s="241">
        <v>0</v>
      </c>
      <c r="Y30" s="242">
        <v>0</v>
      </c>
      <c r="Z30" s="242">
        <v>0</v>
      </c>
      <c r="AA30" s="242">
        <v>0</v>
      </c>
      <c r="AB30" s="242">
        <v>0</v>
      </c>
      <c r="AC30" s="242">
        <v>0</v>
      </c>
      <c r="AD30" s="243">
        <v>0</v>
      </c>
      <c r="AF30" s="288" t="s">
        <v>46</v>
      </c>
      <c r="AG30" s="61" t="s">
        <v>46</v>
      </c>
      <c r="AH30" s="61" t="s">
        <v>46</v>
      </c>
      <c r="AI30" s="61" t="s">
        <v>46</v>
      </c>
      <c r="AJ30" s="61" t="s">
        <v>46</v>
      </c>
      <c r="AK30" s="61" t="s">
        <v>46</v>
      </c>
      <c r="AL30" s="289" t="s">
        <v>46</v>
      </c>
    </row>
    <row r="31" spans="4:38" ht="12.9">
      <c r="D31" s="81"/>
      <c r="E31" s="54" t="s">
        <v>140</v>
      </c>
      <c r="F31" s="42" t="s">
        <v>153</v>
      </c>
      <c r="G31" s="42" t="s">
        <v>149</v>
      </c>
      <c r="H31" s="95">
        <v>0</v>
      </c>
      <c r="I31" s="96">
        <v>0</v>
      </c>
      <c r="J31" s="96">
        <v>0</v>
      </c>
      <c r="K31" s="96">
        <v>0</v>
      </c>
      <c r="L31" s="96">
        <v>0</v>
      </c>
      <c r="M31" s="96">
        <v>4.3934000000000006</v>
      </c>
      <c r="N31" s="97">
        <v>3.8621000000000003</v>
      </c>
      <c r="P31" s="95">
        <v>0</v>
      </c>
      <c r="Q31" s="96">
        <v>0</v>
      </c>
      <c r="R31" s="96">
        <v>0</v>
      </c>
      <c r="S31" s="96">
        <v>0</v>
      </c>
      <c r="T31" s="96">
        <v>0</v>
      </c>
      <c r="U31" s="96">
        <f t="shared" si="10"/>
        <v>3.2850999999999999</v>
      </c>
      <c r="V31" s="97">
        <f t="shared" ref="V31:V34" si="11">U31</f>
        <v>3.2850999999999999</v>
      </c>
      <c r="X31" s="241">
        <v>0</v>
      </c>
      <c r="Y31" s="242">
        <v>0</v>
      </c>
      <c r="Z31" s="242">
        <v>0</v>
      </c>
      <c r="AA31" s="242">
        <v>0</v>
      </c>
      <c r="AB31" s="242">
        <v>0</v>
      </c>
      <c r="AC31" s="242">
        <v>0</v>
      </c>
      <c r="AD31" s="243">
        <v>0</v>
      </c>
      <c r="AF31" s="288" t="s">
        <v>46</v>
      </c>
      <c r="AG31" s="61" t="s">
        <v>46</v>
      </c>
      <c r="AH31" s="61" t="s">
        <v>46</v>
      </c>
      <c r="AI31" s="61" t="s">
        <v>46</v>
      </c>
      <c r="AJ31" s="61" t="s">
        <v>46</v>
      </c>
      <c r="AK31" s="61" t="s">
        <v>46</v>
      </c>
      <c r="AL31" s="289" t="s">
        <v>46</v>
      </c>
    </row>
    <row r="32" spans="4:38" ht="12.9">
      <c r="D32" s="81"/>
      <c r="E32" s="54" t="s">
        <v>141</v>
      </c>
      <c r="F32" s="42" t="s">
        <v>153</v>
      </c>
      <c r="G32" s="42" t="s">
        <v>149</v>
      </c>
      <c r="H32" s="95">
        <v>0</v>
      </c>
      <c r="I32" s="96">
        <v>0</v>
      </c>
      <c r="J32" s="96">
        <v>0</v>
      </c>
      <c r="K32" s="96">
        <v>0</v>
      </c>
      <c r="L32" s="96">
        <v>0</v>
      </c>
      <c r="M32" s="96">
        <v>3.6410000000000005</v>
      </c>
      <c r="N32" s="97">
        <v>3.3297000000000003</v>
      </c>
      <c r="P32" s="95">
        <v>0</v>
      </c>
      <c r="Q32" s="96">
        <v>0</v>
      </c>
      <c r="R32" s="96">
        <v>0</v>
      </c>
      <c r="S32" s="96">
        <v>0</v>
      </c>
      <c r="T32" s="96">
        <v>0</v>
      </c>
      <c r="U32" s="96">
        <f t="shared" si="10"/>
        <v>3.2850999999999999</v>
      </c>
      <c r="V32" s="97">
        <f t="shared" si="11"/>
        <v>3.2850999999999999</v>
      </c>
      <c r="X32" s="241">
        <v>0</v>
      </c>
      <c r="Y32" s="242">
        <v>0</v>
      </c>
      <c r="Z32" s="242">
        <v>0</v>
      </c>
      <c r="AA32" s="242">
        <v>0</v>
      </c>
      <c r="AB32" s="242">
        <v>0</v>
      </c>
      <c r="AC32" s="242">
        <v>0</v>
      </c>
      <c r="AD32" s="243">
        <v>0</v>
      </c>
      <c r="AF32" s="288" t="s">
        <v>46</v>
      </c>
      <c r="AG32" s="61" t="s">
        <v>46</v>
      </c>
      <c r="AH32" s="61" t="s">
        <v>46</v>
      </c>
      <c r="AI32" s="61" t="s">
        <v>46</v>
      </c>
      <c r="AJ32" s="61" t="s">
        <v>46</v>
      </c>
      <c r="AK32" s="61" t="s">
        <v>46</v>
      </c>
      <c r="AL32" s="289" t="s">
        <v>46</v>
      </c>
    </row>
    <row r="33" spans="2:38" ht="12.9">
      <c r="D33" s="81"/>
      <c r="E33" s="54" t="s">
        <v>142</v>
      </c>
      <c r="F33" s="42" t="s">
        <v>153</v>
      </c>
      <c r="G33" s="42" t="s">
        <v>149</v>
      </c>
      <c r="H33" s="95">
        <v>0</v>
      </c>
      <c r="I33" s="96">
        <v>0</v>
      </c>
      <c r="J33" s="96">
        <v>0</v>
      </c>
      <c r="K33" s="96">
        <v>0</v>
      </c>
      <c r="L33" s="96">
        <v>0</v>
      </c>
      <c r="M33" s="96">
        <v>3.5013000000000001</v>
      </c>
      <c r="N33" s="97">
        <v>3.3297000000000003</v>
      </c>
      <c r="P33" s="95">
        <v>0</v>
      </c>
      <c r="Q33" s="96">
        <v>0</v>
      </c>
      <c r="R33" s="96">
        <v>0</v>
      </c>
      <c r="S33" s="96">
        <v>0</v>
      </c>
      <c r="T33" s="96">
        <v>0</v>
      </c>
      <c r="U33" s="96">
        <f t="shared" si="10"/>
        <v>3.2850999999999999</v>
      </c>
      <c r="V33" s="97">
        <f t="shared" si="11"/>
        <v>3.2850999999999999</v>
      </c>
      <c r="X33" s="241">
        <v>0</v>
      </c>
      <c r="Y33" s="242">
        <v>0</v>
      </c>
      <c r="Z33" s="242">
        <v>0</v>
      </c>
      <c r="AA33" s="242">
        <v>0</v>
      </c>
      <c r="AB33" s="242">
        <v>0</v>
      </c>
      <c r="AC33" s="242">
        <v>0</v>
      </c>
      <c r="AD33" s="243">
        <v>0</v>
      </c>
      <c r="AF33" s="288" t="s">
        <v>46</v>
      </c>
      <c r="AG33" s="61" t="s">
        <v>46</v>
      </c>
      <c r="AH33" s="61" t="s">
        <v>46</v>
      </c>
      <c r="AI33" s="61" t="s">
        <v>46</v>
      </c>
      <c r="AJ33" s="61" t="s">
        <v>46</v>
      </c>
      <c r="AK33" s="61" t="s">
        <v>46</v>
      </c>
      <c r="AL33" s="289" t="s">
        <v>46</v>
      </c>
    </row>
    <row r="34" spans="2:38" ht="13.2" thickBot="1">
      <c r="D34" s="81"/>
      <c r="E34" s="54" t="s">
        <v>143</v>
      </c>
      <c r="F34" s="42" t="s">
        <v>153</v>
      </c>
      <c r="G34" s="42" t="s">
        <v>149</v>
      </c>
      <c r="H34" s="95">
        <v>0</v>
      </c>
      <c r="I34" s="96">
        <v>0</v>
      </c>
      <c r="J34" s="96">
        <v>0</v>
      </c>
      <c r="K34" s="96">
        <v>0</v>
      </c>
      <c r="L34" s="96">
        <v>0</v>
      </c>
      <c r="M34" s="96">
        <v>2.0427</v>
      </c>
      <c r="N34" s="97">
        <v>1.9382000000000001</v>
      </c>
      <c r="P34" s="95">
        <v>0</v>
      </c>
      <c r="Q34" s="96">
        <v>0</v>
      </c>
      <c r="R34" s="96">
        <v>0</v>
      </c>
      <c r="S34" s="96">
        <v>0</v>
      </c>
      <c r="T34" s="96">
        <v>0</v>
      </c>
      <c r="U34" s="96">
        <f t="shared" si="10"/>
        <v>3.2850999999999999</v>
      </c>
      <c r="V34" s="97">
        <f t="shared" si="11"/>
        <v>3.2850999999999999</v>
      </c>
      <c r="X34" s="244">
        <v>0</v>
      </c>
      <c r="Y34" s="245">
        <v>0</v>
      </c>
      <c r="Z34" s="245">
        <v>0</v>
      </c>
      <c r="AA34" s="245">
        <v>0</v>
      </c>
      <c r="AB34" s="245">
        <v>0</v>
      </c>
      <c r="AC34" s="245">
        <v>0</v>
      </c>
      <c r="AD34" s="246">
        <v>0</v>
      </c>
      <c r="AF34" s="290" t="s">
        <v>46</v>
      </c>
      <c r="AG34" s="291" t="s">
        <v>46</v>
      </c>
      <c r="AH34" s="291" t="s">
        <v>46</v>
      </c>
      <c r="AI34" s="291" t="s">
        <v>46</v>
      </c>
      <c r="AJ34" s="291" t="s">
        <v>46</v>
      </c>
      <c r="AK34" s="291" t="s">
        <v>46</v>
      </c>
      <c r="AL34" s="292" t="s">
        <v>46</v>
      </c>
    </row>
    <row r="35" spans="2:38" ht="12.9">
      <c r="D35" s="75" t="s">
        <v>145</v>
      </c>
      <c r="E35" s="86"/>
      <c r="F35" s="76"/>
      <c r="G35" s="76"/>
      <c r="H35" s="98"/>
      <c r="I35" s="99"/>
      <c r="J35" s="99"/>
      <c r="K35" s="99"/>
      <c r="L35" s="99"/>
      <c r="M35" s="99"/>
      <c r="N35" s="100"/>
      <c r="P35" s="98"/>
      <c r="Q35" s="99"/>
      <c r="R35" s="99"/>
      <c r="S35" s="99"/>
      <c r="T35" s="99"/>
      <c r="U35" s="99"/>
      <c r="V35" s="100"/>
      <c r="X35" s="98"/>
      <c r="Y35" s="99"/>
      <c r="Z35" s="99"/>
      <c r="AA35" s="99"/>
      <c r="AB35" s="99"/>
      <c r="AC35" s="99"/>
      <c r="AD35" s="100"/>
      <c r="AF35" s="98"/>
      <c r="AG35" s="99"/>
      <c r="AH35" s="99"/>
      <c r="AI35" s="99"/>
      <c r="AJ35" s="99"/>
      <c r="AK35" s="99"/>
      <c r="AL35" s="100"/>
    </row>
    <row r="36" spans="2:38" ht="12.9">
      <c r="D36" s="81"/>
      <c r="E36" s="54" t="s">
        <v>139</v>
      </c>
      <c r="F36" s="42" t="s">
        <v>153</v>
      </c>
      <c r="G36" s="42" t="s">
        <v>151</v>
      </c>
      <c r="H36" s="95">
        <v>0</v>
      </c>
      <c r="I36" s="96">
        <v>0</v>
      </c>
      <c r="J36" s="96">
        <v>0</v>
      </c>
      <c r="K36" s="96">
        <v>0</v>
      </c>
      <c r="L36" s="96">
        <v>0</v>
      </c>
      <c r="M36" s="96">
        <v>9.3104000000000013</v>
      </c>
      <c r="N36" s="94">
        <v>9.3104000000000013</v>
      </c>
      <c r="P36" s="95">
        <v>0</v>
      </c>
      <c r="Q36" s="96">
        <v>0</v>
      </c>
      <c r="R36" s="96">
        <v>0</v>
      </c>
      <c r="S36" s="96">
        <v>0</v>
      </c>
      <c r="T36" s="96">
        <v>0</v>
      </c>
      <c r="U36" s="96">
        <f>$U$20</f>
        <v>8.2579999999999991</v>
      </c>
      <c r="V36" s="94">
        <v>7.1561833650559903</v>
      </c>
      <c r="X36" s="241">
        <v>0</v>
      </c>
      <c r="Y36" s="242">
        <v>0</v>
      </c>
      <c r="Z36" s="242">
        <v>0</v>
      </c>
      <c r="AA36" s="242">
        <v>0</v>
      </c>
      <c r="AB36" s="242">
        <v>0</v>
      </c>
      <c r="AC36" s="242">
        <v>0</v>
      </c>
      <c r="AD36" s="243">
        <v>0</v>
      </c>
      <c r="AF36" s="288" t="s">
        <v>46</v>
      </c>
      <c r="AG36" s="61" t="s">
        <v>46</v>
      </c>
      <c r="AH36" s="61" t="s">
        <v>46</v>
      </c>
      <c r="AI36" s="61" t="s">
        <v>46</v>
      </c>
      <c r="AJ36" s="61" t="s">
        <v>46</v>
      </c>
      <c r="AK36" s="61" t="s">
        <v>46</v>
      </c>
      <c r="AL36" s="289" t="s">
        <v>45</v>
      </c>
    </row>
    <row r="37" spans="2:38" ht="12.9">
      <c r="D37" s="81"/>
      <c r="E37" s="54" t="s">
        <v>140</v>
      </c>
      <c r="F37" s="42" t="s">
        <v>153</v>
      </c>
      <c r="G37" s="42" t="s">
        <v>151</v>
      </c>
      <c r="H37" s="95">
        <v>0</v>
      </c>
      <c r="I37" s="96">
        <v>0</v>
      </c>
      <c r="J37" s="96">
        <v>0</v>
      </c>
      <c r="K37" s="96">
        <v>0</v>
      </c>
      <c r="L37" s="96">
        <v>0</v>
      </c>
      <c r="M37" s="96">
        <v>9.3104000000000013</v>
      </c>
      <c r="N37" s="94">
        <v>9.3104000000000013</v>
      </c>
      <c r="P37" s="95">
        <v>0</v>
      </c>
      <c r="Q37" s="96">
        <v>0</v>
      </c>
      <c r="R37" s="96">
        <v>0</v>
      </c>
      <c r="S37" s="96">
        <v>0</v>
      </c>
      <c r="T37" s="96">
        <v>0</v>
      </c>
      <c r="U37" s="96">
        <f t="shared" ref="U37:U40" si="12">$U$20</f>
        <v>8.2579999999999991</v>
      </c>
      <c r="V37" s="94">
        <v>7.1561833650559938</v>
      </c>
      <c r="X37" s="241">
        <v>0</v>
      </c>
      <c r="Y37" s="242">
        <v>0</v>
      </c>
      <c r="Z37" s="242">
        <v>0</v>
      </c>
      <c r="AA37" s="242">
        <v>0</v>
      </c>
      <c r="AB37" s="242">
        <v>0</v>
      </c>
      <c r="AC37" s="242">
        <v>0</v>
      </c>
      <c r="AD37" s="243">
        <v>0</v>
      </c>
      <c r="AF37" s="288" t="s">
        <v>46</v>
      </c>
      <c r="AG37" s="61" t="s">
        <v>46</v>
      </c>
      <c r="AH37" s="61" t="s">
        <v>46</v>
      </c>
      <c r="AI37" s="61" t="s">
        <v>46</v>
      </c>
      <c r="AJ37" s="61" t="s">
        <v>46</v>
      </c>
      <c r="AK37" s="61" t="s">
        <v>46</v>
      </c>
      <c r="AL37" s="289" t="s">
        <v>45</v>
      </c>
    </row>
    <row r="38" spans="2:38" ht="12.9">
      <c r="D38" s="81"/>
      <c r="E38" s="54" t="s">
        <v>141</v>
      </c>
      <c r="F38" s="42" t="s">
        <v>153</v>
      </c>
      <c r="G38" s="42" t="s">
        <v>151</v>
      </c>
      <c r="H38" s="95">
        <v>0</v>
      </c>
      <c r="I38" s="96">
        <v>0</v>
      </c>
      <c r="J38" s="96">
        <v>0</v>
      </c>
      <c r="K38" s="96">
        <v>0</v>
      </c>
      <c r="L38" s="96">
        <v>0</v>
      </c>
      <c r="M38" s="96">
        <v>8.3468</v>
      </c>
      <c r="N38" s="94">
        <v>8.3765000000000001</v>
      </c>
      <c r="P38" s="95">
        <v>0</v>
      </c>
      <c r="Q38" s="96">
        <v>0</v>
      </c>
      <c r="R38" s="96">
        <v>0</v>
      </c>
      <c r="S38" s="96">
        <v>0</v>
      </c>
      <c r="T38" s="96">
        <v>0</v>
      </c>
      <c r="U38" s="96">
        <f t="shared" si="12"/>
        <v>8.2579999999999991</v>
      </c>
      <c r="V38" s="94">
        <v>7.1561833650559938</v>
      </c>
      <c r="X38" s="241">
        <v>0</v>
      </c>
      <c r="Y38" s="242">
        <v>0</v>
      </c>
      <c r="Z38" s="242">
        <v>0</v>
      </c>
      <c r="AA38" s="242">
        <v>0</v>
      </c>
      <c r="AB38" s="242">
        <v>0</v>
      </c>
      <c r="AC38" s="242">
        <v>0</v>
      </c>
      <c r="AD38" s="243">
        <v>0</v>
      </c>
      <c r="AF38" s="288" t="s">
        <v>46</v>
      </c>
      <c r="AG38" s="61" t="s">
        <v>46</v>
      </c>
      <c r="AH38" s="61" t="s">
        <v>46</v>
      </c>
      <c r="AI38" s="61" t="s">
        <v>46</v>
      </c>
      <c r="AJ38" s="61" t="s">
        <v>46</v>
      </c>
      <c r="AK38" s="61" t="s">
        <v>46</v>
      </c>
      <c r="AL38" s="289" t="s">
        <v>45</v>
      </c>
    </row>
    <row r="39" spans="2:38" ht="12.9">
      <c r="D39" s="81"/>
      <c r="E39" s="54" t="s">
        <v>142</v>
      </c>
      <c r="F39" s="42" t="s">
        <v>153</v>
      </c>
      <c r="G39" s="42" t="s">
        <v>151</v>
      </c>
      <c r="H39" s="95">
        <v>0</v>
      </c>
      <c r="I39" s="96">
        <v>0</v>
      </c>
      <c r="J39" s="96">
        <v>0</v>
      </c>
      <c r="K39" s="96">
        <v>0</v>
      </c>
      <c r="L39" s="96">
        <v>0</v>
      </c>
      <c r="M39" s="96">
        <v>7.1357000000000008</v>
      </c>
      <c r="N39" s="94">
        <v>7.1610000000000005</v>
      </c>
      <c r="P39" s="95">
        <v>0</v>
      </c>
      <c r="Q39" s="96">
        <v>0</v>
      </c>
      <c r="R39" s="96">
        <v>0</v>
      </c>
      <c r="S39" s="96">
        <v>0</v>
      </c>
      <c r="T39" s="96">
        <v>0</v>
      </c>
      <c r="U39" s="96">
        <f t="shared" si="12"/>
        <v>8.2579999999999991</v>
      </c>
      <c r="V39" s="94">
        <v>7.1561833650559938</v>
      </c>
      <c r="X39" s="241">
        <v>0</v>
      </c>
      <c r="Y39" s="242">
        <v>0</v>
      </c>
      <c r="Z39" s="242">
        <v>0</v>
      </c>
      <c r="AA39" s="242">
        <v>0</v>
      </c>
      <c r="AB39" s="242">
        <v>0</v>
      </c>
      <c r="AC39" s="242">
        <v>0</v>
      </c>
      <c r="AD39" s="243">
        <v>0</v>
      </c>
      <c r="AF39" s="288" t="s">
        <v>46</v>
      </c>
      <c r="AG39" s="61" t="s">
        <v>46</v>
      </c>
      <c r="AH39" s="61" t="s">
        <v>46</v>
      </c>
      <c r="AI39" s="61" t="s">
        <v>46</v>
      </c>
      <c r="AJ39" s="61" t="s">
        <v>46</v>
      </c>
      <c r="AK39" s="61" t="s">
        <v>46</v>
      </c>
      <c r="AL39" s="289" t="s">
        <v>45</v>
      </c>
    </row>
    <row r="40" spans="2:38" ht="13.2" thickBot="1">
      <c r="D40" s="82"/>
      <c r="E40" s="83" t="s">
        <v>143</v>
      </c>
      <c r="F40" s="84" t="s">
        <v>153</v>
      </c>
      <c r="G40" s="84" t="s">
        <v>151</v>
      </c>
      <c r="H40" s="101">
        <v>0</v>
      </c>
      <c r="I40" s="102">
        <v>0</v>
      </c>
      <c r="J40" s="102">
        <v>0</v>
      </c>
      <c r="K40" s="102">
        <v>0</v>
      </c>
      <c r="L40" s="102">
        <v>0</v>
      </c>
      <c r="M40" s="96">
        <v>6.4295</v>
      </c>
      <c r="N40" s="94">
        <v>6.4240000000000004</v>
      </c>
      <c r="P40" s="101">
        <v>0</v>
      </c>
      <c r="Q40" s="102">
        <v>0</v>
      </c>
      <c r="R40" s="102">
        <v>0</v>
      </c>
      <c r="S40" s="102">
        <v>0</v>
      </c>
      <c r="T40" s="102">
        <v>0</v>
      </c>
      <c r="U40" s="96">
        <f t="shared" si="12"/>
        <v>8.2579999999999991</v>
      </c>
      <c r="V40" s="94">
        <v>7.1561833650559938</v>
      </c>
      <c r="X40" s="244">
        <v>0</v>
      </c>
      <c r="Y40" s="245">
        <v>0</v>
      </c>
      <c r="Z40" s="245">
        <v>0</v>
      </c>
      <c r="AA40" s="245">
        <v>0</v>
      </c>
      <c r="AB40" s="245">
        <v>0</v>
      </c>
      <c r="AC40" s="245">
        <v>0</v>
      </c>
      <c r="AD40" s="246">
        <v>0</v>
      </c>
      <c r="AF40" s="290" t="s">
        <v>46</v>
      </c>
      <c r="AG40" s="291" t="s">
        <v>46</v>
      </c>
      <c r="AH40" s="291" t="s">
        <v>46</v>
      </c>
      <c r="AI40" s="291" t="s">
        <v>46</v>
      </c>
      <c r="AJ40" s="291" t="s">
        <v>46</v>
      </c>
      <c r="AK40" s="291" t="s">
        <v>46</v>
      </c>
      <c r="AL40" s="292" t="s">
        <v>45</v>
      </c>
    </row>
    <row r="41" spans="2:38" ht="12.9">
      <c r="D41" s="75" t="s">
        <v>146</v>
      </c>
      <c r="E41" s="86"/>
      <c r="F41" s="76"/>
      <c r="G41" s="76"/>
      <c r="H41" s="98"/>
      <c r="I41" s="99"/>
      <c r="J41" s="99"/>
      <c r="K41" s="99"/>
      <c r="L41" s="99"/>
      <c r="M41" s="99"/>
      <c r="N41" s="100"/>
      <c r="P41" s="98"/>
      <c r="Q41" s="99"/>
      <c r="R41" s="99"/>
      <c r="S41" s="99"/>
      <c r="T41" s="99"/>
      <c r="U41" s="99"/>
      <c r="V41" s="100"/>
      <c r="X41" s="98"/>
      <c r="Y41" s="99"/>
      <c r="Z41" s="99"/>
      <c r="AA41" s="99"/>
      <c r="AB41" s="99"/>
      <c r="AC41" s="99"/>
      <c r="AD41" s="100"/>
      <c r="AF41" s="98"/>
      <c r="AG41" s="99"/>
      <c r="AH41" s="99"/>
      <c r="AI41" s="99"/>
      <c r="AJ41" s="99"/>
      <c r="AK41" s="99"/>
      <c r="AL41" s="100"/>
    </row>
    <row r="42" spans="2:38" ht="12.9">
      <c r="D42" s="81"/>
      <c r="E42" s="54" t="s">
        <v>139</v>
      </c>
      <c r="F42" s="42" t="s">
        <v>153</v>
      </c>
      <c r="G42" s="42" t="s">
        <v>151</v>
      </c>
      <c r="H42" s="95">
        <v>0</v>
      </c>
      <c r="I42" s="96">
        <v>0</v>
      </c>
      <c r="J42" s="96">
        <v>0</v>
      </c>
      <c r="K42" s="96">
        <v>0</v>
      </c>
      <c r="L42" s="96">
        <v>0</v>
      </c>
      <c r="M42" s="96">
        <v>2.2495000000000003</v>
      </c>
      <c r="N42" s="97">
        <v>2.2495000000000003</v>
      </c>
      <c r="P42" s="95">
        <v>0</v>
      </c>
      <c r="Q42" s="96">
        <v>0</v>
      </c>
      <c r="R42" s="96">
        <v>0</v>
      </c>
      <c r="S42" s="96">
        <v>0</v>
      </c>
      <c r="T42" s="96">
        <v>0</v>
      </c>
      <c r="U42" s="96">
        <v>0</v>
      </c>
      <c r="V42" s="97">
        <v>0</v>
      </c>
      <c r="X42" s="241">
        <v>0</v>
      </c>
      <c r="Y42" s="242">
        <v>0</v>
      </c>
      <c r="Z42" s="242">
        <v>0</v>
      </c>
      <c r="AA42" s="242">
        <v>0</v>
      </c>
      <c r="AB42" s="242">
        <v>0</v>
      </c>
      <c r="AC42" s="242">
        <v>0</v>
      </c>
      <c r="AD42" s="243">
        <v>0</v>
      </c>
      <c r="AF42" s="288" t="s">
        <v>46</v>
      </c>
      <c r="AG42" s="61" t="s">
        <v>46</v>
      </c>
      <c r="AH42" s="61" t="s">
        <v>46</v>
      </c>
      <c r="AI42" s="61" t="s">
        <v>46</v>
      </c>
      <c r="AJ42" s="61" t="s">
        <v>46</v>
      </c>
      <c r="AK42" s="61" t="s">
        <v>46</v>
      </c>
      <c r="AL42" s="289" t="s">
        <v>45</v>
      </c>
    </row>
    <row r="43" spans="2:38" ht="12.9">
      <c r="D43" s="81"/>
      <c r="E43" s="54" t="s">
        <v>140</v>
      </c>
      <c r="F43" s="42" t="s">
        <v>153</v>
      </c>
      <c r="G43" s="42" t="s">
        <v>151</v>
      </c>
      <c r="H43" s="95">
        <v>0</v>
      </c>
      <c r="I43" s="96">
        <v>0</v>
      </c>
      <c r="J43" s="96">
        <v>0</v>
      </c>
      <c r="K43" s="96">
        <v>0</v>
      </c>
      <c r="L43" s="96">
        <v>0</v>
      </c>
      <c r="M43" s="96">
        <v>2.2495000000000003</v>
      </c>
      <c r="N43" s="97">
        <v>2.2495000000000003</v>
      </c>
      <c r="P43" s="95">
        <v>0</v>
      </c>
      <c r="Q43" s="96">
        <v>0</v>
      </c>
      <c r="R43" s="96">
        <v>0</v>
      </c>
      <c r="S43" s="96">
        <v>0</v>
      </c>
      <c r="T43" s="96">
        <v>0</v>
      </c>
      <c r="U43" s="96">
        <v>0</v>
      </c>
      <c r="V43" s="97">
        <v>0</v>
      </c>
      <c r="X43" s="241">
        <v>0</v>
      </c>
      <c r="Y43" s="242">
        <v>0</v>
      </c>
      <c r="Z43" s="242">
        <v>0</v>
      </c>
      <c r="AA43" s="242">
        <v>0</v>
      </c>
      <c r="AB43" s="242">
        <v>0</v>
      </c>
      <c r="AC43" s="242">
        <v>0</v>
      </c>
      <c r="AD43" s="243">
        <v>0</v>
      </c>
      <c r="AF43" s="288" t="s">
        <v>46</v>
      </c>
      <c r="AG43" s="61" t="s">
        <v>46</v>
      </c>
      <c r="AH43" s="61" t="s">
        <v>46</v>
      </c>
      <c r="AI43" s="61" t="s">
        <v>46</v>
      </c>
      <c r="AJ43" s="61" t="s">
        <v>46</v>
      </c>
      <c r="AK43" s="61" t="s">
        <v>46</v>
      </c>
      <c r="AL43" s="289" t="s">
        <v>45</v>
      </c>
    </row>
    <row r="44" spans="2:38" ht="12.9">
      <c r="D44" s="81"/>
      <c r="E44" s="54" t="s">
        <v>141</v>
      </c>
      <c r="F44" s="42" t="s">
        <v>153</v>
      </c>
      <c r="G44" s="42" t="s">
        <v>151</v>
      </c>
      <c r="H44" s="95">
        <v>0</v>
      </c>
      <c r="I44" s="96">
        <v>0</v>
      </c>
      <c r="J44" s="96">
        <v>0</v>
      </c>
      <c r="K44" s="96">
        <v>0</v>
      </c>
      <c r="L44" s="96">
        <v>0</v>
      </c>
      <c r="M44" s="96">
        <v>1.9316000000000002</v>
      </c>
      <c r="N44" s="97">
        <v>1.9283000000000001</v>
      </c>
      <c r="P44" s="95">
        <v>0</v>
      </c>
      <c r="Q44" s="96">
        <v>0</v>
      </c>
      <c r="R44" s="96">
        <v>0</v>
      </c>
      <c r="S44" s="96">
        <v>0</v>
      </c>
      <c r="T44" s="96">
        <v>0</v>
      </c>
      <c r="U44" s="96">
        <v>0</v>
      </c>
      <c r="V44" s="97">
        <v>0</v>
      </c>
      <c r="X44" s="241">
        <v>0</v>
      </c>
      <c r="Y44" s="242">
        <v>0</v>
      </c>
      <c r="Z44" s="242">
        <v>0</v>
      </c>
      <c r="AA44" s="242">
        <v>0</v>
      </c>
      <c r="AB44" s="242">
        <v>0</v>
      </c>
      <c r="AC44" s="242">
        <v>0</v>
      </c>
      <c r="AD44" s="243">
        <v>0</v>
      </c>
      <c r="AF44" s="288" t="s">
        <v>46</v>
      </c>
      <c r="AG44" s="61" t="s">
        <v>46</v>
      </c>
      <c r="AH44" s="61" t="s">
        <v>46</v>
      </c>
      <c r="AI44" s="61" t="s">
        <v>46</v>
      </c>
      <c r="AJ44" s="61" t="s">
        <v>46</v>
      </c>
      <c r="AK44" s="61" t="s">
        <v>46</v>
      </c>
      <c r="AL44" s="289" t="s">
        <v>45</v>
      </c>
    </row>
    <row r="45" spans="2:38" ht="12.9">
      <c r="D45" s="81"/>
      <c r="E45" s="54" t="s">
        <v>142</v>
      </c>
      <c r="F45" s="42" t="s">
        <v>153</v>
      </c>
      <c r="G45" s="42" t="s">
        <v>151</v>
      </c>
      <c r="H45" s="95">
        <v>0</v>
      </c>
      <c r="I45" s="96">
        <v>0</v>
      </c>
      <c r="J45" s="96">
        <v>0</v>
      </c>
      <c r="K45" s="96">
        <v>0</v>
      </c>
      <c r="L45" s="96">
        <v>0</v>
      </c>
      <c r="M45" s="96">
        <v>1.9316000000000002</v>
      </c>
      <c r="N45" s="97">
        <v>1.9283000000000001</v>
      </c>
      <c r="P45" s="95">
        <v>0</v>
      </c>
      <c r="Q45" s="96">
        <v>0</v>
      </c>
      <c r="R45" s="96">
        <v>0</v>
      </c>
      <c r="S45" s="96">
        <v>0</v>
      </c>
      <c r="T45" s="96">
        <v>0</v>
      </c>
      <c r="U45" s="96">
        <v>0</v>
      </c>
      <c r="V45" s="97">
        <v>0</v>
      </c>
      <c r="X45" s="241">
        <v>0</v>
      </c>
      <c r="Y45" s="242">
        <v>0</v>
      </c>
      <c r="Z45" s="242">
        <v>0</v>
      </c>
      <c r="AA45" s="242">
        <v>0</v>
      </c>
      <c r="AB45" s="242">
        <v>0</v>
      </c>
      <c r="AC45" s="242">
        <v>0</v>
      </c>
      <c r="AD45" s="243">
        <v>0</v>
      </c>
      <c r="AF45" s="288" t="s">
        <v>46</v>
      </c>
      <c r="AG45" s="61" t="s">
        <v>46</v>
      </c>
      <c r="AH45" s="61" t="s">
        <v>46</v>
      </c>
      <c r="AI45" s="61" t="s">
        <v>46</v>
      </c>
      <c r="AJ45" s="61" t="s">
        <v>46</v>
      </c>
      <c r="AK45" s="61" t="s">
        <v>46</v>
      </c>
      <c r="AL45" s="289" t="s">
        <v>45</v>
      </c>
    </row>
    <row r="46" spans="2:38" ht="13.2" thickBot="1">
      <c r="D46" s="82"/>
      <c r="E46" s="83" t="s">
        <v>143</v>
      </c>
      <c r="F46" s="84" t="s">
        <v>153</v>
      </c>
      <c r="G46" s="84" t="s">
        <v>151</v>
      </c>
      <c r="H46" s="101">
        <v>0</v>
      </c>
      <c r="I46" s="102">
        <v>0</v>
      </c>
      <c r="J46" s="102">
        <v>0</v>
      </c>
      <c r="K46" s="102">
        <v>0</v>
      </c>
      <c r="L46" s="102">
        <v>0</v>
      </c>
      <c r="M46" s="102">
        <v>1.9316000000000002</v>
      </c>
      <c r="N46" s="103">
        <v>1.9283000000000001</v>
      </c>
      <c r="P46" s="101">
        <v>0</v>
      </c>
      <c r="Q46" s="102">
        <v>0</v>
      </c>
      <c r="R46" s="102">
        <v>0</v>
      </c>
      <c r="S46" s="102">
        <v>0</v>
      </c>
      <c r="T46" s="102">
        <v>0</v>
      </c>
      <c r="U46" s="102">
        <v>0</v>
      </c>
      <c r="V46" s="103">
        <v>0</v>
      </c>
      <c r="X46" s="244">
        <v>0</v>
      </c>
      <c r="Y46" s="245">
        <v>0</v>
      </c>
      <c r="Z46" s="245">
        <v>0</v>
      </c>
      <c r="AA46" s="245">
        <v>0</v>
      </c>
      <c r="AB46" s="245">
        <v>0</v>
      </c>
      <c r="AC46" s="245">
        <v>0</v>
      </c>
      <c r="AD46" s="246">
        <v>0</v>
      </c>
      <c r="AF46" s="290" t="s">
        <v>46</v>
      </c>
      <c r="AG46" s="291" t="s">
        <v>46</v>
      </c>
      <c r="AH46" s="291" t="s">
        <v>46</v>
      </c>
      <c r="AI46" s="291" t="s">
        <v>46</v>
      </c>
      <c r="AJ46" s="291" t="s">
        <v>46</v>
      </c>
      <c r="AK46" s="291" t="s">
        <v>46</v>
      </c>
      <c r="AL46" s="292" t="s">
        <v>45</v>
      </c>
    </row>
    <row r="48" spans="2:38" s="7" customFormat="1" ht="15.6">
      <c r="B48" s="7" t="s">
        <v>433</v>
      </c>
    </row>
    <row r="50" spans="2:30" ht="12.75" customHeight="1">
      <c r="H50" s="491" t="s">
        <v>434</v>
      </c>
      <c r="I50" s="491"/>
      <c r="J50" s="491"/>
      <c r="K50" s="491"/>
      <c r="L50" s="491"/>
      <c r="M50" s="491"/>
      <c r="N50" s="491"/>
      <c r="P50" s="491" t="s">
        <v>435</v>
      </c>
      <c r="Q50" s="491"/>
      <c r="R50" s="491"/>
      <c r="S50" s="491"/>
      <c r="T50" s="491"/>
      <c r="U50" s="491"/>
      <c r="V50" s="491"/>
      <c r="X50" s="491" t="s">
        <v>436</v>
      </c>
      <c r="Y50" s="491"/>
      <c r="Z50" s="491"/>
      <c r="AA50" s="491"/>
      <c r="AB50" s="491"/>
      <c r="AC50" s="491"/>
      <c r="AD50" s="491"/>
    </row>
    <row r="51" spans="2:30" ht="12.75" customHeight="1">
      <c r="F51" s="55" t="s">
        <v>135</v>
      </c>
      <c r="G51" s="55" t="s">
        <v>136</v>
      </c>
      <c r="H51" s="357" t="str">
        <f>H$15</f>
        <v>Residential</v>
      </c>
      <c r="I51" s="357" t="str">
        <f t="shared" ref="I51:N51" si="13">I$15</f>
        <v>Non-residential</v>
      </c>
      <c r="J51" s="357" t="str">
        <f t="shared" si="13"/>
        <v>Unmetered SL</v>
      </c>
      <c r="K51" s="357" t="str">
        <f t="shared" si="13"/>
        <v>Unmetered TL</v>
      </c>
      <c r="L51" s="357" t="str">
        <f t="shared" si="13"/>
        <v>LV Smart</v>
      </c>
      <c r="M51" s="357" t="str">
        <f t="shared" si="13"/>
        <v xml:space="preserve"> &gt;750 LV</v>
      </c>
      <c r="N51" s="357" t="str">
        <f t="shared" si="13"/>
        <v>HV</v>
      </c>
      <c r="P51" s="357" t="str">
        <f>P$15</f>
        <v>Residential</v>
      </c>
      <c r="Q51" s="357" t="str">
        <f t="shared" ref="Q51:V51" si="14">Q$15</f>
        <v>Non-residential</v>
      </c>
      <c r="R51" s="357" t="str">
        <f t="shared" si="14"/>
        <v>Unmetered SL</v>
      </c>
      <c r="S51" s="357" t="str">
        <f t="shared" si="14"/>
        <v>Unmetered TL</v>
      </c>
      <c r="T51" s="357" t="str">
        <f t="shared" si="14"/>
        <v>LV Smart</v>
      </c>
      <c r="U51" s="357" t="str">
        <f t="shared" si="14"/>
        <v xml:space="preserve"> &gt;750 LV</v>
      </c>
      <c r="V51" s="357" t="str">
        <f t="shared" si="14"/>
        <v>HV</v>
      </c>
      <c r="X51" s="357" t="str">
        <f>X$15</f>
        <v>Residential</v>
      </c>
      <c r="Y51" s="357" t="str">
        <f t="shared" ref="Y51:AD51" si="15">Y$15</f>
        <v>Non-residential</v>
      </c>
      <c r="Z51" s="357" t="str">
        <f t="shared" si="15"/>
        <v>Unmetered SL</v>
      </c>
      <c r="AA51" s="357" t="str">
        <f t="shared" si="15"/>
        <v>Unmetered TL</v>
      </c>
      <c r="AB51" s="357" t="str">
        <f t="shared" si="15"/>
        <v>LV Smart</v>
      </c>
      <c r="AC51" s="357" t="str">
        <f t="shared" si="15"/>
        <v xml:space="preserve"> &gt;750 LV</v>
      </c>
      <c r="AD51" s="357" t="str">
        <f t="shared" si="15"/>
        <v>HV</v>
      </c>
    </row>
    <row r="52" spans="2:30" ht="12.75" customHeight="1">
      <c r="D52" s="14" t="s">
        <v>433</v>
      </c>
      <c r="F52" s="42" t="s">
        <v>480</v>
      </c>
      <c r="G52" s="42" t="s">
        <v>432</v>
      </c>
      <c r="H52" s="147">
        <f>ROUNDUP(SUM(J$177:J$179)/Days_In_Yr,0)</f>
        <v>71038</v>
      </c>
      <c r="I52" s="147">
        <f>ROUNDUP(SUM(J$180:J$182)/Days_In_Yr,0)</f>
        <v>10217</v>
      </c>
      <c r="J52" s="147">
        <v>0</v>
      </c>
      <c r="K52" s="147">
        <v>0</v>
      </c>
      <c r="L52" s="147">
        <f>ROUNDUP(SUM(J$189:J$191)/Days_In_Yr,0)</f>
        <v>1298</v>
      </c>
      <c r="M52" s="147">
        <f>COUNTIF('Inputs_&gt;750MWh'!$E$9:$E$191,"LV")</f>
        <v>0</v>
      </c>
      <c r="N52" s="147">
        <f>COUNTIF('Inputs_&gt;750MWh'!$E$9:$E$191,"HV")</f>
        <v>0</v>
      </c>
      <c r="P52" s="147">
        <f>ROUNDUP(SUM(Q$177:Q$179)/Days_In_Yr,0)</f>
        <v>71363</v>
      </c>
      <c r="Q52" s="147">
        <f>ROUNDUP(SUM(Q$180:Q$182)/Days_In_Yr,0)</f>
        <v>10253</v>
      </c>
      <c r="R52" s="147">
        <v>0</v>
      </c>
      <c r="S52" s="147">
        <v>0</v>
      </c>
      <c r="T52" s="147">
        <f>ROUNDUP(SUM(Q$189:Q$191)/Days_In_Yr,0)</f>
        <v>1303</v>
      </c>
      <c r="U52" s="147">
        <f>COUNTIF('Inputs_&gt;750MWh'!$E$9:$E$191,"LV")</f>
        <v>0</v>
      </c>
      <c r="V52" s="147">
        <f>COUNTIF('Inputs_&gt;750MWh'!$E$9:$E$191,"HV")</f>
        <v>0</v>
      </c>
      <c r="X52" s="147">
        <f>ROUNDUP(SUM(X$177:X$179)/Days_In_Yr,0)</f>
        <v>71706</v>
      </c>
      <c r="Y52" s="147">
        <f>ROUNDUP(SUM(X$180:X$182)/Days_In_Yr,0)</f>
        <v>10346</v>
      </c>
      <c r="Z52" s="147">
        <v>0</v>
      </c>
      <c r="AA52" s="147">
        <v>0</v>
      </c>
      <c r="AB52" s="147">
        <f>ROUNDUP(SUM(X$189:X$191)/Days_In_Yr,0)</f>
        <v>1314</v>
      </c>
      <c r="AC52" s="147">
        <f>COUNTIF('Inputs_&gt;750MWh'!$E$9:$E$191,"LV")</f>
        <v>0</v>
      </c>
      <c r="AD52" s="147">
        <f>COUNTIF('Inputs_&gt;750MWh'!$E$9:$E$191,"HV")</f>
        <v>0</v>
      </c>
    </row>
    <row r="54" spans="2:30" s="7" customFormat="1" ht="15.6">
      <c r="B54" s="7" t="s">
        <v>157</v>
      </c>
    </row>
    <row r="56" spans="2:30" ht="12.75" customHeight="1">
      <c r="F56" s="55" t="s">
        <v>135</v>
      </c>
      <c r="G56" s="55" t="s">
        <v>136</v>
      </c>
      <c r="I56" s="30" t="s">
        <v>158</v>
      </c>
      <c r="J56" s="113" t="str">
        <f>LEFT(I56,4)+1&amp;"/"&amp;RIGHT(LEFT(I56,4)+2,2)</f>
        <v>2019/20</v>
      </c>
      <c r="K56" s="113" t="str">
        <f t="shared" ref="K56:N56" si="16">LEFT(J56,4)+1&amp;"/"&amp;RIGHT(LEFT(J56,4)+2,2)</f>
        <v>2020/21</v>
      </c>
      <c r="L56" s="113" t="str">
        <f t="shared" si="16"/>
        <v>2021/22</v>
      </c>
      <c r="M56" s="113" t="str">
        <f t="shared" si="16"/>
        <v>2022/23</v>
      </c>
      <c r="N56" s="113" t="str">
        <f t="shared" si="16"/>
        <v>2023/24</v>
      </c>
    </row>
    <row r="57" spans="2:30" ht="12.75" customHeight="1">
      <c r="D57" s="14" t="s">
        <v>160</v>
      </c>
      <c r="F57" s="42" t="s">
        <v>481</v>
      </c>
      <c r="G57" s="42" t="s">
        <v>249</v>
      </c>
      <c r="I57" s="93">
        <f>'[2]X factors'!F60</f>
        <v>177.84186661021639</v>
      </c>
      <c r="J57" s="93">
        <f>'[2]X factors'!G60</f>
        <v>164.99861387816443</v>
      </c>
      <c r="K57" s="93">
        <f>'[2]X factors'!H60</f>
        <v>174.7051634304531</v>
      </c>
      <c r="L57" s="93">
        <f>'[2]X factors'!I60</f>
        <v>184.98273053250497</v>
      </c>
      <c r="M57" s="93">
        <f>'[2]X factors'!J60</f>
        <v>195.86490704313468</v>
      </c>
      <c r="N57" s="93">
        <f>'[2]X factors'!K60</f>
        <v>207.387260965286</v>
      </c>
    </row>
    <row r="58" spans="2:30" ht="12.75" customHeight="1">
      <c r="D58" s="14" t="s">
        <v>161</v>
      </c>
      <c r="F58" s="42" t="s">
        <v>481</v>
      </c>
      <c r="G58" s="42" t="s">
        <v>164</v>
      </c>
      <c r="J58" s="112">
        <f>'[2]X factors'!G63</f>
        <v>9.4182208389897021E-2</v>
      </c>
      <c r="K58" s="112">
        <f>'[2]X factors'!H63</f>
        <v>-3.3760666814186872E-2</v>
      </c>
      <c r="L58" s="112">
        <f>'[2]X factors'!I63</f>
        <v>-3.3760666814186872E-2</v>
      </c>
      <c r="M58" s="112">
        <f>'[2]X factors'!J63</f>
        <v>-3.3760666814186872E-2</v>
      </c>
      <c r="N58" s="112">
        <f>'[2]X factors'!K63</f>
        <v>-3.3760666814186872E-2</v>
      </c>
    </row>
    <row r="60" spans="2:30" ht="12.75" customHeight="1">
      <c r="D60" s="14" t="s">
        <v>162</v>
      </c>
      <c r="F60" s="42" t="s">
        <v>489</v>
      </c>
      <c r="G60" s="42" t="s">
        <v>164</v>
      </c>
      <c r="H60" s="112">
        <v>0.02</v>
      </c>
    </row>
    <row r="61" spans="2:30" ht="12.75" customHeight="1">
      <c r="D61" s="14" t="s">
        <v>163</v>
      </c>
      <c r="F61" s="42" t="s">
        <v>481</v>
      </c>
      <c r="G61" s="42" t="s">
        <v>164</v>
      </c>
      <c r="H61" s="112">
        <f>[2]!f</f>
        <v>2.4248746575396662E-2</v>
      </c>
    </row>
    <row r="62" spans="2:30" ht="12.75" customHeight="1">
      <c r="D62" s="14" t="s">
        <v>511</v>
      </c>
      <c r="F62" s="42" t="s">
        <v>481</v>
      </c>
      <c r="G62" s="42" t="s">
        <v>164</v>
      </c>
      <c r="H62" s="112">
        <f>[2]!vanilla01</f>
        <v>6.6223823594072889E-2</v>
      </c>
    </row>
    <row r="63" spans="2:30" ht="12.75" customHeight="1">
      <c r="D63" s="14" t="s">
        <v>512</v>
      </c>
      <c r="F63" s="42"/>
      <c r="G63" s="42" t="s">
        <v>164</v>
      </c>
      <c r="H63" s="148">
        <f>(1+H62)/(1+H61)-1</f>
        <v>4.0981331106355823E-2</v>
      </c>
    </row>
    <row r="65" spans="2:18" ht="12.75" customHeight="1">
      <c r="I65" s="113" t="str">
        <f>I56</f>
        <v>2018/19</v>
      </c>
      <c r="J65" s="113" t="str">
        <f t="shared" ref="J65:N65" si="17">J56</f>
        <v>2019/20</v>
      </c>
      <c r="K65" s="113" t="str">
        <f t="shared" si="17"/>
        <v>2020/21</v>
      </c>
      <c r="L65" s="113" t="str">
        <f t="shared" si="17"/>
        <v>2021/22</v>
      </c>
      <c r="M65" s="113" t="str">
        <f t="shared" si="17"/>
        <v>2022/23</v>
      </c>
      <c r="N65" s="113" t="str">
        <f t="shared" si="17"/>
        <v>2023/24</v>
      </c>
    </row>
    <row r="66" spans="2:18" ht="12.75" customHeight="1">
      <c r="D66" s="119" t="s">
        <v>240</v>
      </c>
      <c r="E66" s="49"/>
      <c r="F66" s="152" t="s">
        <v>246</v>
      </c>
      <c r="G66" s="111" t="s">
        <v>164</v>
      </c>
      <c r="H66" s="49"/>
      <c r="I66" s="153">
        <f>$H$61</f>
        <v>2.4248746575396662E-2</v>
      </c>
      <c r="J66" s="153">
        <f>$H$61</f>
        <v>2.4248746575396662E-2</v>
      </c>
      <c r="K66" s="153">
        <f t="shared" ref="K66:N66" si="18">$H$61</f>
        <v>2.4248746575396662E-2</v>
      </c>
      <c r="L66" s="153">
        <f t="shared" si="18"/>
        <v>2.4248746575396662E-2</v>
      </c>
      <c r="M66" s="153">
        <f t="shared" si="18"/>
        <v>2.4248746575396662E-2</v>
      </c>
      <c r="N66" s="154">
        <f t="shared" si="18"/>
        <v>2.4248746575396662E-2</v>
      </c>
    </row>
    <row r="67" spans="2:18" ht="12.75" customHeight="1">
      <c r="D67" s="122" t="s">
        <v>241</v>
      </c>
      <c r="E67" s="52"/>
      <c r="F67" s="149" t="s">
        <v>246</v>
      </c>
      <c r="G67" s="42" t="s">
        <v>241</v>
      </c>
      <c r="H67" s="52"/>
      <c r="I67" s="155">
        <f>IF(H67="",1,H67*(1+I66))</f>
        <v>1</v>
      </c>
      <c r="J67" s="155">
        <f t="shared" ref="J67:N67" si="19">IF(I67="",1,I67*(1+J66))</f>
        <v>1.0242487465753967</v>
      </c>
      <c r="K67" s="155">
        <f t="shared" si="19"/>
        <v>1.0490854948612711</v>
      </c>
      <c r="L67" s="155">
        <f t="shared" si="19"/>
        <v>1.0745245031620867</v>
      </c>
      <c r="M67" s="155">
        <f t="shared" si="19"/>
        <v>1.1005803755283181</v>
      </c>
      <c r="N67" s="156">
        <f t="shared" si="19"/>
        <v>1.1272680701403592</v>
      </c>
    </row>
    <row r="68" spans="2:18" ht="12.75" customHeight="1">
      <c r="D68" s="122" t="s">
        <v>161</v>
      </c>
      <c r="E68" s="52"/>
      <c r="F68" s="149" t="s">
        <v>246</v>
      </c>
      <c r="G68" s="42" t="s">
        <v>164</v>
      </c>
      <c r="H68" s="52"/>
      <c r="I68" s="157"/>
      <c r="J68" s="157">
        <f t="shared" ref="J68:N68" si="20">J58</f>
        <v>9.4182208389897021E-2</v>
      </c>
      <c r="K68" s="157">
        <f t="shared" si="20"/>
        <v>-3.3760666814186872E-2</v>
      </c>
      <c r="L68" s="157">
        <f t="shared" si="20"/>
        <v>-3.3760666814186872E-2</v>
      </c>
      <c r="M68" s="157">
        <f t="shared" si="20"/>
        <v>-3.3760666814186872E-2</v>
      </c>
      <c r="N68" s="158">
        <f t="shared" si="20"/>
        <v>-3.3760666814186872E-2</v>
      </c>
    </row>
    <row r="69" spans="2:18" ht="12.75" customHeight="1">
      <c r="D69" s="122" t="s">
        <v>160</v>
      </c>
      <c r="E69" s="52"/>
      <c r="F69" s="149" t="s">
        <v>246</v>
      </c>
      <c r="G69" s="42" t="s">
        <v>249</v>
      </c>
      <c r="H69" s="52"/>
      <c r="I69" s="159">
        <f>I57</f>
        <v>177.84186661021639</v>
      </c>
      <c r="J69" s="159">
        <f t="shared" ref="J69:N69" si="21">J57</f>
        <v>164.99861387816443</v>
      </c>
      <c r="K69" s="159">
        <f t="shared" si="21"/>
        <v>174.7051634304531</v>
      </c>
      <c r="L69" s="159">
        <f t="shared" si="21"/>
        <v>184.98273053250497</v>
      </c>
      <c r="M69" s="159">
        <f t="shared" si="21"/>
        <v>195.86490704313468</v>
      </c>
      <c r="N69" s="160">
        <f t="shared" si="21"/>
        <v>207.387260965286</v>
      </c>
    </row>
    <row r="70" spans="2:18" ht="12.75" customHeight="1">
      <c r="D70" s="122" t="s">
        <v>242</v>
      </c>
      <c r="E70" s="52"/>
      <c r="F70" s="149" t="s">
        <v>246</v>
      </c>
      <c r="G70" s="42" t="s">
        <v>250</v>
      </c>
      <c r="H70" s="52"/>
      <c r="I70" s="161">
        <f t="shared" ref="I70:N70" si="22">I69*Thousand</f>
        <v>177841.86661021638</v>
      </c>
      <c r="J70" s="161">
        <f t="shared" si="22"/>
        <v>164998.61387816444</v>
      </c>
      <c r="K70" s="161">
        <f t="shared" si="22"/>
        <v>174705.1634304531</v>
      </c>
      <c r="L70" s="161">
        <f t="shared" si="22"/>
        <v>184982.73053250497</v>
      </c>
      <c r="M70" s="161">
        <f t="shared" si="22"/>
        <v>195864.90704313468</v>
      </c>
      <c r="N70" s="162">
        <f t="shared" si="22"/>
        <v>207387.260965286</v>
      </c>
    </row>
    <row r="71" spans="2:18" ht="12.75" customHeight="1">
      <c r="D71" s="122" t="s">
        <v>243</v>
      </c>
      <c r="E71" s="52"/>
      <c r="F71" s="149" t="s">
        <v>246</v>
      </c>
      <c r="G71" s="42" t="s">
        <v>245</v>
      </c>
      <c r="H71" s="52"/>
      <c r="I71" s="157" t="str">
        <f t="shared" ref="I71:N71" si="23">IFERROR(I70/H70-1,NA)</f>
        <v>N/A</v>
      </c>
      <c r="J71" s="157">
        <f t="shared" si="23"/>
        <v>-7.2217262317658015E-2</v>
      </c>
      <c r="K71" s="157">
        <f t="shared" si="23"/>
        <v>5.8828067243376969E-2</v>
      </c>
      <c r="L71" s="157">
        <f t="shared" si="23"/>
        <v>5.8828067243376969E-2</v>
      </c>
      <c r="M71" s="157">
        <f t="shared" si="23"/>
        <v>5.8828067243377191E-2</v>
      </c>
      <c r="N71" s="158">
        <f t="shared" si="23"/>
        <v>5.8828067243376969E-2</v>
      </c>
    </row>
    <row r="72" spans="2:18" ht="12.75" customHeight="1">
      <c r="D72" s="51"/>
      <c r="E72" s="52"/>
      <c r="F72" s="52"/>
      <c r="G72" s="52"/>
      <c r="H72" s="52"/>
      <c r="I72" s="52"/>
      <c r="J72" s="52"/>
      <c r="K72" s="52"/>
      <c r="L72" s="52"/>
      <c r="M72" s="52"/>
      <c r="N72" s="53"/>
    </row>
    <row r="73" spans="2:18" ht="12.75" customHeight="1">
      <c r="D73" s="122" t="s">
        <v>162</v>
      </c>
      <c r="E73" s="52"/>
      <c r="F73" s="149" t="s">
        <v>246</v>
      </c>
      <c r="G73" s="42" t="s">
        <v>245</v>
      </c>
      <c r="H73" s="52"/>
      <c r="I73" s="157">
        <f>$H$60</f>
        <v>0.02</v>
      </c>
      <c r="J73" s="157">
        <f>$H$60</f>
        <v>0.02</v>
      </c>
      <c r="K73" s="157">
        <f t="shared" ref="K73:N73" si="24">$H$60</f>
        <v>0.02</v>
      </c>
      <c r="L73" s="157">
        <f t="shared" si="24"/>
        <v>0.02</v>
      </c>
      <c r="M73" s="157">
        <f t="shared" si="24"/>
        <v>0.02</v>
      </c>
      <c r="N73" s="158">
        <f t="shared" si="24"/>
        <v>0.02</v>
      </c>
    </row>
    <row r="74" spans="2:18" ht="12.75" customHeight="1">
      <c r="D74" s="124" t="s">
        <v>244</v>
      </c>
      <c r="E74" s="59"/>
      <c r="F74" s="163" t="s">
        <v>246</v>
      </c>
      <c r="G74" s="125" t="s">
        <v>245</v>
      </c>
      <c r="H74" s="59"/>
      <c r="I74" s="164" t="str">
        <f t="shared" ref="I74:N74" si="25">IFERROR((1+I71)*(1+I73)-1,NA)</f>
        <v>N/A</v>
      </c>
      <c r="J74" s="164">
        <f t="shared" si="25"/>
        <v>-5.3661607564011171E-2</v>
      </c>
      <c r="K74" s="164">
        <f t="shared" si="25"/>
        <v>8.0004628588244531E-2</v>
      </c>
      <c r="L74" s="164">
        <f t="shared" si="25"/>
        <v>8.0004628588244531E-2</v>
      </c>
      <c r="M74" s="164">
        <f t="shared" si="25"/>
        <v>8.0004628588244753E-2</v>
      </c>
      <c r="N74" s="165">
        <f t="shared" si="25"/>
        <v>8.0004628588244531E-2</v>
      </c>
    </row>
    <row r="76" spans="2:18" s="7" customFormat="1" ht="15.6">
      <c r="B76" s="7" t="s">
        <v>165</v>
      </c>
    </row>
    <row r="78" spans="2:18" ht="12.75" customHeight="1">
      <c r="F78" s="55" t="s">
        <v>135</v>
      </c>
      <c r="G78" s="55" t="s">
        <v>136</v>
      </c>
      <c r="J78" s="113" t="str">
        <f t="shared" ref="J78:Q78" si="26">IF(I78="",Tariff_Year,LEFT(I78,4)+1&amp;"/"&amp;RIGHT(LEFT(I78,4)+2,2))</f>
        <v>2019/20</v>
      </c>
      <c r="K78" s="113" t="str">
        <f t="shared" si="26"/>
        <v>2020/21</v>
      </c>
      <c r="L78" s="113" t="str">
        <f t="shared" si="26"/>
        <v>2021/22</v>
      </c>
      <c r="M78" s="113" t="str">
        <f t="shared" si="26"/>
        <v>2022/23</v>
      </c>
      <c r="N78" s="113" t="str">
        <f t="shared" si="26"/>
        <v>2023/24</v>
      </c>
      <c r="O78" s="113" t="str">
        <f t="shared" si="26"/>
        <v>2024/25</v>
      </c>
      <c r="P78" s="113" t="str">
        <f t="shared" si="26"/>
        <v>2025/26</v>
      </c>
      <c r="Q78" s="113" t="str">
        <f t="shared" si="26"/>
        <v>2026/27</v>
      </c>
      <c r="R78" s="113" t="str">
        <f>"Post "&amp;Q78</f>
        <v>Post 2026/27</v>
      </c>
    </row>
    <row r="79" spans="2:18" ht="12.75" customHeight="1">
      <c r="D79" s="14" t="s">
        <v>169</v>
      </c>
      <c r="F79" s="42" t="s">
        <v>482</v>
      </c>
      <c r="G79" s="42" t="s">
        <v>164</v>
      </c>
      <c r="J79" s="112">
        <v>-1.7386892633311835E-2</v>
      </c>
      <c r="K79" s="112">
        <v>4.7207801079449663E-3</v>
      </c>
      <c r="L79" s="112">
        <v>-6.3860634750690926E-3</v>
      </c>
      <c r="M79" s="112">
        <v>-2.4220590878288872E-3</v>
      </c>
      <c r="N79" s="112">
        <v>1.8436305058011637E-3</v>
      </c>
      <c r="O79" s="112">
        <v>-5.2669974230445948E-4</v>
      </c>
      <c r="P79" s="112">
        <v>1.2557475372148019E-3</v>
      </c>
      <c r="Q79" s="112">
        <v>2.9197778171878852E-3</v>
      </c>
      <c r="R79" s="112">
        <v>1.2999999999999999E-2</v>
      </c>
    </row>
    <row r="80" spans="2:18" ht="12.75" customHeight="1">
      <c r="D80" s="14" t="s">
        <v>170</v>
      </c>
      <c r="F80" s="42" t="s">
        <v>482</v>
      </c>
      <c r="G80" s="42" t="s">
        <v>164</v>
      </c>
      <c r="J80" s="112">
        <v>-1.1539270214841912E-2</v>
      </c>
      <c r="K80" s="112">
        <v>-2.0833543279044853E-2</v>
      </c>
      <c r="L80" s="112">
        <v>-1.5187449331586667E-2</v>
      </c>
      <c r="M80" s="112">
        <v>-2.3286365813036669E-3</v>
      </c>
      <c r="N80" s="112">
        <v>-1.8123558254113381E-2</v>
      </c>
      <c r="O80" s="112">
        <v>-6.3121109190745761E-3</v>
      </c>
      <c r="P80" s="112">
        <v>-1.134296318860073E-2</v>
      </c>
      <c r="Q80" s="112">
        <v>-1.8887839929708772E-3</v>
      </c>
      <c r="R80" s="112">
        <v>1.2999999999999999E-2</v>
      </c>
    </row>
    <row r="81" spans="2:18" ht="12.75" customHeight="1">
      <c r="D81" s="14" t="s">
        <v>171</v>
      </c>
      <c r="F81" s="42" t="s">
        <v>482</v>
      </c>
      <c r="G81" s="42" t="s">
        <v>164</v>
      </c>
      <c r="J81" s="112">
        <v>-3.7460697073343763E-4</v>
      </c>
      <c r="K81" s="112">
        <v>-3.9261348246958372E-3</v>
      </c>
      <c r="L81" s="112">
        <v>1.0428068580238703E-2</v>
      </c>
      <c r="M81" s="112">
        <v>-5.0621381108115759E-3</v>
      </c>
      <c r="N81" s="112">
        <v>-1.9676255840583856E-4</v>
      </c>
      <c r="O81" s="112">
        <v>1.6926810366053591E-3</v>
      </c>
      <c r="P81" s="112">
        <v>-3.7073198282430164E-3</v>
      </c>
      <c r="Q81" s="112">
        <v>1.2406789863868006E-3</v>
      </c>
      <c r="R81" s="112">
        <v>1.2999999999999999E-2</v>
      </c>
    </row>
    <row r="83" spans="2:18" s="7" customFormat="1" ht="15.6">
      <c r="B83" s="7" t="s">
        <v>175</v>
      </c>
    </row>
    <row r="85" spans="2:18" ht="12.75" customHeight="1">
      <c r="D85" s="14"/>
      <c r="F85" s="55" t="s">
        <v>135</v>
      </c>
      <c r="G85" s="55" t="s">
        <v>136</v>
      </c>
      <c r="J85" s="113" t="str">
        <f>IF(I85="",Tariff_Year,LEFT(I85,4)+1&amp;"/"&amp;RIGHT(LEFT(I85,4)+2,2))</f>
        <v>2019/20</v>
      </c>
    </row>
    <row r="86" spans="2:18" ht="12.75" customHeight="1">
      <c r="D86" s="14" t="s">
        <v>169</v>
      </c>
      <c r="F86" s="42" t="s">
        <v>482</v>
      </c>
      <c r="G86" s="42" t="s">
        <v>177</v>
      </c>
      <c r="J86" s="91">
        <v>279822.31109999999</v>
      </c>
    </row>
    <row r="87" spans="2:18" ht="12.75" customHeight="1">
      <c r="D87" s="14" t="s">
        <v>170</v>
      </c>
      <c r="F87" s="42" t="s">
        <v>482</v>
      </c>
      <c r="G87" s="42" t="s">
        <v>177</v>
      </c>
      <c r="J87" s="91">
        <v>50087.353170000002</v>
      </c>
    </row>
    <row r="88" spans="2:18" ht="12.75" customHeight="1">
      <c r="D88" s="14" t="s">
        <v>171</v>
      </c>
      <c r="F88" s="42" t="s">
        <v>482</v>
      </c>
      <c r="G88" s="42" t="s">
        <v>177</v>
      </c>
      <c r="J88" s="114">
        <v>9169.5857650000016</v>
      </c>
    </row>
    <row r="89" spans="2:18" ht="12.75" customHeight="1">
      <c r="D89" s="110" t="s">
        <v>73</v>
      </c>
      <c r="E89" s="49"/>
      <c r="F89" s="117" t="s">
        <v>480</v>
      </c>
      <c r="G89" s="117" t="s">
        <v>177</v>
      </c>
      <c r="H89" s="49"/>
      <c r="I89" s="49"/>
      <c r="J89" s="116">
        <f>SUM(J86:J88)</f>
        <v>339079.25003500003</v>
      </c>
    </row>
    <row r="91" spans="2:18" s="7" customFormat="1" ht="15.6">
      <c r="B91" s="7" t="s">
        <v>176</v>
      </c>
    </row>
    <row r="93" spans="2:18" ht="12.75" customHeight="1">
      <c r="F93" s="55" t="s">
        <v>135</v>
      </c>
      <c r="G93" s="55" t="s">
        <v>136</v>
      </c>
    </row>
    <row r="94" spans="2:18" ht="12.75" customHeight="1">
      <c r="D94" s="14" t="s">
        <v>176</v>
      </c>
      <c r="F94" s="42" t="s">
        <v>153</v>
      </c>
      <c r="G94" s="42" t="s">
        <v>178</v>
      </c>
      <c r="H94" s="91">
        <v>40</v>
      </c>
    </row>
    <row r="96" spans="2:18" s="7" customFormat="1" ht="15.6">
      <c r="B96" s="7" t="s">
        <v>179</v>
      </c>
    </row>
    <row r="98" spans="2:10" ht="12.75" customHeight="1">
      <c r="H98" s="490" t="s">
        <v>187</v>
      </c>
      <c r="I98" s="490"/>
      <c r="J98" s="490"/>
    </row>
    <row r="99" spans="2:10" ht="12.75" customHeight="1">
      <c r="D99" s="12" t="s">
        <v>180</v>
      </c>
      <c r="F99" s="55" t="s">
        <v>135</v>
      </c>
      <c r="G99" s="55" t="s">
        <v>136</v>
      </c>
      <c r="H99" s="30" t="s">
        <v>403</v>
      </c>
      <c r="I99" s="30" t="s">
        <v>181</v>
      </c>
      <c r="J99" s="30" t="s">
        <v>314</v>
      </c>
    </row>
    <row r="100" spans="2:10" ht="12.75" customHeight="1">
      <c r="D100" s="14" t="s">
        <v>182</v>
      </c>
      <c r="F100" s="42" t="s">
        <v>488</v>
      </c>
      <c r="G100" s="42" t="s">
        <v>164</v>
      </c>
      <c r="H100" s="118">
        <v>0.05</v>
      </c>
      <c r="I100" s="118">
        <v>0.05</v>
      </c>
      <c r="J100" s="118">
        <v>0.03</v>
      </c>
    </row>
    <row r="101" spans="2:10" ht="12.75" customHeight="1">
      <c r="D101" s="14" t="s">
        <v>183</v>
      </c>
      <c r="F101" s="42" t="s">
        <v>488</v>
      </c>
      <c r="G101" s="42" t="s">
        <v>164</v>
      </c>
      <c r="H101" s="118">
        <v>0.05</v>
      </c>
      <c r="I101" s="118">
        <v>0.05</v>
      </c>
      <c r="J101" s="118">
        <v>0.05</v>
      </c>
    </row>
    <row r="102" spans="2:10" ht="12.75" customHeight="1">
      <c r="D102" s="14" t="s">
        <v>184</v>
      </c>
      <c r="F102" s="42" t="s">
        <v>488</v>
      </c>
      <c r="G102" s="42" t="s">
        <v>164</v>
      </c>
      <c r="H102" s="118">
        <v>0.05</v>
      </c>
      <c r="I102" s="118">
        <v>0.05</v>
      </c>
      <c r="J102" s="118">
        <v>0.1</v>
      </c>
    </row>
    <row r="103" spans="2:10" ht="12.75" customHeight="1">
      <c r="D103" s="14" t="s">
        <v>185</v>
      </c>
      <c r="F103" s="42" t="s">
        <v>488</v>
      </c>
      <c r="G103" s="42" t="s">
        <v>164</v>
      </c>
      <c r="H103" s="118">
        <v>0.3</v>
      </c>
      <c r="I103" s="118">
        <v>0</v>
      </c>
      <c r="J103" s="118">
        <v>0.1</v>
      </c>
    </row>
    <row r="104" spans="2:10" ht="12.75" customHeight="1">
      <c r="D104" s="14" t="s">
        <v>186</v>
      </c>
      <c r="F104" s="42" t="s">
        <v>488</v>
      </c>
      <c r="G104" s="42" t="s">
        <v>164</v>
      </c>
      <c r="H104" s="118">
        <v>0.5</v>
      </c>
      <c r="I104" s="118">
        <v>0</v>
      </c>
      <c r="J104" s="118">
        <v>0.15</v>
      </c>
    </row>
    <row r="105" spans="2:10" ht="12.75" customHeight="1">
      <c r="D105" s="14" t="s">
        <v>353</v>
      </c>
      <c r="F105" s="42" t="s">
        <v>488</v>
      </c>
      <c r="G105" s="42" t="s">
        <v>164</v>
      </c>
      <c r="H105" s="118">
        <v>0</v>
      </c>
      <c r="I105" s="118">
        <v>0</v>
      </c>
      <c r="J105" s="118">
        <v>0</v>
      </c>
    </row>
    <row r="107" spans="2:10" s="7" customFormat="1" ht="15.6">
      <c r="B107" s="7" t="s">
        <v>188</v>
      </c>
    </row>
    <row r="109" spans="2:10" ht="12.75" customHeight="1">
      <c r="H109" s="490" t="s">
        <v>187</v>
      </c>
      <c r="I109" s="490"/>
      <c r="J109" s="490"/>
    </row>
    <row r="110" spans="2:10" ht="12.75" customHeight="1">
      <c r="D110" s="12" t="s">
        <v>180</v>
      </c>
      <c r="F110" s="55" t="s">
        <v>135</v>
      </c>
      <c r="G110" s="55" t="s">
        <v>136</v>
      </c>
      <c r="H110" s="30" t="s">
        <v>403</v>
      </c>
      <c r="I110" s="30" t="s">
        <v>181</v>
      </c>
      <c r="J110" s="30" t="s">
        <v>314</v>
      </c>
    </row>
    <row r="111" spans="2:10" ht="12.75" customHeight="1">
      <c r="D111" s="15" t="str">
        <f t="shared" ref="D111:D116" si="27">D100</f>
        <v>Transmission</v>
      </c>
      <c r="F111" s="42" t="s">
        <v>488</v>
      </c>
      <c r="G111" s="42" t="s">
        <v>164</v>
      </c>
      <c r="H111" s="118">
        <v>0.98</v>
      </c>
      <c r="I111" s="118">
        <v>0.65</v>
      </c>
      <c r="J111" s="118">
        <v>0.98</v>
      </c>
    </row>
    <row r="112" spans="2:10" ht="12.75" customHeight="1">
      <c r="D112" s="15" t="str">
        <f t="shared" si="27"/>
        <v>Zone Substations</v>
      </c>
      <c r="F112" s="42" t="s">
        <v>488</v>
      </c>
      <c r="G112" s="42" t="s">
        <v>164</v>
      </c>
      <c r="H112" s="118">
        <v>0.95</v>
      </c>
      <c r="I112" s="118">
        <v>0.3</v>
      </c>
      <c r="J112" s="118">
        <v>0.9</v>
      </c>
    </row>
    <row r="113" spans="2:16" ht="12.75" customHeight="1">
      <c r="D113" s="15" t="str">
        <f t="shared" si="27"/>
        <v>HV Distribution</v>
      </c>
      <c r="F113" s="42" t="s">
        <v>488</v>
      </c>
      <c r="G113" s="42" t="s">
        <v>164</v>
      </c>
      <c r="H113" s="118">
        <v>0.95</v>
      </c>
      <c r="I113" s="118">
        <v>0.1</v>
      </c>
      <c r="J113" s="118">
        <v>0.8</v>
      </c>
    </row>
    <row r="114" spans="2:16" ht="12.75" customHeight="1">
      <c r="D114" s="15" t="str">
        <f t="shared" si="27"/>
        <v>Distribution Substations</v>
      </c>
      <c r="F114" s="42" t="s">
        <v>488</v>
      </c>
      <c r="G114" s="42" t="s">
        <v>164</v>
      </c>
      <c r="H114" s="118">
        <v>0.8</v>
      </c>
      <c r="I114" s="118">
        <v>0</v>
      </c>
      <c r="J114" s="118">
        <v>0.8</v>
      </c>
    </row>
    <row r="115" spans="2:16" ht="12.75" customHeight="1">
      <c r="D115" s="15" t="str">
        <f t="shared" si="27"/>
        <v>LV Distribution</v>
      </c>
      <c r="F115" s="42" t="s">
        <v>488</v>
      </c>
      <c r="G115" s="42" t="s">
        <v>164</v>
      </c>
      <c r="H115" s="118">
        <v>0.9</v>
      </c>
      <c r="I115" s="118">
        <v>0</v>
      </c>
      <c r="J115" s="118">
        <v>0.4</v>
      </c>
    </row>
    <row r="116" spans="2:16" ht="12.75" customHeight="1">
      <c r="D116" s="15" t="str">
        <f t="shared" si="27"/>
        <v>Common Services</v>
      </c>
      <c r="F116" s="42" t="s">
        <v>488</v>
      </c>
      <c r="G116" s="42" t="s">
        <v>164</v>
      </c>
      <c r="H116" s="118">
        <v>1</v>
      </c>
      <c r="I116" s="118">
        <v>1</v>
      </c>
      <c r="J116" s="118">
        <v>1</v>
      </c>
    </row>
    <row r="118" spans="2:16" s="7" customFormat="1" ht="15.6">
      <c r="B118" s="7" t="s">
        <v>400</v>
      </c>
    </row>
    <row r="120" spans="2:16" s="16" customFormat="1" ht="12.75" customHeight="1">
      <c r="C120" s="16" t="s">
        <v>189</v>
      </c>
    </row>
    <row r="122" spans="2:16" ht="12.75" customHeight="1">
      <c r="J122" s="493" t="s">
        <v>520</v>
      </c>
      <c r="K122" s="494"/>
      <c r="L122" s="494"/>
      <c r="M122" s="494"/>
      <c r="N122" s="495"/>
    </row>
    <row r="123" spans="2:16" ht="12.75" customHeight="1">
      <c r="F123" s="55" t="s">
        <v>135</v>
      </c>
      <c r="G123" s="55" t="s">
        <v>136</v>
      </c>
      <c r="J123" s="113" t="str">
        <f>IF(I123="",Tariff_Year,LEFT(I123,4)+1&amp;"/"&amp;RIGHT(LEFT(I123,4)+2,2))</f>
        <v>2019/20</v>
      </c>
      <c r="K123" s="113" t="str">
        <f>IF(J123="",Tariff_Year,LEFT(J123,4)+1&amp;"/"&amp;RIGHT(LEFT(J123,4)+2,2))</f>
        <v>2020/21</v>
      </c>
      <c r="L123" s="113" t="str">
        <f>IF(K123="",Tariff_Year,LEFT(K123,4)+1&amp;"/"&amp;RIGHT(LEFT(K123,4)+2,2))</f>
        <v>2021/22</v>
      </c>
      <c r="M123" s="113" t="str">
        <f>IF(L123="",Tariff_Year,LEFT(L123,4)+1&amp;"/"&amp;RIGHT(LEFT(L123,4)+2,2))</f>
        <v>2022/23</v>
      </c>
      <c r="N123" s="113" t="str">
        <f>IF(M123="",Tariff_Year,LEFT(M123,4)+1&amp;"/"&amp;RIGHT(LEFT(M123,4)+2,2))</f>
        <v>2023/24</v>
      </c>
      <c r="P123" s="30" t="s">
        <v>401</v>
      </c>
    </row>
    <row r="124" spans="2:16" ht="12.75" customHeight="1">
      <c r="D124" s="14" t="s">
        <v>190</v>
      </c>
      <c r="F124" s="42" t="s">
        <v>483</v>
      </c>
      <c r="G124" s="108" t="s">
        <v>519</v>
      </c>
      <c r="J124" s="389">
        <f>[3]Augex!J8*10^3*(1+'[3]SCS total'!$I$7)</f>
        <v>2147.25</v>
      </c>
      <c r="K124" s="389">
        <f>[3]Augex!K8*10^3*(1+'[3]SCS total'!$I$7)</f>
        <v>511.25</v>
      </c>
      <c r="L124" s="389">
        <f>[3]Augex!L8*10^3*(1+'[3]SCS total'!$I$7)</f>
        <v>8336.442500000001</v>
      </c>
      <c r="M124" s="389">
        <f>[3]Augex!M8*10^3*(1+'[3]SCS total'!$I$7)</f>
        <v>10357.924999999997</v>
      </c>
      <c r="N124" s="389">
        <f>[3]Augex!N8*10^3*(1+'[3]SCS total'!$I$7)</f>
        <v>7430.5074999999997</v>
      </c>
      <c r="P124" s="109" t="s">
        <v>181</v>
      </c>
    </row>
    <row r="125" spans="2:16" ht="12.75" customHeight="1">
      <c r="D125" s="14" t="s">
        <v>191</v>
      </c>
      <c r="F125" s="42" t="s">
        <v>483</v>
      </c>
      <c r="G125" s="108" t="s">
        <v>519</v>
      </c>
      <c r="J125" s="389">
        <f>[3]Augex!J9*10^3*(1+'[3]SCS total'!$I$7)</f>
        <v>1533.75</v>
      </c>
      <c r="K125" s="389">
        <f>[3]Augex!K9*10^3*(1+'[3]SCS total'!$I$7)</f>
        <v>1533.75</v>
      </c>
      <c r="L125" s="389">
        <f>[3]Augex!L9*10^3*(1+'[3]SCS total'!$I$7)</f>
        <v>1533.75</v>
      </c>
      <c r="M125" s="389">
        <f>[3]Augex!M9*10^3*(1+'[3]SCS total'!$I$7)</f>
        <v>1533.75</v>
      </c>
      <c r="N125" s="389">
        <f>[3]Augex!N9*10^3*(1+'[3]SCS total'!$I$7)</f>
        <v>1533.75</v>
      </c>
      <c r="P125" s="109" t="s">
        <v>205</v>
      </c>
    </row>
    <row r="126" spans="2:16" ht="12.75" customHeight="1">
      <c r="D126" s="14" t="s">
        <v>192</v>
      </c>
      <c r="F126" s="42" t="s">
        <v>483</v>
      </c>
      <c r="G126" s="108" t="s">
        <v>519</v>
      </c>
      <c r="J126" s="389">
        <f>[3]Augex!J10*10^3*(1+'[3]SCS total'!$I$7)</f>
        <v>818</v>
      </c>
      <c r="K126" s="389">
        <f>[3]Augex!K10*10^3*(1+'[3]SCS total'!$I$7)</f>
        <v>818</v>
      </c>
      <c r="L126" s="389">
        <f>[3]Augex!L10*10^3*(1+'[3]SCS total'!$I$7)</f>
        <v>818</v>
      </c>
      <c r="M126" s="389">
        <f>[3]Augex!M10*10^3*(1+'[3]SCS total'!$I$7)</f>
        <v>818</v>
      </c>
      <c r="N126" s="389">
        <f>[3]Augex!N10*10^3*(1+'[3]SCS total'!$I$7)</f>
        <v>818</v>
      </c>
      <c r="P126" s="109" t="s">
        <v>181</v>
      </c>
    </row>
    <row r="127" spans="2:16" ht="12.75" customHeight="1">
      <c r="D127" s="14" t="s">
        <v>193</v>
      </c>
      <c r="F127" s="42" t="s">
        <v>483</v>
      </c>
      <c r="G127" s="108" t="s">
        <v>519</v>
      </c>
      <c r="J127" s="389">
        <f>[3]Augex!J11*10^3*(1+'[3]SCS total'!$I$7)</f>
        <v>0</v>
      </c>
      <c r="K127" s="389">
        <f>[3]Augex!K11*10^3*(1+'[3]SCS total'!$I$7)</f>
        <v>0</v>
      </c>
      <c r="L127" s="389">
        <f>[3]Augex!L11*10^3*(1+'[3]SCS total'!$I$7)</f>
        <v>0</v>
      </c>
      <c r="M127" s="389">
        <f>[3]Augex!M11*10^3*(1+'[3]SCS total'!$I$7)</f>
        <v>0</v>
      </c>
      <c r="N127" s="389">
        <f>[3]Augex!N11*10^3*(1+'[3]SCS total'!$I$7)</f>
        <v>0</v>
      </c>
      <c r="P127" s="109" t="s">
        <v>205</v>
      </c>
    </row>
    <row r="128" spans="2:16" ht="12.75" customHeight="1">
      <c r="D128" s="14" t="s">
        <v>185</v>
      </c>
      <c r="F128" s="42" t="s">
        <v>483</v>
      </c>
      <c r="G128" s="108" t="s">
        <v>519</v>
      </c>
      <c r="J128" s="389">
        <f>[3]Augex!J12*10^3*(1+'[3]SCS total'!$I$7)</f>
        <v>306.75</v>
      </c>
      <c r="K128" s="389">
        <f>[3]Augex!K12*10^3*(1+'[3]SCS total'!$I$7)</f>
        <v>306.75</v>
      </c>
      <c r="L128" s="389">
        <f>[3]Augex!L12*10^3*(1+'[3]SCS total'!$I$7)</f>
        <v>306.75</v>
      </c>
      <c r="M128" s="389">
        <f>[3]Augex!M12*10^3*(1+'[3]SCS total'!$I$7)</f>
        <v>306.75</v>
      </c>
      <c r="N128" s="389">
        <f>[3]Augex!N12*10^3*(1+'[3]SCS total'!$I$7)</f>
        <v>306.75</v>
      </c>
      <c r="P128" s="109" t="s">
        <v>205</v>
      </c>
    </row>
    <row r="129" spans="3:16" ht="12.75" customHeight="1">
      <c r="D129" s="14" t="s">
        <v>194</v>
      </c>
      <c r="F129" s="42" t="s">
        <v>483</v>
      </c>
      <c r="G129" s="108" t="s">
        <v>519</v>
      </c>
      <c r="J129" s="389">
        <f>[3]Augex!J13*10^3*(1+'[3]SCS total'!$I$7)</f>
        <v>1959.6488302535406</v>
      </c>
      <c r="K129" s="389">
        <f>[3]Augex!K13*10^3*(1+'[3]SCS total'!$I$7)</f>
        <v>1942.3834427746551</v>
      </c>
      <c r="L129" s="389">
        <f>[3]Augex!L13*10^3*(1+'[3]SCS total'!$I$7)</f>
        <v>1751.52786196683</v>
      </c>
      <c r="M129" s="389">
        <f>[3]Augex!M13*10^3*(1+'[3]SCS total'!$I$7)</f>
        <v>1701.7445788536122</v>
      </c>
      <c r="N129" s="389">
        <f>[3]Augex!N13*10^3*(1+'[3]SCS total'!$I$7)</f>
        <v>1670.5005531688291</v>
      </c>
      <c r="P129" s="109" t="s">
        <v>205</v>
      </c>
    </row>
    <row r="130" spans="3:16" ht="12.75" customHeight="1">
      <c r="D130" s="14" t="s">
        <v>195</v>
      </c>
      <c r="F130" s="42" t="s">
        <v>483</v>
      </c>
      <c r="G130" s="108" t="s">
        <v>519</v>
      </c>
      <c r="J130" s="389">
        <f>[3]Augex!J14*10^3*(1+'[3]SCS total'!$I$7)</f>
        <v>0</v>
      </c>
      <c r="K130" s="389">
        <f>[3]Augex!K14*10^3*(1+'[3]SCS total'!$I$7)</f>
        <v>0</v>
      </c>
      <c r="L130" s="389">
        <f>[3]Augex!L14*10^3*(1+'[3]SCS total'!$I$7)</f>
        <v>970.35249999999996</v>
      </c>
      <c r="M130" s="389">
        <f>[3]Augex!M14*10^3*(1+'[3]SCS total'!$I$7)</f>
        <v>965.24</v>
      </c>
      <c r="N130" s="389">
        <f>[3]Augex!N14*10^3*(1+'[3]SCS total'!$I$7)</f>
        <v>846.63</v>
      </c>
      <c r="P130" s="109" t="s">
        <v>205</v>
      </c>
    </row>
    <row r="131" spans="3:16" ht="12.75" customHeight="1">
      <c r="D131" s="14" t="s">
        <v>196</v>
      </c>
      <c r="F131" s="42" t="s">
        <v>483</v>
      </c>
      <c r="G131" s="108" t="s">
        <v>519</v>
      </c>
      <c r="J131" s="389">
        <f>[3]Augex!J15*10^3*(1+'[3]SCS total'!$I$7)</f>
        <v>0</v>
      </c>
      <c r="K131" s="389">
        <f>[3]Augex!K15*10^3*(1+'[3]SCS total'!$I$7)</f>
        <v>0</v>
      </c>
      <c r="L131" s="389">
        <f>[3]Augex!L15*10^3*(1+'[3]SCS total'!$I$7)</f>
        <v>407.97749999999991</v>
      </c>
      <c r="M131" s="389">
        <f>[3]Augex!M15*10^3*(1+'[3]SCS total'!$I$7)</f>
        <v>396.72999999999996</v>
      </c>
      <c r="N131" s="389">
        <f>[3]Augex!N15*10^3*(1+'[3]SCS total'!$I$7)</f>
        <v>347.65</v>
      </c>
      <c r="P131" s="109" t="s">
        <v>205</v>
      </c>
    </row>
    <row r="132" spans="3:16" ht="12.75" customHeight="1">
      <c r="D132" s="14" t="s">
        <v>197</v>
      </c>
      <c r="F132" s="42" t="s">
        <v>483</v>
      </c>
      <c r="G132" s="108" t="s">
        <v>519</v>
      </c>
      <c r="J132" s="389">
        <f>[3]Augex!J16*10^3*(1+'[3]SCS total'!$I$7)</f>
        <v>541.92499999999995</v>
      </c>
      <c r="K132" s="389">
        <f>[3]Augex!K16*10^3*(1+'[3]SCS total'!$I$7)</f>
        <v>541.92499999999995</v>
      </c>
      <c r="L132" s="389">
        <f>[3]Augex!L16*10^3*(1+'[3]SCS total'!$I$7)</f>
        <v>949.90249999999992</v>
      </c>
      <c r="M132" s="389">
        <f>[3]Augex!M16*10^3*(1+'[3]SCS total'!$I$7)</f>
        <v>938.65499999999997</v>
      </c>
      <c r="N132" s="389">
        <f>[3]Augex!N16*10^3*(1+'[3]SCS total'!$I$7)</f>
        <v>889.57500000000005</v>
      </c>
      <c r="P132" s="109" t="s">
        <v>205</v>
      </c>
    </row>
    <row r="133" spans="3:16" ht="12.75" customHeight="1">
      <c r="D133" s="14" t="s">
        <v>198</v>
      </c>
      <c r="F133" s="42" t="s">
        <v>483</v>
      </c>
      <c r="G133" s="108" t="s">
        <v>519</v>
      </c>
      <c r="J133" s="389">
        <f>[3]Augex!J17*10^3*(1+'[3]SCS total'!$I$7)</f>
        <v>0</v>
      </c>
      <c r="K133" s="389">
        <f>[3]Augex!K17*10^3*(1+'[3]SCS total'!$I$7)</f>
        <v>0</v>
      </c>
      <c r="L133" s="389">
        <f>[3]Augex!L17*10^3*(1+'[3]SCS total'!$I$7)</f>
        <v>0</v>
      </c>
      <c r="M133" s="389">
        <f>[3]Augex!M17*10^3*(1+'[3]SCS total'!$I$7)</f>
        <v>0</v>
      </c>
      <c r="N133" s="389">
        <f>[3]Augex!N17*10^3*(1+'[3]SCS total'!$I$7)</f>
        <v>0</v>
      </c>
      <c r="P133" s="109" t="s">
        <v>205</v>
      </c>
    </row>
    <row r="134" spans="3:16" ht="12.75" customHeight="1">
      <c r="D134" s="14" t="s">
        <v>199</v>
      </c>
      <c r="F134" s="42" t="s">
        <v>483</v>
      </c>
      <c r="G134" s="108" t="s">
        <v>519</v>
      </c>
      <c r="J134" s="389">
        <f>[3]Augex!J18*10^3*(1+'[3]SCS total'!$I$7)</f>
        <v>0</v>
      </c>
      <c r="K134" s="389">
        <f>[3]Augex!K18*10^3*(1+'[3]SCS total'!$I$7)</f>
        <v>0</v>
      </c>
      <c r="L134" s="389">
        <f>[3]Augex!L18*10^3*(1+'[3]SCS total'!$I$7)</f>
        <v>0</v>
      </c>
      <c r="M134" s="389">
        <f>[3]Augex!M18*10^3*(1+'[3]SCS total'!$I$7)</f>
        <v>0</v>
      </c>
      <c r="N134" s="389">
        <f>[3]Augex!N18*10^3*(1+'[3]SCS total'!$I$7)</f>
        <v>0</v>
      </c>
      <c r="P134" s="109" t="s">
        <v>205</v>
      </c>
    </row>
    <row r="135" spans="3:16" ht="12.75" customHeight="1">
      <c r="D135" s="14" t="s">
        <v>200</v>
      </c>
      <c r="F135" s="42" t="s">
        <v>483</v>
      </c>
      <c r="G135" s="108" t="s">
        <v>519</v>
      </c>
      <c r="J135" s="389">
        <f>[3]Augex!J19*10^3*(1+'[3]SCS total'!$I$7)</f>
        <v>0</v>
      </c>
      <c r="K135" s="389">
        <f>[3]Augex!K19*10^3*(1+'[3]SCS total'!$I$7)</f>
        <v>0</v>
      </c>
      <c r="L135" s="389">
        <f>[3]Augex!L19*10^3*(1+'[3]SCS total'!$I$7)</f>
        <v>0</v>
      </c>
      <c r="M135" s="389">
        <f>[3]Augex!M19*10^3*(1+'[3]SCS total'!$I$7)</f>
        <v>0</v>
      </c>
      <c r="N135" s="389">
        <f>[3]Augex!N19*10^3*(1+'[3]SCS total'!$I$7)</f>
        <v>0</v>
      </c>
      <c r="P135" s="109" t="s">
        <v>205</v>
      </c>
    </row>
    <row r="136" spans="3:16" ht="12.75" customHeight="1">
      <c r="D136" s="14" t="s">
        <v>201</v>
      </c>
      <c r="F136" s="42" t="s">
        <v>483</v>
      </c>
      <c r="G136" s="108" t="s">
        <v>519</v>
      </c>
      <c r="J136" s="389">
        <f>[3]Augex!J20*10^3*(1+'[3]SCS total'!$I$7)</f>
        <v>0</v>
      </c>
      <c r="K136" s="389">
        <f>[3]Augex!K20*10^3*(1+'[3]SCS total'!$I$7)</f>
        <v>0</v>
      </c>
      <c r="L136" s="389">
        <f>[3]Augex!L20*10^3*(1+'[3]SCS total'!$I$7)</f>
        <v>0</v>
      </c>
      <c r="M136" s="389">
        <f>[3]Augex!M20*10^3*(1+'[3]SCS total'!$I$7)</f>
        <v>0</v>
      </c>
      <c r="N136" s="389">
        <f>[3]Augex!N20*10^3*(1+'[3]SCS total'!$I$7)</f>
        <v>0</v>
      </c>
      <c r="P136" s="109" t="s">
        <v>205</v>
      </c>
    </row>
    <row r="137" spans="3:16" ht="12.75" customHeight="1">
      <c r="D137" s="14" t="s">
        <v>202</v>
      </c>
      <c r="F137" s="42" t="s">
        <v>483</v>
      </c>
      <c r="G137" s="108" t="s">
        <v>519</v>
      </c>
      <c r="J137" s="389">
        <f>[3]Augex!J21*10^3*(1+'[3]SCS total'!$I$7)</f>
        <v>0</v>
      </c>
      <c r="K137" s="389">
        <f>[3]Augex!K21*10^3*(1+'[3]SCS total'!$I$7)</f>
        <v>0</v>
      </c>
      <c r="L137" s="389">
        <f>[3]Augex!L21*10^3*(1+'[3]SCS total'!$I$7)</f>
        <v>0</v>
      </c>
      <c r="M137" s="389">
        <f>[3]Augex!M21*10^3*(1+'[3]SCS total'!$I$7)</f>
        <v>0</v>
      </c>
      <c r="N137" s="389">
        <f>[3]Augex!N21*10^3*(1+'[3]SCS total'!$I$7)</f>
        <v>0</v>
      </c>
      <c r="P137" s="109" t="s">
        <v>205</v>
      </c>
    </row>
    <row r="138" spans="3:16" ht="12.75" customHeight="1">
      <c r="D138" s="14" t="s">
        <v>203</v>
      </c>
      <c r="F138" s="42" t="s">
        <v>483</v>
      </c>
      <c r="G138" s="108" t="s">
        <v>519</v>
      </c>
      <c r="J138" s="389">
        <f>[3]Augex!J22*10^3*(1+'[3]SCS total'!$I$7)</f>
        <v>0</v>
      </c>
      <c r="K138" s="389">
        <f>[3]Augex!K22*10^3*(1+'[3]SCS total'!$I$7)</f>
        <v>0</v>
      </c>
      <c r="L138" s="389">
        <f>[3]Augex!L22*10^3*(1+'[3]SCS total'!$I$7)</f>
        <v>0</v>
      </c>
      <c r="M138" s="389">
        <f>[3]Augex!M22*10^3*(1+'[3]SCS total'!$I$7)</f>
        <v>0</v>
      </c>
      <c r="N138" s="389">
        <f>[3]Augex!N22*10^3*(1+'[3]SCS total'!$I$7)</f>
        <v>0</v>
      </c>
      <c r="P138" s="109" t="s">
        <v>205</v>
      </c>
    </row>
    <row r="140" spans="3:16" s="16" customFormat="1" ht="12.75" customHeight="1">
      <c r="C140" s="16" t="s">
        <v>204</v>
      </c>
    </row>
    <row r="142" spans="3:16" ht="12.75" customHeight="1">
      <c r="F142" s="55" t="s">
        <v>135</v>
      </c>
      <c r="G142" s="55" t="s">
        <v>136</v>
      </c>
    </row>
    <row r="143" spans="3:16" ht="12.75" customHeight="1">
      <c r="D143" s="14" t="s">
        <v>181</v>
      </c>
      <c r="F143" s="42" t="s">
        <v>488</v>
      </c>
      <c r="G143" s="42" t="s">
        <v>164</v>
      </c>
      <c r="H143" s="118">
        <v>0.05</v>
      </c>
      <c r="I143" s="417" t="s">
        <v>526</v>
      </c>
    </row>
    <row r="144" spans="3:16" ht="12.75" customHeight="1">
      <c r="D144" s="14" t="s">
        <v>205</v>
      </c>
      <c r="F144" s="42" t="s">
        <v>488</v>
      </c>
      <c r="G144" s="42" t="s">
        <v>164</v>
      </c>
      <c r="H144" s="118">
        <v>0.05</v>
      </c>
      <c r="I144" s="417" t="s">
        <v>527</v>
      </c>
    </row>
    <row r="146" spans="3:16" s="16" customFormat="1" ht="12.75" customHeight="1">
      <c r="C146" s="16" t="s">
        <v>206</v>
      </c>
    </row>
    <row r="148" spans="3:16" ht="12.75" customHeight="1">
      <c r="J148" s="493" t="s">
        <v>520</v>
      </c>
      <c r="K148" s="494"/>
      <c r="L148" s="494"/>
      <c r="M148" s="494"/>
      <c r="N148" s="495"/>
    </row>
    <row r="149" spans="3:16" ht="12.75" customHeight="1">
      <c r="F149" s="55" t="s">
        <v>135</v>
      </c>
      <c r="G149" s="55" t="s">
        <v>136</v>
      </c>
      <c r="J149" s="113" t="str">
        <f>IF(I149="",Tariff_Year,LEFT(I149,4)+1&amp;"/"&amp;RIGHT(LEFT(I149,4)+2,2))</f>
        <v>2019/20</v>
      </c>
      <c r="K149" s="113" t="str">
        <f>IF(J149="",Tariff_Year,LEFT(J149,4)+1&amp;"/"&amp;RIGHT(LEFT(J149,4)+2,2))</f>
        <v>2020/21</v>
      </c>
      <c r="L149" s="113" t="str">
        <f>IF(K149="",Tariff_Year,LEFT(K149,4)+1&amp;"/"&amp;RIGHT(LEFT(K149,4)+2,2))</f>
        <v>2021/22</v>
      </c>
      <c r="M149" s="113" t="str">
        <f>IF(L149="",Tariff_Year,LEFT(L149,4)+1&amp;"/"&amp;RIGHT(LEFT(L149,4)+2,2))</f>
        <v>2022/23</v>
      </c>
      <c r="N149" s="113" t="str">
        <f>IF(M149="",Tariff_Year,LEFT(M149,4)+1&amp;"/"&amp;RIGHT(LEFT(M149,4)+2,2))</f>
        <v>2023/24</v>
      </c>
      <c r="P149" s="30" t="s">
        <v>401</v>
      </c>
    </row>
    <row r="150" spans="3:16" ht="12.75" customHeight="1">
      <c r="D150" s="14" t="s">
        <v>190</v>
      </c>
      <c r="F150" s="42" t="s">
        <v>483</v>
      </c>
      <c r="G150" s="108" t="s">
        <v>519</v>
      </c>
      <c r="J150" s="389">
        <f>[3]Repex!J8*10^3*(1+'[3]SCS total'!$I$7)</f>
        <v>8307.8125</v>
      </c>
      <c r="K150" s="389">
        <f>[3]Repex!K8*10^3*(1+'[3]SCS total'!$I$7)</f>
        <v>8397.7925000000014</v>
      </c>
      <c r="L150" s="389">
        <f>[3]Repex!L8*10^3*(1+'[3]SCS total'!$I$7)</f>
        <v>4631.9250000000002</v>
      </c>
      <c r="M150" s="389">
        <f>[3]Repex!M8*10^3*(1+'[3]SCS total'!$I$7)</f>
        <v>1909.0074999999999</v>
      </c>
      <c r="N150" s="389">
        <f>[3]Repex!N8*10^3*(1+'[3]SCS total'!$I$7)</f>
        <v>153.375</v>
      </c>
      <c r="P150" s="109" t="s">
        <v>181</v>
      </c>
    </row>
    <row r="151" spans="3:16" ht="12.75" customHeight="1">
      <c r="D151" s="14" t="s">
        <v>191</v>
      </c>
      <c r="F151" s="42" t="s">
        <v>483</v>
      </c>
      <c r="G151" s="108" t="s">
        <v>519</v>
      </c>
      <c r="J151" s="389">
        <f>[3]Repex!J9*10^3*(1+'[3]SCS total'!$I$7)</f>
        <v>13172.526155223799</v>
      </c>
      <c r="K151" s="389">
        <f>[3]Repex!K9*10^3*(1+'[3]SCS total'!$I$7)</f>
        <v>15074.07145942466</v>
      </c>
      <c r="L151" s="389">
        <f>[3]Repex!L9*10^3*(1+'[3]SCS total'!$I$7)</f>
        <v>11183.250643172953</v>
      </c>
      <c r="M151" s="389">
        <f>[3]Repex!M9*10^3*(1+'[3]SCS total'!$I$7)</f>
        <v>8423.7092763213532</v>
      </c>
      <c r="N151" s="389">
        <f>[3]Repex!N9*10^3*(1+'[3]SCS total'!$I$7)</f>
        <v>9368.2480555143029</v>
      </c>
      <c r="P151" s="109" t="s">
        <v>205</v>
      </c>
    </row>
    <row r="152" spans="3:16" ht="12.75" customHeight="1">
      <c r="D152" s="14" t="s">
        <v>192</v>
      </c>
      <c r="F152" s="42" t="s">
        <v>483</v>
      </c>
      <c r="G152" s="108" t="s">
        <v>519</v>
      </c>
      <c r="J152" s="389">
        <f>[3]Repex!J10*10^3*(1+'[3]SCS total'!$I$7)</f>
        <v>1687.125</v>
      </c>
      <c r="K152" s="389">
        <f>[3]Repex!K10*10^3*(1+'[3]SCS total'!$I$7)</f>
        <v>1501.03</v>
      </c>
      <c r="L152" s="389">
        <f>[3]Repex!L10*10^3*(1+'[3]SCS total'!$I$7)</f>
        <v>1501.03</v>
      </c>
      <c r="M152" s="389">
        <f>[3]Repex!M10*10^3*(1+'[3]SCS total'!$I$7)</f>
        <v>1501.03</v>
      </c>
      <c r="N152" s="389">
        <f>[3]Repex!N10*10^3*(1+'[3]SCS total'!$I$7)</f>
        <v>1471.3775000000001</v>
      </c>
      <c r="P152" s="109" t="s">
        <v>181</v>
      </c>
    </row>
    <row r="153" spans="3:16" ht="12.75" customHeight="1">
      <c r="D153" s="14" t="s">
        <v>193</v>
      </c>
      <c r="F153" s="42" t="s">
        <v>483</v>
      </c>
      <c r="G153" s="108" t="s">
        <v>519</v>
      </c>
      <c r="J153" s="389">
        <f>[3]Repex!J11*10^3*(1+'[3]SCS total'!$I$7)</f>
        <v>77.709999999999994</v>
      </c>
      <c r="K153" s="389">
        <f>[3]Repex!K11*10^3*(1+'[3]SCS total'!$I$7)</f>
        <v>77.709999999999994</v>
      </c>
      <c r="L153" s="389">
        <f>[3]Repex!L11*10^3*(1+'[3]SCS total'!$I$7)</f>
        <v>77.709999999999994</v>
      </c>
      <c r="M153" s="389">
        <f>[3]Repex!M11*10^3*(1+'[3]SCS total'!$I$7)</f>
        <v>77.709999999999994</v>
      </c>
      <c r="N153" s="389">
        <f>[3]Repex!N11*10^3*(1+'[3]SCS total'!$I$7)</f>
        <v>77.709999999999994</v>
      </c>
      <c r="P153" s="109" t="s">
        <v>205</v>
      </c>
    </row>
    <row r="154" spans="3:16" ht="12.75" customHeight="1">
      <c r="D154" s="14" t="s">
        <v>185</v>
      </c>
      <c r="F154" s="42" t="s">
        <v>483</v>
      </c>
      <c r="G154" s="108" t="s">
        <v>519</v>
      </c>
      <c r="J154" s="389">
        <f>[3]Repex!J12*10^3*(1+'[3]SCS total'!$I$7)</f>
        <v>2986.7225000000003</v>
      </c>
      <c r="K154" s="389">
        <f>[3]Repex!K12*10^3*(1+'[3]SCS total'!$I$7)</f>
        <v>3235.1899999999996</v>
      </c>
      <c r="L154" s="389">
        <f>[3]Repex!L12*10^3*(1+'[3]SCS total'!$I$7)</f>
        <v>3468.3199999999997</v>
      </c>
      <c r="M154" s="389">
        <f>[3]Repex!M12*10^3*(1+'[3]SCS total'!$I$7)</f>
        <v>3648.2799999999993</v>
      </c>
      <c r="N154" s="389">
        <f>[3]Repex!N12*10^3*(1+'[3]SCS total'!$I$7)</f>
        <v>3725.99</v>
      </c>
      <c r="P154" s="109" t="s">
        <v>205</v>
      </c>
    </row>
    <row r="155" spans="3:16" ht="12.75" customHeight="1">
      <c r="D155" s="14" t="s">
        <v>194</v>
      </c>
      <c r="F155" s="42" t="s">
        <v>483</v>
      </c>
      <c r="G155" s="108" t="s">
        <v>519</v>
      </c>
      <c r="J155" s="389">
        <f>[3]Repex!J13*10^3*(1+'[3]SCS total'!$I$7)</f>
        <v>2210.645</v>
      </c>
      <c r="K155" s="389">
        <f>[3]Repex!K13*10^3*(1+'[3]SCS total'!$I$7)</f>
        <v>2275.0625</v>
      </c>
      <c r="L155" s="389">
        <f>[3]Repex!L13*10^3*(1+'[3]SCS total'!$I$7)</f>
        <v>2344.5924999999997</v>
      </c>
      <c r="M155" s="389">
        <f>[3]Repex!M13*10^3*(1+'[3]SCS total'!$I$7)</f>
        <v>2416.1675</v>
      </c>
      <c r="N155" s="389">
        <f>[3]Repex!N13*10^3*(1+'[3]SCS total'!$I$7)</f>
        <v>2487.7424999999998</v>
      </c>
      <c r="P155" s="109" t="s">
        <v>205</v>
      </c>
    </row>
    <row r="156" spans="3:16" ht="12.75" customHeight="1">
      <c r="D156" s="14" t="s">
        <v>195</v>
      </c>
      <c r="F156" s="42" t="s">
        <v>483</v>
      </c>
      <c r="G156" s="108" t="s">
        <v>519</v>
      </c>
      <c r="J156" s="389">
        <f>[3]Repex!J14*10^3*(1+'[3]SCS total'!$I$7)</f>
        <v>3267.9099999999994</v>
      </c>
      <c r="K156" s="389">
        <f>[3]Repex!K14*10^3*(1+'[3]SCS total'!$I$7)</f>
        <v>3459.1174999999998</v>
      </c>
      <c r="L156" s="389">
        <f>[3]Repex!L14*10^3*(1+'[3]SCS total'!$I$7)</f>
        <v>1196.325</v>
      </c>
      <c r="M156" s="389">
        <f>[3]Repex!M14*10^3*(1+'[3]SCS total'!$I$7)</f>
        <v>1103.2774999999999</v>
      </c>
      <c r="N156" s="389">
        <f>[3]Repex!N14*10^3*(1+'[3]SCS total'!$I$7)</f>
        <v>777.1</v>
      </c>
      <c r="P156" s="109" t="s">
        <v>205</v>
      </c>
    </row>
    <row r="157" spans="3:16" ht="12.75" customHeight="1">
      <c r="D157" s="14" t="s">
        <v>196</v>
      </c>
      <c r="F157" s="42" t="s">
        <v>483</v>
      </c>
      <c r="G157" s="108" t="s">
        <v>519</v>
      </c>
      <c r="J157" s="389">
        <f>[3]Repex!J15*10^3*(1+'[3]SCS total'!$I$7)</f>
        <v>900.8225000000001</v>
      </c>
      <c r="K157" s="389">
        <f>[3]Repex!K15*10^3*(1+'[3]SCS total'!$I$7)</f>
        <v>1076.6924999999999</v>
      </c>
      <c r="L157" s="389">
        <f>[3]Repex!L15*10^3*(1+'[3]SCS total'!$I$7)</f>
        <v>564.41999999999996</v>
      </c>
      <c r="M157" s="389">
        <f>[3]Repex!M15*10^3*(1+'[3]SCS total'!$I$7)</f>
        <v>297.54750000000001</v>
      </c>
      <c r="N157" s="389">
        <f>[3]Repex!N15*10^3*(1+'[3]SCS total'!$I$7)</f>
        <v>176.89249999999998</v>
      </c>
      <c r="P157" s="109" t="s">
        <v>205</v>
      </c>
    </row>
    <row r="158" spans="3:16" ht="12.75" customHeight="1">
      <c r="D158" s="14" t="s">
        <v>197</v>
      </c>
      <c r="F158" s="42" t="s">
        <v>483</v>
      </c>
      <c r="G158" s="108" t="s">
        <v>519</v>
      </c>
      <c r="J158" s="389">
        <f>[3]Repex!J16*10^3*(1+'[3]SCS total'!$I$7)</f>
        <v>1872.1975000000002</v>
      </c>
      <c r="K158" s="389">
        <f>[3]Repex!K16*10^3*(1+'[3]SCS total'!$I$7)</f>
        <v>1983.6499999999999</v>
      </c>
      <c r="L158" s="389">
        <f>[3]Repex!L16*10^3*(1+'[3]SCS total'!$I$7)</f>
        <v>1449.9050000000002</v>
      </c>
      <c r="M158" s="389">
        <f>[3]Repex!M16*10^3*(1+'[3]SCS total'!$I$7)</f>
        <v>1060.3325000000002</v>
      </c>
      <c r="N158" s="389">
        <f>[3]Repex!N16*10^3*(1+'[3]SCS total'!$I$7)</f>
        <v>686.09749999999997</v>
      </c>
      <c r="P158" s="109" t="s">
        <v>205</v>
      </c>
    </row>
    <row r="159" spans="3:16" ht="12.75" customHeight="1">
      <c r="D159" s="14" t="s">
        <v>198</v>
      </c>
      <c r="F159" s="42" t="s">
        <v>483</v>
      </c>
      <c r="G159" s="108" t="s">
        <v>519</v>
      </c>
      <c r="J159" s="389">
        <f>[3]Repex!J17*10^3*(1+'[3]SCS total'!$I$7)</f>
        <v>0</v>
      </c>
      <c r="K159" s="389">
        <f>[3]Repex!K17*10^3*(1+'[3]SCS total'!$I$7)</f>
        <v>0</v>
      </c>
      <c r="L159" s="389">
        <f>[3]Repex!L17*10^3*(1+'[3]SCS total'!$I$7)</f>
        <v>0</v>
      </c>
      <c r="M159" s="389">
        <f>[3]Repex!M17*10^3*(1+'[3]SCS total'!$I$7)</f>
        <v>0</v>
      </c>
      <c r="N159" s="389">
        <f>[3]Repex!N17*10^3*(1+'[3]SCS total'!$I$7)</f>
        <v>0</v>
      </c>
      <c r="P159" s="109" t="s">
        <v>205</v>
      </c>
    </row>
    <row r="160" spans="3:16" ht="12.75" customHeight="1">
      <c r="D160" s="14" t="s">
        <v>199</v>
      </c>
      <c r="F160" s="42" t="s">
        <v>483</v>
      </c>
      <c r="G160" s="108" t="s">
        <v>519</v>
      </c>
      <c r="J160" s="389">
        <f>[3]Repex!J18*10^3*(1+'[3]SCS total'!$I$7)</f>
        <v>25.05125</v>
      </c>
      <c r="K160" s="389">
        <f>[3]Repex!K18*10^3*(1+'[3]SCS total'!$I$7)</f>
        <v>138.702125</v>
      </c>
      <c r="L160" s="389">
        <f>[3]Repex!L18*10^3*(1+'[3]SCS total'!$I$7)</f>
        <v>167.89450000000002</v>
      </c>
      <c r="M160" s="389">
        <f>[3]Repex!M18*10^3*(1+'[3]SCS total'!$I$7)</f>
        <v>43.047249999999998</v>
      </c>
      <c r="N160" s="389">
        <f>[3]Repex!N18*10^3*(1+'[3]SCS total'!$I$7)</f>
        <v>26.533874999999998</v>
      </c>
      <c r="P160" s="109" t="s">
        <v>205</v>
      </c>
    </row>
    <row r="161" spans="1:30" ht="12.75" customHeight="1">
      <c r="D161" s="14" t="s">
        <v>200</v>
      </c>
      <c r="F161" s="42" t="s">
        <v>483</v>
      </c>
      <c r="G161" s="108" t="s">
        <v>519</v>
      </c>
      <c r="J161" s="389">
        <f>[3]Repex!J19*10^3*(1+'[3]SCS total'!$I$7)</f>
        <v>0</v>
      </c>
      <c r="K161" s="389">
        <f>[3]Repex!K19*10^3*(1+'[3]SCS total'!$I$7)</f>
        <v>613.5</v>
      </c>
      <c r="L161" s="389">
        <f>[3]Repex!L19*10^3*(1+'[3]SCS total'!$I$7)</f>
        <v>6032.75</v>
      </c>
      <c r="M161" s="389">
        <f>[3]Repex!M19*10^3*(1+'[3]SCS total'!$I$7)</f>
        <v>818</v>
      </c>
      <c r="N161" s="389">
        <f>[3]Repex!N19*10^3*(1+'[3]SCS total'!$I$7)</f>
        <v>0</v>
      </c>
      <c r="P161" s="109" t="s">
        <v>205</v>
      </c>
    </row>
    <row r="162" spans="1:30" ht="12.75" customHeight="1">
      <c r="D162" s="14" t="s">
        <v>201</v>
      </c>
      <c r="F162" s="42" t="s">
        <v>483</v>
      </c>
      <c r="G162" s="108" t="s">
        <v>519</v>
      </c>
      <c r="J162" s="389">
        <f>[3]Repex!J20*10^3*(1+'[3]SCS total'!$I$7)</f>
        <v>0</v>
      </c>
      <c r="K162" s="389">
        <f>[3]Repex!K20*10^3*(1+'[3]SCS total'!$I$7)</f>
        <v>0</v>
      </c>
      <c r="L162" s="389">
        <f>[3]Repex!L20*10^3*(1+'[3]SCS total'!$I$7)</f>
        <v>0</v>
      </c>
      <c r="M162" s="389">
        <f>[3]Repex!M20*10^3*(1+'[3]SCS total'!$I$7)</f>
        <v>0</v>
      </c>
      <c r="N162" s="389">
        <f>[3]Repex!N20*10^3*(1+'[3]SCS total'!$I$7)</f>
        <v>0</v>
      </c>
      <c r="P162" s="109" t="s">
        <v>205</v>
      </c>
    </row>
    <row r="163" spans="1:30" ht="12.75" customHeight="1">
      <c r="D163" s="14" t="s">
        <v>202</v>
      </c>
      <c r="F163" s="42" t="s">
        <v>483</v>
      </c>
      <c r="G163" s="108" t="s">
        <v>519</v>
      </c>
      <c r="J163" s="389">
        <f>[3]Repex!J21*10^3*(1+'[3]SCS total'!$I$7)</f>
        <v>0</v>
      </c>
      <c r="K163" s="389">
        <f>[3]Repex!K21*10^3*(1+'[3]SCS total'!$I$7)</f>
        <v>0</v>
      </c>
      <c r="L163" s="389">
        <f>[3]Repex!L21*10^3*(1+'[3]SCS total'!$I$7)</f>
        <v>0</v>
      </c>
      <c r="M163" s="389">
        <f>[3]Repex!M21*10^3*(1+'[3]SCS total'!$I$7)</f>
        <v>0</v>
      </c>
      <c r="N163" s="389">
        <f>[3]Repex!N21*10^3*(1+'[3]SCS total'!$I$7)</f>
        <v>0</v>
      </c>
      <c r="P163" s="109" t="s">
        <v>205</v>
      </c>
    </row>
    <row r="164" spans="1:30" ht="12.75" customHeight="1">
      <c r="D164" s="14" t="s">
        <v>203</v>
      </c>
      <c r="F164" s="42" t="s">
        <v>483</v>
      </c>
      <c r="G164" s="108" t="s">
        <v>519</v>
      </c>
      <c r="J164" s="91">
        <f>[3]Repex!J22*10^3*(1+'[3]SCS total'!$I$7)</f>
        <v>0</v>
      </c>
      <c r="K164" s="91">
        <f>[3]Repex!K22*10^3*(1+'[3]SCS total'!$I$7)</f>
        <v>0</v>
      </c>
      <c r="L164" s="91">
        <f>[3]Repex!L22*10^3*(1+'[3]SCS total'!$I$7)</f>
        <v>0</v>
      </c>
      <c r="M164" s="91">
        <f>[3]Repex!M22*10^3*(1+'[3]SCS total'!$I$7)</f>
        <v>0</v>
      </c>
      <c r="N164" s="91">
        <f>[3]Repex!N22*10^3*(1+'[3]SCS total'!$I$7)</f>
        <v>0</v>
      </c>
      <c r="P164" s="109" t="s">
        <v>205</v>
      </c>
    </row>
    <row r="166" spans="1:30" s="282" customFormat="1" ht="12.75" customHeight="1">
      <c r="C166" s="282" t="s">
        <v>402</v>
      </c>
    </row>
    <row r="168" spans="1:30" ht="12.75" customHeight="1">
      <c r="F168" s="55" t="s">
        <v>135</v>
      </c>
      <c r="G168" s="55" t="s">
        <v>136</v>
      </c>
      <c r="J168" s="113" t="str">
        <f t="shared" ref="J168:AD168" si="28">IF(I168="",Tariff_Year,LEFT(I168,4)+1&amp;"/"&amp;RIGHT(LEFT(I168,4)+2,2))</f>
        <v>2019/20</v>
      </c>
      <c r="K168" s="113" t="str">
        <f t="shared" si="28"/>
        <v>2020/21</v>
      </c>
      <c r="L168" s="113" t="str">
        <f t="shared" si="28"/>
        <v>2021/22</v>
      </c>
      <c r="M168" s="113" t="str">
        <f t="shared" si="28"/>
        <v>2022/23</v>
      </c>
      <c r="N168" s="113" t="str">
        <f t="shared" si="28"/>
        <v>2023/24</v>
      </c>
      <c r="O168" s="113" t="str">
        <f t="shared" si="28"/>
        <v>2024/25</v>
      </c>
      <c r="P168" s="113" t="str">
        <f t="shared" si="28"/>
        <v>2025/26</v>
      </c>
      <c r="Q168" s="113" t="str">
        <f t="shared" si="28"/>
        <v>2026/27</v>
      </c>
      <c r="R168" s="113" t="str">
        <f t="shared" si="28"/>
        <v>2027/28</v>
      </c>
      <c r="S168" s="113" t="str">
        <f t="shared" si="28"/>
        <v>2028/29</v>
      </c>
      <c r="T168" s="113" t="str">
        <f t="shared" si="28"/>
        <v>2029/30</v>
      </c>
      <c r="U168" s="113" t="str">
        <f t="shared" si="28"/>
        <v>2030/31</v>
      </c>
      <c r="V168" s="113" t="str">
        <f t="shared" si="28"/>
        <v>2031/32</v>
      </c>
      <c r="W168" s="113" t="str">
        <f t="shared" si="28"/>
        <v>2032/33</v>
      </c>
      <c r="X168" s="113" t="str">
        <f t="shared" si="28"/>
        <v>2033/34</v>
      </c>
      <c r="Y168" s="113" t="str">
        <f t="shared" si="28"/>
        <v>2034/35</v>
      </c>
      <c r="Z168" s="113" t="str">
        <f t="shared" si="28"/>
        <v>2035/36</v>
      </c>
      <c r="AA168" s="113" t="str">
        <f t="shared" si="28"/>
        <v>2036/37</v>
      </c>
      <c r="AB168" s="113" t="str">
        <f t="shared" si="28"/>
        <v>2037/38</v>
      </c>
      <c r="AC168" s="113" t="str">
        <f t="shared" si="28"/>
        <v>2038/39</v>
      </c>
      <c r="AD168" s="113" t="str">
        <f t="shared" si="28"/>
        <v>2039/40</v>
      </c>
    </row>
    <row r="169" spans="1:30" ht="12.75" customHeight="1">
      <c r="A169" s="399"/>
      <c r="C169" s="355"/>
      <c r="D169" s="14" t="str">
        <f>D143</f>
        <v>HV</v>
      </c>
      <c r="F169" s="42" t="s">
        <v>277</v>
      </c>
      <c r="G169" s="108" t="s">
        <v>519</v>
      </c>
      <c r="J169" s="151">
        <f t="shared" ref="J169:N170" si="29">IF(J$149&lt;&gt;"",SUMIF($P$124:$P$138,$D169,J$124:J$138)+SUMIF($P$150:$P$164,$D169,J$150:J$164)*$H143,I169)</f>
        <v>3464.9968749999998</v>
      </c>
      <c r="K169" s="151">
        <f t="shared" si="29"/>
        <v>1824.1911250000001</v>
      </c>
      <c r="L169" s="151">
        <f t="shared" si="29"/>
        <v>9461.0902500000011</v>
      </c>
      <c r="M169" s="151">
        <f t="shared" si="29"/>
        <v>11346.426874999997</v>
      </c>
      <c r="N169" s="151">
        <f t="shared" si="29"/>
        <v>8329.7451249999995</v>
      </c>
      <c r="O169" s="366">
        <f>AVERAGE($J$169:$N$169)</f>
        <v>6885.2900500000005</v>
      </c>
      <c r="P169" s="151">
        <f t="shared" ref="P169:AD169" si="30">AVERAGE($J$169:$N$169)</f>
        <v>6885.2900500000005</v>
      </c>
      <c r="Q169" s="151">
        <f t="shared" si="30"/>
        <v>6885.2900500000005</v>
      </c>
      <c r="R169" s="151">
        <f t="shared" si="30"/>
        <v>6885.2900500000005</v>
      </c>
      <c r="S169" s="151">
        <f t="shared" si="30"/>
        <v>6885.2900500000005</v>
      </c>
      <c r="T169" s="151">
        <f t="shared" si="30"/>
        <v>6885.2900500000005</v>
      </c>
      <c r="U169" s="151">
        <f t="shared" si="30"/>
        <v>6885.2900500000005</v>
      </c>
      <c r="V169" s="151">
        <f t="shared" si="30"/>
        <v>6885.2900500000005</v>
      </c>
      <c r="W169" s="151">
        <f t="shared" si="30"/>
        <v>6885.2900500000005</v>
      </c>
      <c r="X169" s="151">
        <f t="shared" si="30"/>
        <v>6885.2900500000005</v>
      </c>
      <c r="Y169" s="151">
        <f t="shared" si="30"/>
        <v>6885.2900500000005</v>
      </c>
      <c r="Z169" s="151">
        <f t="shared" si="30"/>
        <v>6885.2900500000005</v>
      </c>
      <c r="AA169" s="151">
        <f t="shared" si="30"/>
        <v>6885.2900500000005</v>
      </c>
      <c r="AB169" s="151">
        <f t="shared" si="30"/>
        <v>6885.2900500000005</v>
      </c>
      <c r="AC169" s="151">
        <f t="shared" si="30"/>
        <v>6885.2900500000005</v>
      </c>
      <c r="AD169" s="151">
        <f t="shared" si="30"/>
        <v>6885.2900500000005</v>
      </c>
    </row>
    <row r="170" spans="1:30" ht="12.75" customHeight="1">
      <c r="D170" s="14" t="s">
        <v>205</v>
      </c>
      <c r="F170" s="42" t="s">
        <v>277</v>
      </c>
      <c r="G170" s="108" t="s">
        <v>519</v>
      </c>
      <c r="J170" s="151">
        <f t="shared" si="29"/>
        <v>5567.7530755147309</v>
      </c>
      <c r="K170" s="151">
        <f t="shared" si="29"/>
        <v>5721.4932469958885</v>
      </c>
      <c r="L170" s="151">
        <f t="shared" si="29"/>
        <v>7244.5187441254775</v>
      </c>
      <c r="M170" s="151">
        <f t="shared" si="29"/>
        <v>6737.2731551696788</v>
      </c>
      <c r="N170" s="151">
        <f t="shared" si="29"/>
        <v>6461.1712746945441</v>
      </c>
      <c r="O170" s="366">
        <f>AVERAGE($J$170:$N$170)</f>
        <v>6346.4418993000636</v>
      </c>
      <c r="P170" s="151">
        <f t="shared" ref="P170:AD170" si="31">AVERAGE($J$170:$N$170)</f>
        <v>6346.4418993000636</v>
      </c>
      <c r="Q170" s="151">
        <f t="shared" si="31"/>
        <v>6346.4418993000636</v>
      </c>
      <c r="R170" s="151">
        <f t="shared" si="31"/>
        <v>6346.4418993000636</v>
      </c>
      <c r="S170" s="151">
        <f t="shared" si="31"/>
        <v>6346.4418993000636</v>
      </c>
      <c r="T170" s="151">
        <f t="shared" si="31"/>
        <v>6346.4418993000636</v>
      </c>
      <c r="U170" s="151">
        <f t="shared" si="31"/>
        <v>6346.4418993000636</v>
      </c>
      <c r="V170" s="151">
        <f t="shared" si="31"/>
        <v>6346.4418993000636</v>
      </c>
      <c r="W170" s="151">
        <f t="shared" si="31"/>
        <v>6346.4418993000636</v>
      </c>
      <c r="X170" s="151">
        <f t="shared" si="31"/>
        <v>6346.4418993000636</v>
      </c>
      <c r="Y170" s="151">
        <f t="shared" si="31"/>
        <v>6346.4418993000636</v>
      </c>
      <c r="Z170" s="151">
        <f t="shared" si="31"/>
        <v>6346.4418993000636</v>
      </c>
      <c r="AA170" s="151">
        <f t="shared" si="31"/>
        <v>6346.4418993000636</v>
      </c>
      <c r="AB170" s="151">
        <f t="shared" si="31"/>
        <v>6346.4418993000636</v>
      </c>
      <c r="AC170" s="151">
        <f t="shared" si="31"/>
        <v>6346.4418993000636</v>
      </c>
      <c r="AD170" s="151">
        <f t="shared" si="31"/>
        <v>6346.4418993000636</v>
      </c>
    </row>
    <row r="171" spans="1:30" ht="12.75" customHeight="1">
      <c r="D171" s="110" t="s">
        <v>73</v>
      </c>
      <c r="E171" s="49"/>
      <c r="F171" s="111" t="s">
        <v>277</v>
      </c>
      <c r="G171" s="398" t="s">
        <v>519</v>
      </c>
      <c r="H171" s="49"/>
      <c r="I171" s="49"/>
      <c r="J171" s="115">
        <f>SUM(J169:J170)</f>
        <v>9032.7499505147316</v>
      </c>
      <c r="K171" s="115">
        <f t="shared" ref="K171:AA171" si="32">SUM(K169:K170)</f>
        <v>7545.6843719958888</v>
      </c>
      <c r="L171" s="115">
        <f t="shared" si="32"/>
        <v>16705.60899412548</v>
      </c>
      <c r="M171" s="115">
        <f t="shared" si="32"/>
        <v>18083.700030169675</v>
      </c>
      <c r="N171" s="115">
        <f t="shared" si="32"/>
        <v>14790.916399694543</v>
      </c>
      <c r="O171" s="115">
        <f t="shared" si="32"/>
        <v>13231.731949300065</v>
      </c>
      <c r="P171" s="115">
        <f t="shared" si="32"/>
        <v>13231.731949300065</v>
      </c>
      <c r="Q171" s="115">
        <f t="shared" si="32"/>
        <v>13231.731949300065</v>
      </c>
      <c r="R171" s="115">
        <f t="shared" si="32"/>
        <v>13231.731949300065</v>
      </c>
      <c r="S171" s="115">
        <f t="shared" si="32"/>
        <v>13231.731949300065</v>
      </c>
      <c r="T171" s="115">
        <f t="shared" si="32"/>
        <v>13231.731949300065</v>
      </c>
      <c r="U171" s="115">
        <f t="shared" si="32"/>
        <v>13231.731949300065</v>
      </c>
      <c r="V171" s="115">
        <f t="shared" si="32"/>
        <v>13231.731949300065</v>
      </c>
      <c r="W171" s="115">
        <f t="shared" si="32"/>
        <v>13231.731949300065</v>
      </c>
      <c r="X171" s="115">
        <f t="shared" si="32"/>
        <v>13231.731949300065</v>
      </c>
      <c r="Y171" s="115">
        <f t="shared" si="32"/>
        <v>13231.731949300065</v>
      </c>
      <c r="Z171" s="115">
        <f t="shared" si="32"/>
        <v>13231.731949300065</v>
      </c>
      <c r="AA171" s="115">
        <f t="shared" si="32"/>
        <v>13231.731949300065</v>
      </c>
      <c r="AB171" s="115">
        <f t="shared" ref="AB171" si="33">SUM(AB169:AB170)</f>
        <v>13231.731949300065</v>
      </c>
      <c r="AC171" s="115">
        <f t="shared" ref="AC171" si="34">SUM(AC169:AC170)</f>
        <v>13231.731949300065</v>
      </c>
      <c r="AD171" s="115">
        <f t="shared" ref="AD171" si="35">SUM(AD169:AD170)</f>
        <v>13231.731949300065</v>
      </c>
    </row>
    <row r="173" spans="1:30" s="7" customFormat="1" ht="15.6">
      <c r="B173" s="7" t="s">
        <v>305</v>
      </c>
    </row>
    <row r="175" spans="1:30" ht="12.75" customHeight="1">
      <c r="J175" s="490" t="s">
        <v>306</v>
      </c>
      <c r="K175" s="490"/>
      <c r="L175" s="490"/>
      <c r="M175" s="490"/>
      <c r="N175" s="490"/>
      <c r="O175" s="490"/>
      <c r="Q175" s="490" t="s">
        <v>307</v>
      </c>
      <c r="R175" s="490"/>
      <c r="S175" s="490"/>
      <c r="T175" s="490"/>
      <c r="U175" s="490"/>
      <c r="V175" s="490"/>
      <c r="X175" s="490" t="s">
        <v>308</v>
      </c>
      <c r="Y175" s="490"/>
      <c r="Z175" s="490"/>
      <c r="AA175" s="490"/>
      <c r="AB175" s="490"/>
      <c r="AC175" s="490"/>
    </row>
    <row r="176" spans="1:30" ht="25.8">
      <c r="C176" s="12"/>
      <c r="F176" s="55" t="s">
        <v>135</v>
      </c>
      <c r="G176" s="55" t="s">
        <v>136</v>
      </c>
      <c r="H176" s="74" t="s">
        <v>303</v>
      </c>
      <c r="J176" s="30" t="s">
        <v>213</v>
      </c>
      <c r="K176" s="30" t="s">
        <v>214</v>
      </c>
      <c r="L176" s="30" t="s">
        <v>215</v>
      </c>
      <c r="M176" s="30" t="s">
        <v>216</v>
      </c>
      <c r="N176" s="30" t="s">
        <v>217</v>
      </c>
      <c r="O176" s="74" t="s">
        <v>304</v>
      </c>
      <c r="Q176" s="30" t="s">
        <v>213</v>
      </c>
      <c r="R176" s="30" t="s">
        <v>214</v>
      </c>
      <c r="S176" s="30" t="s">
        <v>215</v>
      </c>
      <c r="T176" s="30" t="s">
        <v>216</v>
      </c>
      <c r="U176" s="30" t="s">
        <v>217</v>
      </c>
      <c r="V176" s="74" t="s">
        <v>304</v>
      </c>
      <c r="X176" s="30" t="s">
        <v>213</v>
      </c>
      <c r="Y176" s="30" t="s">
        <v>214</v>
      </c>
      <c r="Z176" s="30" t="s">
        <v>215</v>
      </c>
      <c r="AA176" s="30" t="s">
        <v>216</v>
      </c>
      <c r="AB176" s="30" t="s">
        <v>217</v>
      </c>
      <c r="AC176" s="74" t="s">
        <v>304</v>
      </c>
    </row>
    <row r="177" spans="1:29" ht="12.75" customHeight="1">
      <c r="D177" s="119" t="s">
        <v>491</v>
      </c>
      <c r="E177" s="49"/>
      <c r="F177" s="111" t="s">
        <v>484</v>
      </c>
      <c r="G177" s="111" t="s">
        <v>485</v>
      </c>
      <c r="H177" s="181" t="s">
        <v>490</v>
      </c>
      <c r="J177" s="185">
        <v>21622843.333333332</v>
      </c>
      <c r="K177" s="120">
        <v>557217595.71317136</v>
      </c>
      <c r="L177" s="120"/>
      <c r="M177" s="120"/>
      <c r="N177" s="120">
        <v>0</v>
      </c>
      <c r="O177" s="121">
        <f>SUM(K177:L177)/8760/0.1623*0.45/0.9812</f>
        <v>179745.1456489088</v>
      </c>
      <c r="Q177" s="189">
        <f t="shared" ref="Q177:Q194" si="36">IFERROR(J177*(1+Q201),0)</f>
        <v>21746373.286483876</v>
      </c>
      <c r="R177" s="115">
        <f>IFERROR(K177*(1+R201),0)</f>
        <v>552650531.72399056</v>
      </c>
      <c r="S177" s="115">
        <f t="shared" ref="S177:S194" si="37">IFERROR(L177*(1+S201),0)</f>
        <v>0</v>
      </c>
      <c r="T177" s="115">
        <f t="shared" ref="T177:T194" si="38">IFERROR(M177*(1+T201),0)</f>
        <v>0</v>
      </c>
      <c r="U177" s="115">
        <f t="shared" ref="U177:U194" si="39">IFERROR(N177*(1+U201),0)</f>
        <v>0</v>
      </c>
      <c r="V177" s="203">
        <f>SUM(R177:S177)/8760/0.1623*0.45/0.9812</f>
        <v>178271.91941154897</v>
      </c>
      <c r="X177" s="189">
        <f t="shared" ref="X177:X194" si="40">IFERROR(Q177*(1+X201),0)</f>
        <v>21873911.586196821</v>
      </c>
      <c r="Y177" s="115">
        <f t="shared" ref="Y177:Y194" si="41">IFERROR(R177*(1+Y201),0)</f>
        <v>540683389.77635157</v>
      </c>
      <c r="Z177" s="115">
        <f t="shared" ref="Z177:Z194" si="42">IFERROR(S177*(1+Z201),0)</f>
        <v>0</v>
      </c>
      <c r="AA177" s="115">
        <f t="shared" ref="AA177:AA194" si="43">IFERROR(T177*(1+AA201),0)</f>
        <v>0</v>
      </c>
      <c r="AB177" s="115">
        <f t="shared" ref="AB177:AB194" si="44">IFERROR(U177*(1+AB201),0)</f>
        <v>0</v>
      </c>
      <c r="AC177" s="203">
        <f>SUM(Y177:Z177)/8760/0.1623*0.45/0.9812</f>
        <v>174411.60399988925</v>
      </c>
    </row>
    <row r="178" spans="1:29" ht="12.75" customHeight="1">
      <c r="D178" s="122" t="s">
        <v>492</v>
      </c>
      <c r="E178" s="52"/>
      <c r="F178" s="42" t="s">
        <v>484</v>
      </c>
      <c r="G178" s="42" t="s">
        <v>485</v>
      </c>
      <c r="H178" s="182" t="s">
        <v>490</v>
      </c>
      <c r="J178" s="186">
        <v>3796821.25</v>
      </c>
      <c r="K178" s="91">
        <v>80951239.293410465</v>
      </c>
      <c r="L178" s="91"/>
      <c r="M178" s="91"/>
      <c r="N178" s="91">
        <v>0</v>
      </c>
      <c r="O178" s="123">
        <f>SUM(K178:L178)/8760/0.1623*0.45/0.9812</f>
        <v>26112.944761966333</v>
      </c>
      <c r="Q178" s="176">
        <f t="shared" si="36"/>
        <v>3786504.8021591459</v>
      </c>
      <c r="R178" s="161">
        <f t="shared" ref="R178:R194" si="45">IFERROR(K178*(1+R202),0)</f>
        <v>80867801.878968641</v>
      </c>
      <c r="S178" s="161">
        <f t="shared" si="37"/>
        <v>0</v>
      </c>
      <c r="T178" s="161">
        <f t="shared" si="38"/>
        <v>0</v>
      </c>
      <c r="U178" s="161">
        <f t="shared" si="39"/>
        <v>0</v>
      </c>
      <c r="V178" s="204">
        <f>SUM(R178:S178)/8760/0.1623*0.45/0.9812</f>
        <v>26086.029836223155</v>
      </c>
      <c r="X178" s="176">
        <f t="shared" si="40"/>
        <v>3778767.4662785055</v>
      </c>
      <c r="Y178" s="161">
        <f t="shared" si="41"/>
        <v>79963621.672768161</v>
      </c>
      <c r="Z178" s="161">
        <f t="shared" si="42"/>
        <v>0</v>
      </c>
      <c r="AA178" s="161">
        <f t="shared" si="43"/>
        <v>0</v>
      </c>
      <c r="AB178" s="161">
        <f t="shared" si="44"/>
        <v>0</v>
      </c>
      <c r="AC178" s="204">
        <f>SUM(Y178:Z178)/8760/0.1623*0.45/0.9812</f>
        <v>25794.362803260283</v>
      </c>
    </row>
    <row r="179" spans="1:29" ht="12.75" customHeight="1">
      <c r="D179" s="124" t="s">
        <v>493</v>
      </c>
      <c r="E179" s="59"/>
      <c r="F179" s="125" t="s">
        <v>484</v>
      </c>
      <c r="G179" s="125" t="s">
        <v>485</v>
      </c>
      <c r="H179" s="183" t="s">
        <v>490</v>
      </c>
      <c r="J179" s="187">
        <v>509175</v>
      </c>
      <c r="K179" s="126">
        <v>10201717</v>
      </c>
      <c r="L179" s="126"/>
      <c r="M179" s="126"/>
      <c r="N179" s="126"/>
      <c r="O179" s="127">
        <f>SUM(K179:L179)/8760/0.1623*0.45/0.9812</f>
        <v>3290.831305653624</v>
      </c>
      <c r="Q179" s="190">
        <f t="shared" si="36"/>
        <v>514366.58823529416</v>
      </c>
      <c r="R179" s="191">
        <f t="shared" si="45"/>
        <v>10326006.978771262</v>
      </c>
      <c r="S179" s="191">
        <f t="shared" si="37"/>
        <v>0</v>
      </c>
      <c r="T179" s="191">
        <f t="shared" si="38"/>
        <v>0</v>
      </c>
      <c r="U179" s="191">
        <f t="shared" si="39"/>
        <v>0</v>
      </c>
      <c r="V179" s="205">
        <f>SUM(R179:S179)/8760/0.1623*0.45/0.9812</f>
        <v>3330.9242971686299</v>
      </c>
      <c r="X179" s="190">
        <f t="shared" si="40"/>
        <v>519957.52941176476</v>
      </c>
      <c r="Y179" s="191">
        <f t="shared" si="41"/>
        <v>10343354.716344047</v>
      </c>
      <c r="Z179" s="191">
        <f t="shared" si="42"/>
        <v>0</v>
      </c>
      <c r="AA179" s="191">
        <f t="shared" si="43"/>
        <v>0</v>
      </c>
      <c r="AB179" s="191">
        <f t="shared" si="44"/>
        <v>0</v>
      </c>
      <c r="AC179" s="205">
        <f>SUM(Y179:Z179)/8760/0.1623*0.45/0.9812</f>
        <v>3336.5202647774927</v>
      </c>
    </row>
    <row r="180" spans="1:29" ht="12.75" customHeight="1">
      <c r="A180" s="399"/>
      <c r="D180" s="119" t="s">
        <v>499</v>
      </c>
      <c r="E180" s="49"/>
      <c r="F180" s="111" t="s">
        <v>484</v>
      </c>
      <c r="G180" s="111" t="s">
        <v>485</v>
      </c>
      <c r="H180" s="181" t="s">
        <v>498</v>
      </c>
      <c r="J180" s="185">
        <v>3006200.833333333</v>
      </c>
      <c r="K180" s="120">
        <v>137318289.28239852</v>
      </c>
      <c r="L180" s="120"/>
      <c r="M180" s="120"/>
      <c r="N180" s="120"/>
      <c r="O180" s="121">
        <f>SUM(K180:L180)/8760/0.2756*0.85/0.8634</f>
        <v>55995.347777260911</v>
      </c>
      <c r="Q180" s="189">
        <f t="shared" si="36"/>
        <v>3022742.7657954209</v>
      </c>
      <c r="R180" s="115">
        <f t="shared" si="45"/>
        <v>136192801.82675761</v>
      </c>
      <c r="S180" s="115">
        <f t="shared" si="37"/>
        <v>0</v>
      </c>
      <c r="T180" s="115">
        <f t="shared" si="38"/>
        <v>0</v>
      </c>
      <c r="U180" s="115">
        <f t="shared" si="39"/>
        <v>0</v>
      </c>
      <c r="V180" s="203">
        <f>SUM(R180:S180)/8760/0.2756*0.85/0.8634</f>
        <v>55536.398996097814</v>
      </c>
      <c r="X180" s="189">
        <f t="shared" si="40"/>
        <v>3055235.8474173793</v>
      </c>
      <c r="Y180" s="115">
        <f t="shared" si="41"/>
        <v>133243671.23129214</v>
      </c>
      <c r="Z180" s="115">
        <f t="shared" si="42"/>
        <v>0</v>
      </c>
      <c r="AA180" s="115">
        <f t="shared" si="43"/>
        <v>0</v>
      </c>
      <c r="AB180" s="115">
        <f t="shared" si="44"/>
        <v>0</v>
      </c>
      <c r="AC180" s="203">
        <f>SUM(Y180:Z180)/8760/0.2756*0.85/0.8634</f>
        <v>54333.809055627178</v>
      </c>
    </row>
    <row r="181" spans="1:29" ht="12.75" customHeight="1">
      <c r="D181" s="122" t="s">
        <v>500</v>
      </c>
      <c r="E181" s="52"/>
      <c r="F181" s="42" t="s">
        <v>484</v>
      </c>
      <c r="G181" s="42" t="s">
        <v>485</v>
      </c>
      <c r="H181" s="182" t="s">
        <v>498</v>
      </c>
      <c r="J181" s="186">
        <v>613382.5</v>
      </c>
      <c r="K181" s="91">
        <v>20933403.778434485</v>
      </c>
      <c r="L181" s="91"/>
      <c r="M181" s="91"/>
      <c r="N181" s="91"/>
      <c r="O181" s="123">
        <f t="shared" ref="O181:O182" si="46">SUM(K181:L181)/8760/0.2756*0.85/0.8634</f>
        <v>8536.1770151728506</v>
      </c>
      <c r="Q181" s="176">
        <f t="shared" si="36"/>
        <v>610510.26144640998</v>
      </c>
      <c r="R181" s="161">
        <f t="shared" si="45"/>
        <v>20911827.467781495</v>
      </c>
      <c r="S181" s="161">
        <f t="shared" si="37"/>
        <v>0</v>
      </c>
      <c r="T181" s="161">
        <f t="shared" si="38"/>
        <v>0</v>
      </c>
      <c r="U181" s="161">
        <f t="shared" si="39"/>
        <v>0</v>
      </c>
      <c r="V181" s="204">
        <f t="shared" ref="V181:V182" si="47">SUM(R181:S181)/8760/0.2756*0.85/0.8634</f>
        <v>8527.3786750167219</v>
      </c>
      <c r="X181" s="176">
        <f t="shared" si="40"/>
        <v>611148.53668054112</v>
      </c>
      <c r="Y181" s="161">
        <f t="shared" si="41"/>
        <v>20678013.019601658</v>
      </c>
      <c r="Z181" s="161">
        <f t="shared" si="42"/>
        <v>0</v>
      </c>
      <c r="AA181" s="161">
        <f t="shared" si="43"/>
        <v>0</v>
      </c>
      <c r="AB181" s="161">
        <f t="shared" si="44"/>
        <v>0</v>
      </c>
      <c r="AC181" s="204">
        <f t="shared" ref="AC181:AC182" si="48">SUM(Y181:Z181)/8760/0.2756*0.85/0.8634</f>
        <v>8432.0343373498472</v>
      </c>
    </row>
    <row r="182" spans="1:29" ht="12.75" customHeight="1">
      <c r="D182" s="124" t="s">
        <v>501</v>
      </c>
      <c r="E182" s="59"/>
      <c r="F182" s="125" t="s">
        <v>484</v>
      </c>
      <c r="G182" s="125" t="s">
        <v>485</v>
      </c>
      <c r="H182" s="183" t="s">
        <v>498</v>
      </c>
      <c r="J182" s="187">
        <v>109287.08333333333</v>
      </c>
      <c r="K182" s="126">
        <v>6863710.4689231096</v>
      </c>
      <c r="L182" s="126"/>
      <c r="M182" s="126"/>
      <c r="N182" s="126"/>
      <c r="O182" s="127">
        <f t="shared" si="46"/>
        <v>2798.868648584601</v>
      </c>
      <c r="Q182" s="190">
        <f t="shared" si="36"/>
        <v>108934.54435483871</v>
      </c>
      <c r="R182" s="191">
        <f t="shared" si="45"/>
        <v>6947332.709029804</v>
      </c>
      <c r="S182" s="191">
        <f t="shared" si="37"/>
        <v>0</v>
      </c>
      <c r="T182" s="191">
        <f t="shared" si="38"/>
        <v>0</v>
      </c>
      <c r="U182" s="191">
        <f t="shared" si="39"/>
        <v>0</v>
      </c>
      <c r="V182" s="205">
        <f t="shared" si="47"/>
        <v>2832.9679403916703</v>
      </c>
      <c r="X182" s="190">
        <f t="shared" si="40"/>
        <v>109639.62231182794</v>
      </c>
      <c r="Y182" s="191">
        <f t="shared" si="41"/>
        <v>6959004.2588277906</v>
      </c>
      <c r="Z182" s="191">
        <f t="shared" si="42"/>
        <v>0</v>
      </c>
      <c r="AA182" s="191">
        <f t="shared" si="43"/>
        <v>0</v>
      </c>
      <c r="AB182" s="191">
        <f t="shared" si="44"/>
        <v>0</v>
      </c>
      <c r="AC182" s="205">
        <f t="shared" si="48"/>
        <v>2837.7273391101749</v>
      </c>
    </row>
    <row r="183" spans="1:29" ht="12.75" customHeight="1">
      <c r="D183" s="119" t="s">
        <v>207</v>
      </c>
      <c r="E183" s="49"/>
      <c r="F183" s="111" t="s">
        <v>487</v>
      </c>
      <c r="G183" s="111" t="s">
        <v>485</v>
      </c>
      <c r="H183" s="181" t="s">
        <v>154</v>
      </c>
      <c r="J183" s="185"/>
      <c r="K183" s="120">
        <v>2867276.7095887898</v>
      </c>
      <c r="L183" s="120"/>
      <c r="M183" s="120"/>
      <c r="N183" s="120"/>
      <c r="O183" s="121">
        <f>SUM(K183:L183)/8760*0.15</f>
        <v>49.097203931314894</v>
      </c>
      <c r="Q183" s="189">
        <f t="shared" si="36"/>
        <v>0</v>
      </c>
      <c r="R183" s="115">
        <f t="shared" si="45"/>
        <v>2867276.7095887898</v>
      </c>
      <c r="S183" s="115">
        <f t="shared" si="37"/>
        <v>0</v>
      </c>
      <c r="T183" s="115">
        <f t="shared" si="38"/>
        <v>0</v>
      </c>
      <c r="U183" s="115">
        <f t="shared" si="39"/>
        <v>0</v>
      </c>
      <c r="V183" s="203">
        <f>SUM(R183:S183)/8760*0.15</f>
        <v>49.097203931314894</v>
      </c>
      <c r="X183" s="189">
        <f t="shared" si="40"/>
        <v>0</v>
      </c>
      <c r="Y183" s="115">
        <f t="shared" si="41"/>
        <v>2881613.0931367334</v>
      </c>
      <c r="Z183" s="115">
        <f t="shared" si="42"/>
        <v>0</v>
      </c>
      <c r="AA183" s="115">
        <f t="shared" si="43"/>
        <v>0</v>
      </c>
      <c r="AB183" s="115">
        <f t="shared" si="44"/>
        <v>0</v>
      </c>
      <c r="AC183" s="203">
        <f>SUM(Y183:Z183)/8760*0.15</f>
        <v>49.342689950971462</v>
      </c>
    </row>
    <row r="184" spans="1:29" ht="12.75" customHeight="1">
      <c r="D184" s="122" t="s">
        <v>208</v>
      </c>
      <c r="E184" s="52"/>
      <c r="F184" s="42" t="s">
        <v>487</v>
      </c>
      <c r="G184" s="42" t="s">
        <v>485</v>
      </c>
      <c r="H184" s="182" t="s">
        <v>154</v>
      </c>
      <c r="J184" s="186"/>
      <c r="K184" s="91">
        <v>514197.04657531052</v>
      </c>
      <c r="L184" s="91"/>
      <c r="M184" s="91"/>
      <c r="N184" s="91"/>
      <c r="O184" s="123">
        <f t="shared" ref="O184:O185" si="49">SUM(K184:L184)/8760*0.15</f>
        <v>8.8047439482073724</v>
      </c>
      <c r="Q184" s="176">
        <f t="shared" si="36"/>
        <v>0</v>
      </c>
      <c r="R184" s="161">
        <f t="shared" si="45"/>
        <v>514197.04657531052</v>
      </c>
      <c r="S184" s="161">
        <f t="shared" si="37"/>
        <v>0</v>
      </c>
      <c r="T184" s="161">
        <f t="shared" si="38"/>
        <v>0</v>
      </c>
      <c r="U184" s="161">
        <f t="shared" si="39"/>
        <v>0</v>
      </c>
      <c r="V184" s="204">
        <f t="shared" ref="V184:V185" si="50">SUM(R184:S184)/8760*0.15</f>
        <v>8.8047439482073724</v>
      </c>
      <c r="X184" s="176">
        <f t="shared" si="40"/>
        <v>0</v>
      </c>
      <c r="Y184" s="161">
        <f t="shared" si="41"/>
        <v>516768.03180818702</v>
      </c>
      <c r="Z184" s="161">
        <f t="shared" si="42"/>
        <v>0</v>
      </c>
      <c r="AA184" s="161">
        <f t="shared" si="43"/>
        <v>0</v>
      </c>
      <c r="AB184" s="161">
        <f t="shared" si="44"/>
        <v>0</v>
      </c>
      <c r="AC184" s="204">
        <f t="shared" ref="AC184:AC185" si="51">SUM(Y184:Z184)/8760*0.15</f>
        <v>8.8487676679484082</v>
      </c>
    </row>
    <row r="185" spans="1:29" ht="12.75" customHeight="1">
      <c r="D185" s="124" t="s">
        <v>209</v>
      </c>
      <c r="E185" s="59"/>
      <c r="F185" s="125" t="s">
        <v>487</v>
      </c>
      <c r="G185" s="125" t="s">
        <v>485</v>
      </c>
      <c r="H185" s="183" t="s">
        <v>154</v>
      </c>
      <c r="J185" s="187"/>
      <c r="K185" s="126">
        <v>72282.6027397258</v>
      </c>
      <c r="L185" s="126"/>
      <c r="M185" s="126"/>
      <c r="N185" s="126"/>
      <c r="O185" s="127">
        <f t="shared" si="49"/>
        <v>1.2377158003377706</v>
      </c>
      <c r="Q185" s="190">
        <f t="shared" si="36"/>
        <v>0</v>
      </c>
      <c r="R185" s="191">
        <f t="shared" si="45"/>
        <v>72282.6027397258</v>
      </c>
      <c r="S185" s="191">
        <f t="shared" si="37"/>
        <v>0</v>
      </c>
      <c r="T185" s="191">
        <f t="shared" si="38"/>
        <v>0</v>
      </c>
      <c r="U185" s="191">
        <f t="shared" si="39"/>
        <v>0</v>
      </c>
      <c r="V185" s="205">
        <f t="shared" si="50"/>
        <v>1.2377158003377706</v>
      </c>
      <c r="X185" s="190">
        <f t="shared" si="40"/>
        <v>0</v>
      </c>
      <c r="Y185" s="191">
        <f t="shared" si="41"/>
        <v>72644.015753424421</v>
      </c>
      <c r="Z185" s="191">
        <f t="shared" si="42"/>
        <v>0</v>
      </c>
      <c r="AA185" s="191">
        <f t="shared" si="43"/>
        <v>0</v>
      </c>
      <c r="AB185" s="191">
        <f t="shared" si="44"/>
        <v>0</v>
      </c>
      <c r="AC185" s="205">
        <f t="shared" si="51"/>
        <v>1.2439043793394591</v>
      </c>
    </row>
    <row r="186" spans="1:29" ht="12.75" customHeight="1">
      <c r="D186" s="119" t="s">
        <v>210</v>
      </c>
      <c r="E186" s="49"/>
      <c r="F186" s="111" t="s">
        <v>486</v>
      </c>
      <c r="G186" s="111" t="s">
        <v>485</v>
      </c>
      <c r="H186" s="181" t="s">
        <v>155</v>
      </c>
      <c r="J186" s="185"/>
      <c r="K186" s="120">
        <v>110791.2</v>
      </c>
      <c r="L186" s="120"/>
      <c r="M186" s="120"/>
      <c r="N186" s="120"/>
      <c r="O186" s="121">
        <f>SUM(K186:L186)/8760</f>
        <v>12.647397260273973</v>
      </c>
      <c r="Q186" s="189">
        <f t="shared" si="36"/>
        <v>0</v>
      </c>
      <c r="R186" s="115">
        <f t="shared" si="45"/>
        <v>110791.2</v>
      </c>
      <c r="S186" s="115">
        <f t="shared" si="37"/>
        <v>0</v>
      </c>
      <c r="T186" s="115">
        <f t="shared" si="38"/>
        <v>0</v>
      </c>
      <c r="U186" s="115">
        <f t="shared" si="39"/>
        <v>0</v>
      </c>
      <c r="V186" s="203">
        <f>SUM(R186:S186)/8760</f>
        <v>12.647397260273973</v>
      </c>
      <c r="X186" s="189">
        <f t="shared" si="40"/>
        <v>0</v>
      </c>
      <c r="Y186" s="115">
        <f t="shared" si="41"/>
        <v>111345.15599999999</v>
      </c>
      <c r="Z186" s="115">
        <f t="shared" si="42"/>
        <v>0</v>
      </c>
      <c r="AA186" s="115">
        <f t="shared" si="43"/>
        <v>0</v>
      </c>
      <c r="AB186" s="115">
        <f t="shared" si="44"/>
        <v>0</v>
      </c>
      <c r="AC186" s="203">
        <f>SUM(Y186:Z186)/8760</f>
        <v>12.71063424657534</v>
      </c>
    </row>
    <row r="187" spans="1:29" ht="12.75" customHeight="1">
      <c r="D187" s="122" t="s">
        <v>211</v>
      </c>
      <c r="E187" s="52"/>
      <c r="F187" s="42" t="s">
        <v>486</v>
      </c>
      <c r="G187" s="42" t="s">
        <v>485</v>
      </c>
      <c r="H187" s="182" t="s">
        <v>155</v>
      </c>
      <c r="J187" s="186"/>
      <c r="K187" s="91">
        <v>61500.800000000003</v>
      </c>
      <c r="L187" s="91"/>
      <c r="M187" s="91"/>
      <c r="N187" s="91"/>
      <c r="O187" s="123">
        <f t="shared" ref="O187:O188" si="52">SUM(K187:L187)/8760</f>
        <v>7.0206392694063933</v>
      </c>
      <c r="Q187" s="176">
        <f t="shared" si="36"/>
        <v>0</v>
      </c>
      <c r="R187" s="161">
        <f t="shared" si="45"/>
        <v>61500.800000000003</v>
      </c>
      <c r="S187" s="161">
        <f t="shared" si="37"/>
        <v>0</v>
      </c>
      <c r="T187" s="161">
        <f t="shared" si="38"/>
        <v>0</v>
      </c>
      <c r="U187" s="161">
        <f t="shared" si="39"/>
        <v>0</v>
      </c>
      <c r="V187" s="204">
        <f t="shared" ref="V187:V188" si="53">SUM(R187:S187)/8760</f>
        <v>7.0206392694063933</v>
      </c>
      <c r="X187" s="176">
        <f t="shared" si="40"/>
        <v>0</v>
      </c>
      <c r="Y187" s="161">
        <f t="shared" si="41"/>
        <v>61808.303999999996</v>
      </c>
      <c r="Z187" s="161">
        <f t="shared" si="42"/>
        <v>0</v>
      </c>
      <c r="AA187" s="161">
        <f t="shared" si="43"/>
        <v>0</v>
      </c>
      <c r="AB187" s="161">
        <f t="shared" si="44"/>
        <v>0</v>
      </c>
      <c r="AC187" s="204">
        <f t="shared" ref="AC187:AC188" si="54">SUM(Y187:Z187)/8760</f>
        <v>7.0557424657534247</v>
      </c>
    </row>
    <row r="188" spans="1:29" ht="12.75" customHeight="1">
      <c r="D188" s="124" t="s">
        <v>212</v>
      </c>
      <c r="E188" s="59"/>
      <c r="F188" s="125" t="s">
        <v>486</v>
      </c>
      <c r="G188" s="125" t="s">
        <v>485</v>
      </c>
      <c r="H188" s="183" t="s">
        <v>155</v>
      </c>
      <c r="J188" s="187"/>
      <c r="K188" s="126">
        <v>8607.0000000000018</v>
      </c>
      <c r="L188" s="126"/>
      <c r="M188" s="126"/>
      <c r="N188" s="126"/>
      <c r="O188" s="127">
        <f t="shared" si="52"/>
        <v>0.98253424657534272</v>
      </c>
      <c r="Q188" s="190">
        <f t="shared" si="36"/>
        <v>0</v>
      </c>
      <c r="R188" s="191">
        <f t="shared" si="45"/>
        <v>8607.0000000000018</v>
      </c>
      <c r="S188" s="191">
        <f t="shared" si="37"/>
        <v>0</v>
      </c>
      <c r="T188" s="191">
        <f t="shared" si="38"/>
        <v>0</v>
      </c>
      <c r="U188" s="191">
        <f t="shared" si="39"/>
        <v>0</v>
      </c>
      <c r="V188" s="205">
        <f t="shared" si="53"/>
        <v>0.98253424657534272</v>
      </c>
      <c r="X188" s="190">
        <f t="shared" si="40"/>
        <v>0</v>
      </c>
      <c r="Y188" s="191">
        <f t="shared" si="41"/>
        <v>8650.0350000000017</v>
      </c>
      <c r="Z188" s="191">
        <f t="shared" si="42"/>
        <v>0</v>
      </c>
      <c r="AA188" s="191">
        <f t="shared" si="43"/>
        <v>0</v>
      </c>
      <c r="AB188" s="191">
        <f t="shared" si="44"/>
        <v>0</v>
      </c>
      <c r="AC188" s="205">
        <f t="shared" si="54"/>
        <v>0.98744691780821936</v>
      </c>
    </row>
    <row r="189" spans="1:29" ht="12.75" customHeight="1">
      <c r="D189" s="119" t="s">
        <v>475</v>
      </c>
      <c r="E189" s="49"/>
      <c r="F189" s="111" t="s">
        <v>484</v>
      </c>
      <c r="G189" s="111" t="s">
        <v>485</v>
      </c>
      <c r="H189" s="181" t="s">
        <v>156</v>
      </c>
      <c r="I189" s="393"/>
      <c r="J189" s="185">
        <f>1075229.16666667-K189</f>
        <v>375341.66666667</v>
      </c>
      <c r="K189" s="120">
        <v>699887.5</v>
      </c>
      <c r="L189" s="120">
        <v>254283778.91760147</v>
      </c>
      <c r="M189" s="120">
        <v>546595.42522868933</v>
      </c>
      <c r="N189" s="120">
        <v>0</v>
      </c>
      <c r="O189" s="121">
        <f>SUM(K189:L189)/8760/0.2756*0.85/0.8634</f>
        <v>103976.67457982834</v>
      </c>
      <c r="Q189" s="189">
        <f t="shared" si="36"/>
        <v>377485.9701601566</v>
      </c>
      <c r="R189" s="115">
        <f t="shared" si="45"/>
        <v>703885.91356443486</v>
      </c>
      <c r="S189" s="115">
        <f t="shared" si="37"/>
        <v>252199619.51800278</v>
      </c>
      <c r="T189" s="115">
        <f t="shared" si="38"/>
        <v>532060.04866957373</v>
      </c>
      <c r="U189" s="115">
        <f t="shared" si="39"/>
        <v>0</v>
      </c>
      <c r="V189" s="203">
        <f>SUM(R189:S189)/8760/0.2756*0.85/0.8634</f>
        <v>103128.43114150428</v>
      </c>
      <c r="X189" s="189">
        <f t="shared" si="40"/>
        <v>381543.7691162416</v>
      </c>
      <c r="Y189" s="115">
        <f t="shared" si="41"/>
        <v>711452.36040232098</v>
      </c>
      <c r="Z189" s="115">
        <f t="shared" si="42"/>
        <v>246738467.35644144</v>
      </c>
      <c r="AA189" s="115">
        <f t="shared" si="43"/>
        <v>522809.17772888119</v>
      </c>
      <c r="AB189" s="115">
        <f t="shared" si="44"/>
        <v>0</v>
      </c>
      <c r="AC189" s="203">
        <f>SUM(Y189:Z189)/8760/0.2756*0.85/0.8634</f>
        <v>100904.58004108</v>
      </c>
    </row>
    <row r="190" spans="1:29" ht="12.75" customHeight="1">
      <c r="D190" s="122" t="s">
        <v>473</v>
      </c>
      <c r="E190" s="52"/>
      <c r="F190" s="42" t="s">
        <v>484</v>
      </c>
      <c r="G190" s="42" t="s">
        <v>485</v>
      </c>
      <c r="H190" s="182" t="s">
        <v>156</v>
      </c>
      <c r="I190" s="393"/>
      <c r="J190" s="186">
        <f>332606.25-K190</f>
        <v>90793.75</v>
      </c>
      <c r="K190" s="91">
        <v>241812.5</v>
      </c>
      <c r="L190" s="91">
        <v>50772828.121565513</v>
      </c>
      <c r="M190" s="91">
        <v>147042.95581491099</v>
      </c>
      <c r="N190" s="91">
        <v>0</v>
      </c>
      <c r="O190" s="123">
        <f t="shared" ref="O190:O191" si="55">SUM(K190:L190)/8760/0.2756*0.85/0.8634</f>
        <v>20802.637130600346</v>
      </c>
      <c r="Q190" s="176">
        <f t="shared" si="36"/>
        <v>90547.051795245032</v>
      </c>
      <c r="R190" s="161">
        <f t="shared" si="45"/>
        <v>241155.46458030082</v>
      </c>
      <c r="S190" s="161">
        <f t="shared" si="37"/>
        <v>50720495.957915641</v>
      </c>
      <c r="T190" s="161">
        <f t="shared" si="38"/>
        <v>144105.69307415531</v>
      </c>
      <c r="U190" s="161">
        <f t="shared" si="39"/>
        <v>0</v>
      </c>
      <c r="V190" s="204">
        <f t="shared" ref="V190:V191" si="56">SUM(R190:S190)/8760/0.2756*0.85/0.8634</f>
        <v>20781.029312400413</v>
      </c>
      <c r="X190" s="176">
        <f t="shared" si="40"/>
        <v>90641.716773598659</v>
      </c>
      <c r="Y190" s="161">
        <f t="shared" si="41"/>
        <v>241407.58738697128</v>
      </c>
      <c r="Z190" s="161">
        <f t="shared" si="42"/>
        <v>50153391.777657889</v>
      </c>
      <c r="AA190" s="161">
        <f t="shared" si="43"/>
        <v>142442.81854227555</v>
      </c>
      <c r="AB190" s="161">
        <f t="shared" si="44"/>
        <v>0</v>
      </c>
      <c r="AC190" s="204">
        <f t="shared" ref="AC190:AC191" si="57">SUM(Y190:Z190)/8760/0.2756*0.85/0.8634</f>
        <v>20549.879636264031</v>
      </c>
    </row>
    <row r="191" spans="1:29" ht="12.75" customHeight="1">
      <c r="D191" s="124" t="s">
        <v>474</v>
      </c>
      <c r="E191" s="59"/>
      <c r="F191" s="125" t="s">
        <v>484</v>
      </c>
      <c r="G191" s="125" t="s">
        <v>485</v>
      </c>
      <c r="H191" s="183" t="s">
        <v>156</v>
      </c>
      <c r="I191" s="393"/>
      <c r="J191" s="187">
        <f>9733.33333333333-K191</f>
        <v>7299.9999999999964</v>
      </c>
      <c r="K191" s="126">
        <v>2433.3333333333335</v>
      </c>
      <c r="L191" s="126">
        <v>4994395.5310768904</v>
      </c>
      <c r="M191" s="126">
        <v>10837.1283474094</v>
      </c>
      <c r="N191" s="126">
        <v>0</v>
      </c>
      <c r="O191" s="127">
        <f t="shared" si="55"/>
        <v>2037.5958039405236</v>
      </c>
      <c r="Q191" s="190">
        <f t="shared" si="36"/>
        <v>7374.4313725490165</v>
      </c>
      <c r="R191" s="191">
        <f t="shared" si="45"/>
        <v>2458.1437908496737</v>
      </c>
      <c r="S191" s="191">
        <f t="shared" si="37"/>
        <v>5055243.4564342434</v>
      </c>
      <c r="T191" s="191">
        <f t="shared" si="38"/>
        <v>10837.1283474094</v>
      </c>
      <c r="U191" s="191">
        <f t="shared" si="39"/>
        <v>0</v>
      </c>
      <c r="V191" s="205">
        <f t="shared" si="56"/>
        <v>2062.4183532886086</v>
      </c>
      <c r="X191" s="190">
        <f t="shared" si="40"/>
        <v>7422.1623199441556</v>
      </c>
      <c r="Y191" s="191">
        <f t="shared" si="41"/>
        <v>2474.0541066480532</v>
      </c>
      <c r="Z191" s="191">
        <f t="shared" si="42"/>
        <v>5063736.2878868133</v>
      </c>
      <c r="AA191" s="191">
        <f t="shared" si="43"/>
        <v>10852.014932678479</v>
      </c>
      <c r="AB191" s="191">
        <f t="shared" si="44"/>
        <v>0</v>
      </c>
      <c r="AC191" s="205">
        <f t="shared" si="57"/>
        <v>2065.8880291559421</v>
      </c>
    </row>
    <row r="192" spans="1:29" ht="12.75" customHeight="1">
      <c r="D192" s="122" t="s">
        <v>502</v>
      </c>
      <c r="E192" s="52"/>
      <c r="F192" s="42" t="s">
        <v>484</v>
      </c>
      <c r="G192" s="42" t="s">
        <v>485</v>
      </c>
      <c r="H192" s="184" t="s">
        <v>181</v>
      </c>
      <c r="J192" s="188">
        <v>4380</v>
      </c>
      <c r="K192" s="128"/>
      <c r="L192" s="128">
        <v>4020098</v>
      </c>
      <c r="M192" s="128">
        <v>81</v>
      </c>
      <c r="N192" s="128">
        <v>0</v>
      </c>
      <c r="O192" s="129">
        <f>SUM(K192:L192)/8760/0.2756*0.85/0.8634</f>
        <v>1639.3066559818062</v>
      </c>
      <c r="Q192" s="176">
        <f t="shared" si="36"/>
        <v>4404.1014051292132</v>
      </c>
      <c r="R192" s="161">
        <f t="shared" si="45"/>
        <v>0</v>
      </c>
      <c r="S192" s="161">
        <f t="shared" si="37"/>
        <v>3987148.4934696485</v>
      </c>
      <c r="T192" s="161">
        <f t="shared" si="38"/>
        <v>78.846001911201938</v>
      </c>
      <c r="U192" s="161">
        <f t="shared" si="39"/>
        <v>0</v>
      </c>
      <c r="V192" s="204">
        <f>SUM(R192:S192)/8760/0.2756*0.85/0.8634</f>
        <v>1625.8705792079265</v>
      </c>
      <c r="X192" s="176">
        <f t="shared" si="40"/>
        <v>4451.4434509187386</v>
      </c>
      <c r="Y192" s="161">
        <f t="shared" si="41"/>
        <v>0</v>
      </c>
      <c r="Z192" s="161">
        <f t="shared" si="42"/>
        <v>3900810.4384987787</v>
      </c>
      <c r="AA192" s="161">
        <f t="shared" si="43"/>
        <v>77.475114941405977</v>
      </c>
      <c r="AB192" s="161">
        <f t="shared" si="44"/>
        <v>0</v>
      </c>
      <c r="AC192" s="204">
        <f>SUM(Y192:Z192)/8760/0.2756*0.85/0.8634</f>
        <v>1590.6638384323855</v>
      </c>
    </row>
    <row r="193" spans="2:29" ht="12.75" customHeight="1">
      <c r="D193" s="122" t="s">
        <v>503</v>
      </c>
      <c r="E193" s="52"/>
      <c r="F193" s="42" t="s">
        <v>484</v>
      </c>
      <c r="G193" s="42" t="s">
        <v>485</v>
      </c>
      <c r="H193" s="182" t="s">
        <v>181</v>
      </c>
      <c r="J193" s="186">
        <v>334.58333333333337</v>
      </c>
      <c r="K193" s="91"/>
      <c r="L193" s="91">
        <v>372672</v>
      </c>
      <c r="M193" s="91">
        <v>6.3157894736842106</v>
      </c>
      <c r="N193" s="91">
        <v>0</v>
      </c>
      <c r="O193" s="123">
        <f>SUM(K193:L193)/8760/0.2756*0.85/0.8634</f>
        <v>151.96736251157353</v>
      </c>
      <c r="Q193" s="176">
        <f t="shared" si="36"/>
        <v>333.01660596600766</v>
      </c>
      <c r="R193" s="161">
        <f t="shared" si="45"/>
        <v>0</v>
      </c>
      <c r="S193" s="161">
        <f t="shared" si="37"/>
        <v>372287.8824943722</v>
      </c>
      <c r="T193" s="161">
        <f t="shared" si="38"/>
        <v>6.1896281557434811</v>
      </c>
      <c r="U193" s="161">
        <f t="shared" si="39"/>
        <v>0</v>
      </c>
      <c r="V193" s="204">
        <f>SUM(R193:S193)/8760/0.2756*0.85/0.8634</f>
        <v>151.81072792613438</v>
      </c>
      <c r="X193" s="176">
        <f t="shared" si="40"/>
        <v>333.36476760319118</v>
      </c>
      <c r="Y193" s="161">
        <f t="shared" si="41"/>
        <v>0</v>
      </c>
      <c r="Z193" s="161">
        <f t="shared" si="42"/>
        <v>368125.34404843423</v>
      </c>
      <c r="AA193" s="161">
        <f t="shared" si="43"/>
        <v>6.1182043639249635</v>
      </c>
      <c r="AB193" s="161">
        <f t="shared" si="44"/>
        <v>0</v>
      </c>
      <c r="AC193" s="204">
        <f>SUM(Y193:Z193)/8760/0.2756*0.85/0.8634</f>
        <v>150.11333722068235</v>
      </c>
    </row>
    <row r="194" spans="2:29" ht="12.75" customHeight="1">
      <c r="D194" s="124" t="s">
        <v>504</v>
      </c>
      <c r="E194" s="59"/>
      <c r="F194" s="125" t="s">
        <v>484</v>
      </c>
      <c r="G194" s="125" t="s">
        <v>485</v>
      </c>
      <c r="H194" s="183" t="s">
        <v>181</v>
      </c>
      <c r="J194" s="187">
        <v>0</v>
      </c>
      <c r="K194" s="126"/>
      <c r="L194" s="126"/>
      <c r="M194" s="126"/>
      <c r="N194" s="126"/>
      <c r="O194" s="127">
        <v>0</v>
      </c>
      <c r="Q194" s="190">
        <f t="shared" si="36"/>
        <v>0</v>
      </c>
      <c r="R194" s="191">
        <f t="shared" si="45"/>
        <v>0</v>
      </c>
      <c r="S194" s="191">
        <f t="shared" si="37"/>
        <v>0</v>
      </c>
      <c r="T194" s="191">
        <f t="shared" si="38"/>
        <v>0</v>
      </c>
      <c r="U194" s="191">
        <f t="shared" si="39"/>
        <v>0</v>
      </c>
      <c r="V194" s="205" t="str">
        <f>NA</f>
        <v>N/A</v>
      </c>
      <c r="X194" s="190">
        <f t="shared" si="40"/>
        <v>0</v>
      </c>
      <c r="Y194" s="191">
        <f t="shared" si="41"/>
        <v>0</v>
      </c>
      <c r="Z194" s="191">
        <f t="shared" si="42"/>
        <v>0</v>
      </c>
      <c r="AA194" s="191">
        <f t="shared" si="43"/>
        <v>0</v>
      </c>
      <c r="AB194" s="191">
        <f t="shared" si="44"/>
        <v>0</v>
      </c>
      <c r="AC194" s="205" t="str">
        <f>NA</f>
        <v>N/A</v>
      </c>
    </row>
    <row r="196" spans="2:29" s="7" customFormat="1" ht="15.6">
      <c r="B196" s="7" t="s">
        <v>218</v>
      </c>
    </row>
    <row r="199" spans="2:29" ht="12.75" customHeight="1">
      <c r="Q199" s="490" t="s">
        <v>309</v>
      </c>
      <c r="R199" s="490"/>
      <c r="S199" s="490"/>
      <c r="T199" s="490"/>
      <c r="U199" s="490"/>
      <c r="V199" s="490"/>
      <c r="X199" s="490" t="s">
        <v>310</v>
      </c>
      <c r="Y199" s="490"/>
      <c r="Z199" s="490"/>
      <c r="AA199" s="490"/>
      <c r="AB199" s="490"/>
      <c r="AC199" s="490"/>
    </row>
    <row r="200" spans="2:29" ht="25.8">
      <c r="C200" s="12" t="s">
        <v>219</v>
      </c>
      <c r="F200" s="55" t="s">
        <v>135</v>
      </c>
      <c r="G200" s="55" t="s">
        <v>136</v>
      </c>
      <c r="Q200" s="196" t="str">
        <f>Q176</f>
        <v>SAC</v>
      </c>
      <c r="R200" s="197" t="str">
        <f t="shared" ref="R200:V200" si="58">R176</f>
        <v>Manual Meter</v>
      </c>
      <c r="S200" s="197" t="str">
        <f t="shared" si="58"/>
        <v>Smart Meter</v>
      </c>
      <c r="T200" s="197" t="str">
        <f t="shared" si="58"/>
        <v>Peak</v>
      </c>
      <c r="U200" s="197" t="str">
        <f t="shared" si="58"/>
        <v>Off Peak</v>
      </c>
      <c r="V200" s="198" t="str">
        <f t="shared" si="58"/>
        <v>Co-incident Demand</v>
      </c>
      <c r="X200" s="196" t="str">
        <f>X176</f>
        <v>SAC</v>
      </c>
      <c r="Y200" s="197" t="str">
        <f t="shared" ref="Y200:AC200" si="59">Y176</f>
        <v>Manual Meter</v>
      </c>
      <c r="Z200" s="197" t="str">
        <f t="shared" si="59"/>
        <v>Smart Meter</v>
      </c>
      <c r="AA200" s="197" t="str">
        <f t="shared" si="59"/>
        <v>Peak</v>
      </c>
      <c r="AB200" s="197" t="str">
        <f t="shared" si="59"/>
        <v>Off Peak</v>
      </c>
      <c r="AC200" s="198" t="str">
        <f t="shared" si="59"/>
        <v>Co-incident Demand</v>
      </c>
    </row>
    <row r="201" spans="2:29" ht="12.75" customHeight="1">
      <c r="D201" s="119" t="s">
        <v>491</v>
      </c>
      <c r="E201" s="49"/>
      <c r="F201" s="111" t="s">
        <v>482</v>
      </c>
      <c r="G201" s="192" t="s">
        <v>164</v>
      </c>
      <c r="Q201" s="134">
        <v>5.7129375284383777E-3</v>
      </c>
      <c r="R201" s="135">
        <v>-8.1961948515562044E-3</v>
      </c>
      <c r="S201" s="135">
        <v>-8.1961948515562044E-3</v>
      </c>
      <c r="T201" s="135">
        <v>-2.6592568997506949E-2</v>
      </c>
      <c r="U201" s="135">
        <v>-2.6592568997506949E-2</v>
      </c>
      <c r="V201" s="199" t="str">
        <f t="shared" ref="V201:V219" si="60">NA</f>
        <v>N/A</v>
      </c>
      <c r="X201" s="134">
        <v>5.8648078018699312E-3</v>
      </c>
      <c r="Y201" s="135">
        <v>-2.1654085648497579E-2</v>
      </c>
      <c r="Z201" s="135">
        <v>-2.1654085648497579E-2</v>
      </c>
      <c r="AA201" s="135">
        <v>-1.7386892633311835E-2</v>
      </c>
      <c r="AB201" s="135">
        <v>-1.7386892633311835E-2</v>
      </c>
      <c r="AC201" s="199" t="str">
        <f t="shared" ref="AC201:AC219" si="61">NA</f>
        <v>N/A</v>
      </c>
    </row>
    <row r="202" spans="2:29" ht="12.75" customHeight="1">
      <c r="D202" s="122" t="s">
        <v>492</v>
      </c>
      <c r="E202" s="52"/>
      <c r="F202" s="42" t="s">
        <v>482</v>
      </c>
      <c r="G202" s="193" t="s">
        <v>164</v>
      </c>
      <c r="Q202" s="130">
        <v>-2.7171276079572815E-3</v>
      </c>
      <c r="R202" s="131">
        <v>-1.0307120084894761E-3</v>
      </c>
      <c r="S202" s="131">
        <v>-1.0307120084894761E-3</v>
      </c>
      <c r="T202" s="131">
        <v>-1.9975542007282132E-2</v>
      </c>
      <c r="U202" s="131">
        <v>-1.9975542007282132E-2</v>
      </c>
      <c r="V202" s="200" t="str">
        <f t="shared" si="60"/>
        <v>N/A</v>
      </c>
      <c r="X202" s="130">
        <v>-2.0433978787584017E-3</v>
      </c>
      <c r="Y202" s="131">
        <v>-1.118096677777547E-2</v>
      </c>
      <c r="Z202" s="131">
        <v>-1.118096677777547E-2</v>
      </c>
      <c r="AA202" s="131">
        <v>-1.1539270214841912E-2</v>
      </c>
      <c r="AB202" s="131">
        <v>-1.1539270214841912E-2</v>
      </c>
      <c r="AC202" s="200" t="str">
        <f t="shared" si="61"/>
        <v>N/A</v>
      </c>
    </row>
    <row r="203" spans="2:29" ht="12.75" customHeight="1">
      <c r="D203" s="124" t="s">
        <v>493</v>
      </c>
      <c r="E203" s="59"/>
      <c r="F203" s="125" t="s">
        <v>482</v>
      </c>
      <c r="G203" s="194" t="s">
        <v>164</v>
      </c>
      <c r="Q203" s="132">
        <v>1.0196078431372602E-2</v>
      </c>
      <c r="R203" s="133">
        <v>1.2183241190797833E-2</v>
      </c>
      <c r="S203" s="133">
        <v>1.2183241190797833E-2</v>
      </c>
      <c r="T203" s="133">
        <v>-3.313916181686638E-3</v>
      </c>
      <c r="U203" s="133">
        <v>-3.313916181686638E-3</v>
      </c>
      <c r="V203" s="201" t="str">
        <f t="shared" si="60"/>
        <v>N/A</v>
      </c>
      <c r="X203" s="132">
        <v>1.0869565217391353E-2</v>
      </c>
      <c r="Y203" s="133">
        <v>1.6800044400948622E-3</v>
      </c>
      <c r="Z203" s="133">
        <v>1.6800044400948622E-3</v>
      </c>
      <c r="AA203" s="133">
        <v>1.3736651252855836E-3</v>
      </c>
      <c r="AB203" s="133">
        <v>1.3736651252855836E-3</v>
      </c>
      <c r="AC203" s="201" t="str">
        <f t="shared" si="61"/>
        <v>N/A</v>
      </c>
    </row>
    <row r="204" spans="2:29" ht="12.75" customHeight="1">
      <c r="D204" s="119" t="s">
        <v>499</v>
      </c>
      <c r="E204" s="49"/>
      <c r="F204" s="111" t="s">
        <v>482</v>
      </c>
      <c r="G204" s="192" t="s">
        <v>164</v>
      </c>
      <c r="Q204" s="134">
        <v>5.5026039107792801E-3</v>
      </c>
      <c r="R204" s="135">
        <v>-8.1961948515562044E-3</v>
      </c>
      <c r="S204" s="135">
        <v>-8.1961948515562044E-3</v>
      </c>
      <c r="T204" s="135">
        <v>-2.6592568997506949E-2</v>
      </c>
      <c r="U204" s="135">
        <v>-2.6592568997506949E-2</v>
      </c>
      <c r="V204" s="199" t="str">
        <f t="shared" si="60"/>
        <v>N/A</v>
      </c>
      <c r="X204" s="134">
        <v>1.0749535815498978E-2</v>
      </c>
      <c r="Y204" s="135">
        <v>-2.1654085648497579E-2</v>
      </c>
      <c r="Z204" s="135">
        <v>-2.1654085648497579E-2</v>
      </c>
      <c r="AA204" s="135">
        <v>-1.7386892633311835E-2</v>
      </c>
      <c r="AB204" s="135">
        <v>-1.7386892633311835E-2</v>
      </c>
      <c r="AC204" s="199" t="str">
        <f t="shared" si="61"/>
        <v>N/A</v>
      </c>
    </row>
    <row r="205" spans="2:29" ht="12.75" customHeight="1">
      <c r="D205" s="122" t="s">
        <v>500</v>
      </c>
      <c r="E205" s="52"/>
      <c r="F205" s="42" t="s">
        <v>482</v>
      </c>
      <c r="G205" s="193" t="s">
        <v>164</v>
      </c>
      <c r="Q205" s="130">
        <v>-4.6826222684703822E-3</v>
      </c>
      <c r="R205" s="131">
        <v>-1.0307120084894761E-3</v>
      </c>
      <c r="S205" s="131">
        <v>-1.0307120084894761E-3</v>
      </c>
      <c r="T205" s="131">
        <v>-1.9975542007282132E-2</v>
      </c>
      <c r="U205" s="131">
        <v>-1.9975542007282132E-2</v>
      </c>
      <c r="V205" s="200" t="str">
        <f t="shared" si="60"/>
        <v>N/A</v>
      </c>
      <c r="X205" s="130">
        <v>1.045478306325176E-3</v>
      </c>
      <c r="Y205" s="131">
        <v>-1.118096677777547E-2</v>
      </c>
      <c r="Z205" s="131">
        <v>-1.118096677777547E-2</v>
      </c>
      <c r="AA205" s="131">
        <v>-1.1539270214841912E-2</v>
      </c>
      <c r="AB205" s="131">
        <v>-1.1539270214841912E-2</v>
      </c>
      <c r="AC205" s="200" t="str">
        <f t="shared" si="61"/>
        <v>N/A</v>
      </c>
    </row>
    <row r="206" spans="2:29" ht="12.75" customHeight="1">
      <c r="D206" s="124" t="s">
        <v>501</v>
      </c>
      <c r="E206" s="59"/>
      <c r="F206" s="125" t="s">
        <v>482</v>
      </c>
      <c r="G206" s="194" t="s">
        <v>164</v>
      </c>
      <c r="Q206" s="132">
        <v>-3.225806451612856E-3</v>
      </c>
      <c r="R206" s="133">
        <v>1.2183241190797833E-2</v>
      </c>
      <c r="S206" s="133">
        <v>1.2183241190797833E-2</v>
      </c>
      <c r="T206" s="133">
        <v>-3.313916181686638E-3</v>
      </c>
      <c r="U206" s="133">
        <v>-3.313916181686638E-3</v>
      </c>
      <c r="V206" s="201" t="str">
        <f t="shared" si="60"/>
        <v>N/A</v>
      </c>
      <c r="X206" s="132">
        <v>6.4724919093850364E-3</v>
      </c>
      <c r="Y206" s="133">
        <v>1.6800044400948622E-3</v>
      </c>
      <c r="Z206" s="133">
        <v>1.6800044400948622E-3</v>
      </c>
      <c r="AA206" s="133">
        <v>1.3736651252855836E-3</v>
      </c>
      <c r="AB206" s="133">
        <v>1.3736651252855836E-3</v>
      </c>
      <c r="AC206" s="201" t="str">
        <f t="shared" si="61"/>
        <v>N/A</v>
      </c>
    </row>
    <row r="207" spans="2:29" ht="12.75" customHeight="1">
      <c r="D207" s="119" t="s">
        <v>207</v>
      </c>
      <c r="E207" s="49"/>
      <c r="F207" s="111" t="s">
        <v>482</v>
      </c>
      <c r="G207" s="192" t="s">
        <v>164</v>
      </c>
      <c r="Q207" s="134"/>
      <c r="R207" s="135">
        <v>0</v>
      </c>
      <c r="S207" s="135">
        <v>0</v>
      </c>
      <c r="T207" s="135"/>
      <c r="U207" s="135"/>
      <c r="V207" s="199" t="str">
        <f t="shared" si="60"/>
        <v>N/A</v>
      </c>
      <c r="X207" s="134"/>
      <c r="Y207" s="135">
        <v>5.0000000000000001E-3</v>
      </c>
      <c r="Z207" s="135">
        <v>5.0000000000000001E-3</v>
      </c>
      <c r="AA207" s="135">
        <v>0</v>
      </c>
      <c r="AB207" s="135">
        <v>0</v>
      </c>
      <c r="AC207" s="199" t="str">
        <f t="shared" si="61"/>
        <v>N/A</v>
      </c>
    </row>
    <row r="208" spans="2:29" ht="12.75" customHeight="1">
      <c r="D208" s="122" t="s">
        <v>208</v>
      </c>
      <c r="E208" s="52"/>
      <c r="F208" s="42" t="s">
        <v>482</v>
      </c>
      <c r="G208" s="193" t="s">
        <v>164</v>
      </c>
      <c r="Q208" s="130"/>
      <c r="R208" s="131">
        <v>0</v>
      </c>
      <c r="S208" s="131">
        <v>0</v>
      </c>
      <c r="T208" s="131"/>
      <c r="U208" s="131"/>
      <c r="V208" s="200" t="str">
        <f t="shared" si="60"/>
        <v>N/A</v>
      </c>
      <c r="X208" s="130"/>
      <c r="Y208" s="131">
        <v>5.0000000000000001E-3</v>
      </c>
      <c r="Z208" s="131">
        <v>5.0000000000000001E-3</v>
      </c>
      <c r="AA208" s="131">
        <v>0</v>
      </c>
      <c r="AB208" s="131">
        <v>0</v>
      </c>
      <c r="AC208" s="200" t="str">
        <f t="shared" si="61"/>
        <v>N/A</v>
      </c>
    </row>
    <row r="209" spans="2:29" ht="12.75" customHeight="1">
      <c r="D209" s="124" t="s">
        <v>209</v>
      </c>
      <c r="E209" s="59"/>
      <c r="F209" s="125" t="s">
        <v>482</v>
      </c>
      <c r="G209" s="194" t="s">
        <v>164</v>
      </c>
      <c r="Q209" s="132"/>
      <c r="R209" s="133">
        <v>0</v>
      </c>
      <c r="S209" s="133">
        <v>0</v>
      </c>
      <c r="T209" s="133"/>
      <c r="U209" s="133"/>
      <c r="V209" s="201" t="str">
        <f t="shared" si="60"/>
        <v>N/A</v>
      </c>
      <c r="X209" s="132"/>
      <c r="Y209" s="133">
        <v>5.0000000000000001E-3</v>
      </c>
      <c r="Z209" s="133">
        <v>5.0000000000000001E-3</v>
      </c>
      <c r="AA209" s="133">
        <v>0</v>
      </c>
      <c r="AB209" s="133">
        <v>0</v>
      </c>
      <c r="AC209" s="201" t="str">
        <f t="shared" si="61"/>
        <v>N/A</v>
      </c>
    </row>
    <row r="210" spans="2:29" ht="12.75" customHeight="1">
      <c r="D210" s="119" t="s">
        <v>210</v>
      </c>
      <c r="E210" s="49"/>
      <c r="F210" s="111" t="s">
        <v>482</v>
      </c>
      <c r="G210" s="192" t="s">
        <v>164</v>
      </c>
      <c r="Q210" s="134"/>
      <c r="R210" s="135">
        <v>0</v>
      </c>
      <c r="S210" s="135">
        <v>0</v>
      </c>
      <c r="T210" s="135"/>
      <c r="U210" s="135"/>
      <c r="V210" s="199" t="str">
        <f t="shared" si="60"/>
        <v>N/A</v>
      </c>
      <c r="X210" s="134"/>
      <c r="Y210" s="135">
        <v>5.0000000000000001E-3</v>
      </c>
      <c r="Z210" s="135">
        <v>5.0000000000000001E-3</v>
      </c>
      <c r="AA210" s="135">
        <v>0</v>
      </c>
      <c r="AB210" s="135">
        <v>0</v>
      </c>
      <c r="AC210" s="199" t="str">
        <f t="shared" si="61"/>
        <v>N/A</v>
      </c>
    </row>
    <row r="211" spans="2:29" ht="12.75" customHeight="1">
      <c r="D211" s="122" t="s">
        <v>211</v>
      </c>
      <c r="E211" s="52"/>
      <c r="F211" s="42" t="s">
        <v>482</v>
      </c>
      <c r="G211" s="193" t="s">
        <v>164</v>
      </c>
      <c r="Q211" s="130"/>
      <c r="R211" s="131">
        <v>0</v>
      </c>
      <c r="S211" s="131">
        <v>0</v>
      </c>
      <c r="T211" s="131"/>
      <c r="U211" s="131"/>
      <c r="V211" s="200" t="str">
        <f t="shared" si="60"/>
        <v>N/A</v>
      </c>
      <c r="X211" s="130"/>
      <c r="Y211" s="131">
        <v>5.0000000000000001E-3</v>
      </c>
      <c r="Z211" s="131">
        <v>5.0000000000000001E-3</v>
      </c>
      <c r="AA211" s="131">
        <v>0</v>
      </c>
      <c r="AB211" s="131">
        <v>0</v>
      </c>
      <c r="AC211" s="200" t="str">
        <f t="shared" si="61"/>
        <v>N/A</v>
      </c>
    </row>
    <row r="212" spans="2:29" ht="12.75" customHeight="1">
      <c r="D212" s="124" t="s">
        <v>212</v>
      </c>
      <c r="E212" s="59"/>
      <c r="F212" s="125" t="s">
        <v>482</v>
      </c>
      <c r="G212" s="194" t="s">
        <v>164</v>
      </c>
      <c r="Q212" s="132"/>
      <c r="R212" s="133">
        <v>0</v>
      </c>
      <c r="S212" s="133">
        <v>0</v>
      </c>
      <c r="T212" s="133"/>
      <c r="U212" s="133"/>
      <c r="V212" s="201" t="str">
        <f t="shared" si="60"/>
        <v>N/A</v>
      </c>
      <c r="X212" s="132"/>
      <c r="Y212" s="133">
        <v>5.0000000000000001E-3</v>
      </c>
      <c r="Z212" s="133">
        <v>5.0000000000000001E-3</v>
      </c>
      <c r="AA212" s="133">
        <v>0</v>
      </c>
      <c r="AB212" s="133">
        <v>0</v>
      </c>
      <c r="AC212" s="201" t="str">
        <f t="shared" si="61"/>
        <v>N/A</v>
      </c>
    </row>
    <row r="213" spans="2:29" ht="12.75" customHeight="1">
      <c r="D213" s="119" t="s">
        <v>505</v>
      </c>
      <c r="E213" s="49"/>
      <c r="F213" s="111" t="s">
        <v>482</v>
      </c>
      <c r="G213" s="192" t="s">
        <v>164</v>
      </c>
      <c r="Q213" s="134">
        <v>5.7129375284383777E-3</v>
      </c>
      <c r="R213" s="134">
        <v>5.7129375284383777E-3</v>
      </c>
      <c r="S213" s="135">
        <v>-8.1961948515562044E-3</v>
      </c>
      <c r="T213" s="135">
        <v>-2.6592568997506949E-2</v>
      </c>
      <c r="U213" s="135">
        <v>-2.6592568997506949E-2</v>
      </c>
      <c r="V213" s="199" t="str">
        <f t="shared" si="60"/>
        <v>N/A</v>
      </c>
      <c r="X213" s="134">
        <v>1.0749535815498978E-2</v>
      </c>
      <c r="Y213" s="134">
        <v>1.0749535815498978E-2</v>
      </c>
      <c r="Z213" s="135">
        <v>-2.1654085648497579E-2</v>
      </c>
      <c r="AA213" s="135">
        <v>-1.7386892633311835E-2</v>
      </c>
      <c r="AB213" s="135">
        <v>-1.7386892633311835E-2</v>
      </c>
      <c r="AC213" s="199" t="str">
        <f t="shared" si="61"/>
        <v>N/A</v>
      </c>
    </row>
    <row r="214" spans="2:29" ht="12.75" customHeight="1">
      <c r="D214" s="122" t="s">
        <v>506</v>
      </c>
      <c r="E214" s="52"/>
      <c r="F214" s="42" t="s">
        <v>482</v>
      </c>
      <c r="G214" s="193" t="s">
        <v>164</v>
      </c>
      <c r="Q214" s="130">
        <v>-2.7171276079572815E-3</v>
      </c>
      <c r="R214" s="130">
        <v>-2.7171276079572815E-3</v>
      </c>
      <c r="S214" s="131">
        <v>-1.0307120084894761E-3</v>
      </c>
      <c r="T214" s="131">
        <v>-1.9975542007282132E-2</v>
      </c>
      <c r="U214" s="131">
        <v>-1.9975542007282132E-2</v>
      </c>
      <c r="V214" s="200" t="str">
        <f t="shared" si="60"/>
        <v>N/A</v>
      </c>
      <c r="X214" s="130">
        <v>1.045478306325176E-3</v>
      </c>
      <c r="Y214" s="130">
        <v>1.045478306325176E-3</v>
      </c>
      <c r="Z214" s="131">
        <v>-1.118096677777547E-2</v>
      </c>
      <c r="AA214" s="131">
        <v>-1.1539270214841912E-2</v>
      </c>
      <c r="AB214" s="131">
        <v>-1.1539270214841912E-2</v>
      </c>
      <c r="AC214" s="200" t="str">
        <f t="shared" si="61"/>
        <v>N/A</v>
      </c>
    </row>
    <row r="215" spans="2:29" ht="12.75" customHeight="1">
      <c r="D215" s="124" t="s">
        <v>507</v>
      </c>
      <c r="E215" s="59"/>
      <c r="F215" s="125" t="s">
        <v>482</v>
      </c>
      <c r="G215" s="194" t="s">
        <v>164</v>
      </c>
      <c r="Q215" s="132">
        <v>1.0196078431372602E-2</v>
      </c>
      <c r="R215" s="132">
        <v>1.0196078431372602E-2</v>
      </c>
      <c r="S215" s="133">
        <v>1.2183241190797833E-2</v>
      </c>
      <c r="T215" s="133"/>
      <c r="U215" s="133"/>
      <c r="V215" s="201" t="str">
        <f t="shared" si="60"/>
        <v>N/A</v>
      </c>
      <c r="X215" s="132">
        <v>6.4724919093850364E-3</v>
      </c>
      <c r="Y215" s="132">
        <v>6.4724919093850364E-3</v>
      </c>
      <c r="Z215" s="133">
        <v>1.6800044400948622E-3</v>
      </c>
      <c r="AA215" s="133">
        <v>1.3736651252855836E-3</v>
      </c>
      <c r="AB215" s="133">
        <v>1.3736651252855836E-3</v>
      </c>
      <c r="AC215" s="201" t="str">
        <f t="shared" si="61"/>
        <v>N/A</v>
      </c>
    </row>
    <row r="216" spans="2:29" ht="12.75" customHeight="1">
      <c r="D216" s="119" t="s">
        <v>502</v>
      </c>
      <c r="E216" s="49"/>
      <c r="F216" s="42" t="s">
        <v>482</v>
      </c>
      <c r="G216" s="193" t="s">
        <v>164</v>
      </c>
      <c r="Q216" s="134">
        <v>5.5026039107792801E-3</v>
      </c>
      <c r="R216" s="134">
        <v>5.5026039107792801E-3</v>
      </c>
      <c r="S216" s="135">
        <v>-8.1961948515562044E-3</v>
      </c>
      <c r="T216" s="135">
        <v>-2.6592568997506949E-2</v>
      </c>
      <c r="U216" s="135">
        <v>-2.6592568997506949E-2</v>
      </c>
      <c r="V216" s="199" t="str">
        <f t="shared" si="60"/>
        <v>N/A</v>
      </c>
      <c r="X216" s="134">
        <v>1.0749535815498978E-2</v>
      </c>
      <c r="Y216" s="134">
        <v>1.0749535815498978E-2</v>
      </c>
      <c r="Z216" s="135">
        <v>-2.1654085648497579E-2</v>
      </c>
      <c r="AA216" s="135">
        <v>-1.7386892633311835E-2</v>
      </c>
      <c r="AB216" s="135">
        <v>-1.7386892633311835E-2</v>
      </c>
      <c r="AC216" s="199" t="str">
        <f t="shared" si="61"/>
        <v>N/A</v>
      </c>
    </row>
    <row r="217" spans="2:29" ht="12.75" customHeight="1">
      <c r="D217" s="122" t="s">
        <v>503</v>
      </c>
      <c r="E217" s="52"/>
      <c r="F217" s="42" t="s">
        <v>482</v>
      </c>
      <c r="G217" s="193" t="s">
        <v>164</v>
      </c>
      <c r="Q217" s="130">
        <v>-4.6826222684703822E-3</v>
      </c>
      <c r="R217" s="130">
        <v>-4.6826222684703822E-3</v>
      </c>
      <c r="S217" s="131">
        <v>-1.0307120084894761E-3</v>
      </c>
      <c r="T217" s="131">
        <v>-1.9975542007282132E-2</v>
      </c>
      <c r="U217" s="131">
        <v>-1.9975542007282132E-2</v>
      </c>
      <c r="V217" s="200" t="str">
        <f t="shared" si="60"/>
        <v>N/A</v>
      </c>
      <c r="X217" s="130">
        <v>1.045478306325176E-3</v>
      </c>
      <c r="Y217" s="130">
        <v>1.045478306325176E-3</v>
      </c>
      <c r="Z217" s="131">
        <v>-1.118096677777547E-2</v>
      </c>
      <c r="AA217" s="131">
        <v>-1.1539270214841912E-2</v>
      </c>
      <c r="AB217" s="131">
        <v>-1.1539270214841912E-2</v>
      </c>
      <c r="AC217" s="200" t="str">
        <f t="shared" si="61"/>
        <v>N/A</v>
      </c>
    </row>
    <row r="218" spans="2:29" ht="12.75" customHeight="1">
      <c r="D218" s="124" t="s">
        <v>504</v>
      </c>
      <c r="E218" s="59"/>
      <c r="F218" s="125" t="s">
        <v>482</v>
      </c>
      <c r="G218" s="194" t="s">
        <v>164</v>
      </c>
      <c r="Q218" s="132">
        <v>-3.225806451612856E-3</v>
      </c>
      <c r="R218" s="132">
        <v>-3.225806451612856E-3</v>
      </c>
      <c r="S218" s="133">
        <v>1.2183241190797833E-2</v>
      </c>
      <c r="T218" s="133"/>
      <c r="U218" s="133"/>
      <c r="V218" s="201" t="str">
        <f t="shared" si="60"/>
        <v>N/A</v>
      </c>
      <c r="X218" s="132">
        <v>6.4724919093850364E-3</v>
      </c>
      <c r="Y218" s="132">
        <v>6.4724919093850364E-3</v>
      </c>
      <c r="Z218" s="133">
        <v>1.6800044400948622E-3</v>
      </c>
      <c r="AA218" s="133">
        <v>1.3736651252855836E-3</v>
      </c>
      <c r="AB218" s="133">
        <v>1.3736651252855836E-3</v>
      </c>
      <c r="AC218" s="201" t="str">
        <f t="shared" si="61"/>
        <v>N/A</v>
      </c>
    </row>
    <row r="219" spans="2:29" ht="12.75" customHeight="1">
      <c r="D219" s="136" t="s">
        <v>220</v>
      </c>
      <c r="E219" s="137"/>
      <c r="F219" s="140" t="s">
        <v>488</v>
      </c>
      <c r="G219" s="141" t="s">
        <v>164</v>
      </c>
      <c r="Q219" s="138">
        <v>0.01</v>
      </c>
      <c r="R219" s="139">
        <v>0.01</v>
      </c>
      <c r="S219" s="139">
        <v>0.01</v>
      </c>
      <c r="T219" s="139">
        <v>0.01</v>
      </c>
      <c r="U219" s="139">
        <v>0.01</v>
      </c>
      <c r="V219" s="202" t="str">
        <f t="shared" si="60"/>
        <v>N/A</v>
      </c>
      <c r="X219" s="138">
        <v>0.01</v>
      </c>
      <c r="Y219" s="139">
        <v>0.01</v>
      </c>
      <c r="Z219" s="139">
        <v>0.01</v>
      </c>
      <c r="AA219" s="139">
        <v>0.01</v>
      </c>
      <c r="AB219" s="139">
        <v>0.01</v>
      </c>
      <c r="AC219" s="202" t="str">
        <f t="shared" si="61"/>
        <v>N/A</v>
      </c>
    </row>
    <row r="221" spans="2:29" s="7" customFormat="1" ht="15.6">
      <c r="B221" s="7" t="s">
        <v>332</v>
      </c>
    </row>
    <row r="223" spans="2:29" ht="38.700000000000003">
      <c r="C223" s="12" t="s">
        <v>221</v>
      </c>
      <c r="F223" s="55" t="s">
        <v>135</v>
      </c>
      <c r="G223" s="55" t="s">
        <v>136</v>
      </c>
      <c r="I223" s="74" t="s">
        <v>524</v>
      </c>
      <c r="K223" s="258" t="s">
        <v>341</v>
      </c>
      <c r="M223" s="258" t="s">
        <v>342</v>
      </c>
    </row>
    <row r="224" spans="2:29" ht="12.75" customHeight="1">
      <c r="D224" s="14" t="s">
        <v>190</v>
      </c>
      <c r="F224" s="42" t="s">
        <v>481</v>
      </c>
      <c r="G224" s="108" t="s">
        <v>521</v>
      </c>
      <c r="I224" s="350">
        <f>'[2]PTRM input'!J7</f>
        <v>268.24601667949491</v>
      </c>
      <c r="K224" s="180" t="s">
        <v>338</v>
      </c>
      <c r="M224" s="180" t="s">
        <v>190</v>
      </c>
    </row>
    <row r="225" spans="2:13" ht="12.75" customHeight="1">
      <c r="D225" s="14" t="s">
        <v>191</v>
      </c>
      <c r="F225" s="42" t="s">
        <v>481</v>
      </c>
      <c r="G225" s="108" t="s">
        <v>521</v>
      </c>
      <c r="I225" s="350">
        <f>'[2]PTRM input'!J8</f>
        <v>243.79090173519486</v>
      </c>
      <c r="K225" s="180" t="s">
        <v>338</v>
      </c>
      <c r="M225" s="180" t="s">
        <v>191</v>
      </c>
    </row>
    <row r="226" spans="2:13" ht="12.75" customHeight="1">
      <c r="D226" s="14" t="s">
        <v>192</v>
      </c>
      <c r="F226" s="42" t="s">
        <v>481</v>
      </c>
      <c r="G226" s="108" t="s">
        <v>521</v>
      </c>
      <c r="I226" s="350">
        <f>'[2]PTRM input'!J9</f>
        <v>180.53440799429359</v>
      </c>
      <c r="K226" s="180" t="s">
        <v>338</v>
      </c>
      <c r="M226" s="180" t="s">
        <v>192</v>
      </c>
    </row>
    <row r="227" spans="2:13" ht="12.75" customHeight="1">
      <c r="D227" s="14" t="s">
        <v>193</v>
      </c>
      <c r="F227" s="42" t="s">
        <v>481</v>
      </c>
      <c r="G227" s="108" t="s">
        <v>521</v>
      </c>
      <c r="I227" s="350">
        <f>'[2]PTRM input'!J10</f>
        <v>7.6600899739675867</v>
      </c>
      <c r="K227" s="180" t="s">
        <v>338</v>
      </c>
      <c r="M227" s="180" t="s">
        <v>193</v>
      </c>
    </row>
    <row r="228" spans="2:13" ht="12.75" customHeight="1">
      <c r="D228" s="14" t="s">
        <v>185</v>
      </c>
      <c r="F228" s="42" t="s">
        <v>481</v>
      </c>
      <c r="G228" s="108" t="s">
        <v>521</v>
      </c>
      <c r="I228" s="350">
        <f>'[2]PTRM input'!J11</f>
        <v>99.608956662973966</v>
      </c>
      <c r="K228" s="180" t="s">
        <v>338</v>
      </c>
      <c r="M228" s="180" t="s">
        <v>185</v>
      </c>
    </row>
    <row r="229" spans="2:13" ht="12.75" customHeight="1">
      <c r="D229" s="14" t="s">
        <v>194</v>
      </c>
      <c r="F229" s="42" t="s">
        <v>481</v>
      </c>
      <c r="G229" s="108" t="s">
        <v>521</v>
      </c>
      <c r="I229" s="350">
        <f>'[2]PTRM input'!J12</f>
        <v>43.812806131127651</v>
      </c>
      <c r="K229" s="180" t="s">
        <v>338</v>
      </c>
      <c r="M229" s="180" t="s">
        <v>194</v>
      </c>
    </row>
    <row r="230" spans="2:13" ht="12.75" customHeight="1">
      <c r="D230" s="14" t="s">
        <v>195</v>
      </c>
      <c r="F230" s="42" t="s">
        <v>481</v>
      </c>
      <c r="G230" s="108" t="s">
        <v>521</v>
      </c>
      <c r="I230" s="350">
        <f>'[2]PTRM input'!J13</f>
        <v>33.116638375029275</v>
      </c>
      <c r="K230" s="180" t="s">
        <v>330</v>
      </c>
      <c r="M230" s="180" t="s">
        <v>251</v>
      </c>
    </row>
    <row r="231" spans="2:13" ht="12.75" customHeight="1">
      <c r="D231" s="14" t="s">
        <v>196</v>
      </c>
      <c r="F231" s="42" t="s">
        <v>481</v>
      </c>
      <c r="G231" s="108" t="s">
        <v>521</v>
      </c>
      <c r="I231" s="350">
        <f>'[2]PTRM input'!J14</f>
        <v>9.4940274448363784</v>
      </c>
      <c r="K231" s="180" t="s">
        <v>330</v>
      </c>
      <c r="M231" s="180" t="s">
        <v>251</v>
      </c>
    </row>
    <row r="232" spans="2:13" ht="12.75" customHeight="1">
      <c r="D232" s="14" t="s">
        <v>197</v>
      </c>
      <c r="F232" s="42" t="s">
        <v>481</v>
      </c>
      <c r="G232" s="108" t="s">
        <v>521</v>
      </c>
      <c r="I232" s="350">
        <f>'[2]PTRM input'!J15</f>
        <v>15.044125562886432</v>
      </c>
      <c r="K232" s="180" t="s">
        <v>330</v>
      </c>
      <c r="M232" s="180" t="s">
        <v>251</v>
      </c>
    </row>
    <row r="233" spans="2:13" ht="12.75" customHeight="1">
      <c r="D233" s="14" t="s">
        <v>198</v>
      </c>
      <c r="F233" s="42" t="s">
        <v>481</v>
      </c>
      <c r="G233" s="108" t="s">
        <v>521</v>
      </c>
      <c r="I233" s="350">
        <f>'[2]PTRM input'!J16</f>
        <v>46.354917721396681</v>
      </c>
      <c r="K233" s="180" t="s">
        <v>339</v>
      </c>
      <c r="M233" s="180" t="s">
        <v>251</v>
      </c>
    </row>
    <row r="234" spans="2:13" ht="12.75" customHeight="1">
      <c r="D234" s="14" t="s">
        <v>199</v>
      </c>
      <c r="F234" s="42" t="s">
        <v>481</v>
      </c>
      <c r="G234" s="108" t="s">
        <v>521</v>
      </c>
      <c r="I234" s="350">
        <f>'[2]PTRM input'!J17</f>
        <v>10.359004210140208</v>
      </c>
      <c r="K234" s="180" t="s">
        <v>330</v>
      </c>
      <c r="M234" s="180" t="s">
        <v>251</v>
      </c>
    </row>
    <row r="235" spans="2:13" ht="12.75" customHeight="1">
      <c r="D235" s="14" t="s">
        <v>200</v>
      </c>
      <c r="F235" s="42" t="s">
        <v>481</v>
      </c>
      <c r="G235" s="108" t="s">
        <v>521</v>
      </c>
      <c r="I235" s="350">
        <f>'[2]PTRM input'!J18</f>
        <v>14.722412528496614</v>
      </c>
      <c r="K235" s="180" t="s">
        <v>331</v>
      </c>
      <c r="M235" s="180" t="s">
        <v>251</v>
      </c>
    </row>
    <row r="236" spans="2:13" ht="12.75" customHeight="1">
      <c r="D236" s="14" t="s">
        <v>201</v>
      </c>
      <c r="F236" s="42" t="s">
        <v>481</v>
      </c>
      <c r="G236" s="108" t="s">
        <v>521</v>
      </c>
      <c r="I236" s="350">
        <f>'[2]PTRM input'!J19</f>
        <v>0.31276830796123112</v>
      </c>
      <c r="K236" s="180" t="s">
        <v>331</v>
      </c>
      <c r="M236" s="180" t="s">
        <v>251</v>
      </c>
    </row>
    <row r="237" spans="2:13" ht="12.75" customHeight="1">
      <c r="D237" s="14" t="s">
        <v>202</v>
      </c>
      <c r="F237" s="42" t="s">
        <v>481</v>
      </c>
      <c r="G237" s="108" t="s">
        <v>521</v>
      </c>
      <c r="I237" s="351">
        <f>'[2]PTRM input'!J20</f>
        <v>0.44612408791803038</v>
      </c>
      <c r="K237" s="180" t="s">
        <v>331</v>
      </c>
      <c r="M237" s="180" t="s">
        <v>251</v>
      </c>
    </row>
    <row r="238" spans="2:13" ht="12.75" customHeight="1">
      <c r="D238" s="143" t="s">
        <v>523</v>
      </c>
      <c r="E238" s="144"/>
      <c r="F238" s="117" t="s">
        <v>481</v>
      </c>
      <c r="G238" s="145" t="s">
        <v>521</v>
      </c>
      <c r="H238" s="49"/>
      <c r="I238" s="352">
        <f>SUM(I224:I237)</f>
        <v>973.50319741571764</v>
      </c>
    </row>
    <row r="239" spans="2:13" ht="12.75" customHeight="1">
      <c r="J239" s="417" t="s">
        <v>522</v>
      </c>
    </row>
    <row r="240" spans="2:13" s="7" customFormat="1" ht="15.6">
      <c r="B240" s="7" t="s">
        <v>343</v>
      </c>
    </row>
    <row r="242" spans="2:13" ht="12.75" customHeight="1">
      <c r="F242" s="55" t="s">
        <v>135</v>
      </c>
      <c r="G242" s="55" t="s">
        <v>136</v>
      </c>
      <c r="H242" s="30" t="s">
        <v>228</v>
      </c>
      <c r="J242" s="258" t="s">
        <v>342</v>
      </c>
    </row>
    <row r="243" spans="2:13" ht="12.75" customHeight="1">
      <c r="D243" s="14" t="s">
        <v>344</v>
      </c>
      <c r="F243" s="42" t="s">
        <v>488</v>
      </c>
      <c r="G243" s="108" t="s">
        <v>164</v>
      </c>
      <c r="H243" s="112">
        <v>0.5</v>
      </c>
      <c r="J243" s="180" t="s">
        <v>190</v>
      </c>
    </row>
    <row r="244" spans="2:13" ht="12.75" customHeight="1">
      <c r="D244" s="14" t="s">
        <v>345</v>
      </c>
      <c r="F244" s="42" t="s">
        <v>488</v>
      </c>
      <c r="G244" s="108" t="s">
        <v>164</v>
      </c>
      <c r="H244" s="112">
        <v>0.5</v>
      </c>
      <c r="J244" s="180" t="s">
        <v>185</v>
      </c>
    </row>
    <row r="246" spans="2:13" s="7" customFormat="1" ht="15.6">
      <c r="B246" s="7" t="s">
        <v>225</v>
      </c>
    </row>
    <row r="248" spans="2:13" ht="12.75" customHeight="1">
      <c r="F248" s="55" t="s">
        <v>135</v>
      </c>
      <c r="G248" s="55" t="s">
        <v>136</v>
      </c>
      <c r="H248" s="30" t="s">
        <v>228</v>
      </c>
    </row>
    <row r="249" spans="2:13" ht="12.75" customHeight="1">
      <c r="D249" s="14" t="s">
        <v>226</v>
      </c>
      <c r="F249" s="42" t="s">
        <v>153</v>
      </c>
      <c r="G249" s="108" t="s">
        <v>164</v>
      </c>
      <c r="H249" s="112">
        <v>0.74212929398260641</v>
      </c>
    </row>
    <row r="250" spans="2:13" ht="12.75" customHeight="1">
      <c r="D250" s="14" t="s">
        <v>227</v>
      </c>
      <c r="F250" s="42" t="s">
        <v>153</v>
      </c>
      <c r="G250" s="108" t="s">
        <v>164</v>
      </c>
      <c r="H250" s="112">
        <v>0.25787070601739359</v>
      </c>
    </row>
    <row r="252" spans="2:13" s="7" customFormat="1" ht="15.6">
      <c r="B252" s="7" t="s">
        <v>229</v>
      </c>
    </row>
    <row r="254" spans="2:13" ht="25.8">
      <c r="F254" s="55" t="s">
        <v>135</v>
      </c>
      <c r="G254" s="55" t="s">
        <v>136</v>
      </c>
      <c r="I254" s="264" t="str">
        <f>$D111</f>
        <v>Transmission</v>
      </c>
      <c r="J254" s="264" t="str">
        <f>$D112</f>
        <v>Zone Substations</v>
      </c>
      <c r="K254" s="264" t="str">
        <f>$D113</f>
        <v>HV Distribution</v>
      </c>
      <c r="L254" s="264" t="str">
        <f>$D114</f>
        <v>Distribution Substations</v>
      </c>
      <c r="M254" s="264" t="str">
        <f>$D115</f>
        <v>LV Distribution</v>
      </c>
    </row>
    <row r="255" spans="2:13" ht="12.75" customHeight="1">
      <c r="D255" s="14" t="s">
        <v>232</v>
      </c>
      <c r="F255" s="42" t="s">
        <v>488</v>
      </c>
      <c r="G255" s="108" t="s">
        <v>164</v>
      </c>
      <c r="I255" s="118">
        <v>0.02</v>
      </c>
      <c r="J255" s="118">
        <v>0.02</v>
      </c>
      <c r="K255" s="118">
        <v>2.5000000000000001E-2</v>
      </c>
      <c r="L255" s="118">
        <v>2.5000000000000001E-2</v>
      </c>
      <c r="M255" s="118">
        <v>2.5000000000000001E-2</v>
      </c>
    </row>
    <row r="256" spans="2:13" ht="12.75" customHeight="1">
      <c r="D256" s="14" t="s">
        <v>233</v>
      </c>
      <c r="F256" s="42" t="s">
        <v>488</v>
      </c>
      <c r="G256" s="108" t="s">
        <v>164</v>
      </c>
      <c r="H256" s="118">
        <v>0.1</v>
      </c>
    </row>
    <row r="258" spans="1:9" s="7" customFormat="1" ht="15.6">
      <c r="B258" s="7" t="s">
        <v>234</v>
      </c>
    </row>
    <row r="260" spans="1:9" ht="25.8">
      <c r="F260" s="55" t="s">
        <v>135</v>
      </c>
      <c r="G260" s="55" t="s">
        <v>136</v>
      </c>
      <c r="H260" s="416" t="s">
        <v>528</v>
      </c>
      <c r="I260" s="30" t="s">
        <v>238</v>
      </c>
    </row>
    <row r="261" spans="1:9" ht="12.75" customHeight="1">
      <c r="A261" s="399"/>
      <c r="D261" s="14" t="s">
        <v>235</v>
      </c>
      <c r="F261" s="42" t="s">
        <v>481</v>
      </c>
      <c r="G261" s="108" t="s">
        <v>164</v>
      </c>
      <c r="H261" s="142">
        <f>'[2]Revenue summary'!Q30+'[2]Revenue summary'!Q34</f>
        <v>372.71748606093911</v>
      </c>
      <c r="I261" s="492">
        <f>SUM(H261:H262)/SUM(H261:H263)</f>
        <v>0.60575472912138617</v>
      </c>
    </row>
    <row r="262" spans="1:9" ht="12.75" customHeight="1">
      <c r="D262" s="14" t="s">
        <v>236</v>
      </c>
      <c r="F262" s="42" t="s">
        <v>481</v>
      </c>
      <c r="G262" s="108" t="s">
        <v>164</v>
      </c>
      <c r="H262" s="142">
        <f>'[2]Revenue summary'!Q31</f>
        <v>149.11498268395454</v>
      </c>
      <c r="I262" s="492"/>
    </row>
    <row r="263" spans="1:9" ht="12.75" customHeight="1">
      <c r="D263" s="14" t="s">
        <v>237</v>
      </c>
      <c r="F263" s="42" t="s">
        <v>481</v>
      </c>
      <c r="G263" s="108" t="s">
        <v>164</v>
      </c>
      <c r="H263" s="142">
        <f>'[2]Revenue summary'!Q32+'[2]Revenue summary'!Q33</f>
        <v>339.62588008513995</v>
      </c>
      <c r="I263" s="146">
        <f>H263/SUM(H261:H263)</f>
        <v>0.39424527087861377</v>
      </c>
    </row>
    <row r="265" spans="1:9" ht="12.75" customHeight="1">
      <c r="H265" s="417" t="s">
        <v>525</v>
      </c>
    </row>
  </sheetData>
  <mergeCells count="17">
    <mergeCell ref="Q199:V199"/>
    <mergeCell ref="X199:AC199"/>
    <mergeCell ref="AF14:AL14"/>
    <mergeCell ref="I261:I262"/>
    <mergeCell ref="H98:J98"/>
    <mergeCell ref="H109:J109"/>
    <mergeCell ref="J122:N122"/>
    <mergeCell ref="J148:N148"/>
    <mergeCell ref="H14:N14"/>
    <mergeCell ref="P14:V14"/>
    <mergeCell ref="J175:O175"/>
    <mergeCell ref="Q175:V175"/>
    <mergeCell ref="X175:AC175"/>
    <mergeCell ref="X14:AD14"/>
    <mergeCell ref="H50:N50"/>
    <mergeCell ref="P50:V50"/>
    <mergeCell ref="X50:AD50"/>
  </mergeCells>
  <conditionalFormatting sqref="B2">
    <cfRule type="cellIs" dxfId="26" priority="1" operator="notEqual">
      <formula>"No Errors Found"</formula>
    </cfRule>
  </conditionalFormatting>
  <dataValidations count="6">
    <dataValidation type="list" allowBlank="1" showInputMessage="1" showErrorMessage="1" sqref="F9" xr:uid="{00000000-0002-0000-0300-000000000000}">
      <formula1>Tariff_Year_List</formula1>
    </dataValidation>
    <dataValidation type="list" allowBlank="1" showInputMessage="1" showErrorMessage="1" sqref="H177:H194" xr:uid="{00000000-0002-0000-0300-000001000000}">
      <formula1>Cust_Type</formula1>
    </dataValidation>
    <dataValidation type="list" allowBlank="1" showInputMessage="1" showErrorMessage="1" sqref="K224:K237" xr:uid="{00000000-0002-0000-0300-000002000000}">
      <formula1>Sys_Non_Sys_Assets</formula1>
    </dataValidation>
    <dataValidation type="list" allowBlank="1" showInputMessage="1" showErrorMessage="1" sqref="M224:M237 J243:J244" xr:uid="{00000000-0002-0000-0300-000003000000}">
      <formula1>Asset_Class_Allocation</formula1>
    </dataValidation>
    <dataValidation type="list" allowBlank="1" showInputMessage="1" showErrorMessage="1" sqref="AF16:AF22 AF24:AF28 AF30:AF34 AF36:AF40 AF42:AF46" xr:uid="{00000000-0002-0000-0300-000004000000}">
      <formula1>Yes_No</formula1>
    </dataValidation>
    <dataValidation type="list" allowBlank="1" showInputMessage="1" showErrorMessage="1" sqref="P150:P164 P124:P138" xr:uid="{00000000-0002-0000-0300-000005000000}">
      <formula1>$D$143:$D$144</formula1>
    </dataValidation>
  </dataValidations>
  <hyperlinks>
    <hyperlink ref="B4" location="'ToC'!$A$1" tooltip="Go To Table of Contents" display="='ToC'!B1" xr:uid="{00000000-0004-0000-0300-000000000000}"/>
  </hyperlinks>
  <pageMargins left="0.7" right="0.7" top="0.75" bottom="0.75" header="0.3" footer="0.3"/>
  <pageSetup paperSize="9" scale="77"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J4"/>
  <sheetViews>
    <sheetView showGridLines="0" zoomScaleNormal="100" workbookViewId="0">
      <pane xSplit="8" ySplit="8" topLeftCell="I9" activePane="bottomRight" state="frozen"/>
      <selection activeCell="I9" sqref="I9"/>
      <selection pane="topRight" activeCell="I9" sqref="I9"/>
      <selection pane="bottomLeft" activeCell="I9" sqref="I9"/>
      <selection pane="bottomRight" activeCell="I9" sqref="I9"/>
    </sheetView>
  </sheetViews>
  <sheetFormatPr defaultColWidth="9.1171875" defaultRowHeight="12.75" customHeight="1"/>
  <cols>
    <col min="1" max="2" width="2.703125" customWidth="1"/>
    <col min="3" max="3" width="11" bestFit="1" customWidth="1"/>
    <col min="4" max="4" width="14.87890625" customWidth="1"/>
    <col min="5" max="5" width="7.5859375" bestFit="1" customWidth="1"/>
    <col min="6" max="6" width="8.1171875" customWidth="1"/>
    <col min="7" max="7" width="15.703125" customWidth="1"/>
    <col min="8" max="8" width="18.29296875" bestFit="1" customWidth="1"/>
    <col min="9" max="29" width="10.703125" customWidth="1"/>
    <col min="30" max="30" width="20.703125" customWidth="1"/>
    <col min="31" max="35" width="15.703125" customWidth="1"/>
    <col min="36" max="36" width="3.703125" customWidth="1"/>
    <col min="37" max="57" width="10.703125" customWidth="1"/>
    <col min="58" max="58" width="20.703125" customWidth="1"/>
    <col min="59" max="63" width="15.703125" customWidth="1"/>
    <col min="64" max="64" width="3.703125" customWidth="1"/>
    <col min="65" max="85" width="10.703125" customWidth="1"/>
    <col min="86" max="86" width="20.703125" customWidth="1"/>
    <col min="87" max="91" width="15.703125" customWidth="1"/>
  </cols>
  <sheetData>
    <row r="1" spans="2:10" s="107" customFormat="1" ht="20.399999999999999">
      <c r="B1" s="433" t="s">
        <v>451</v>
      </c>
      <c r="H1" s="467" t="s">
        <v>552</v>
      </c>
      <c r="J1" s="466"/>
    </row>
    <row r="2" spans="2:10" s="107" customFormat="1" ht="12.9">
      <c r="B2" s="434" t="str">
        <f>Title_Msg</f>
        <v>No Errors Found</v>
      </c>
    </row>
    <row r="3" spans="2:10" s="107" customFormat="1" ht="12.9">
      <c r="B3" s="435" t="str">
        <f>Model_Name</f>
        <v>Power and Water Corporation (PWC) Network Pricing Model</v>
      </c>
    </row>
    <row r="4" spans="2:10" s="107" customFormat="1" ht="12.9">
      <c r="B4" s="436" t="str">
        <f>TOC!$B$1</f>
        <v>Table of Contents</v>
      </c>
    </row>
  </sheetData>
  <conditionalFormatting sqref="B2">
    <cfRule type="cellIs" dxfId="25" priority="1" operator="notEqual">
      <formula>"No Errors Found"</formula>
    </cfRule>
  </conditionalFormatting>
  <hyperlinks>
    <hyperlink ref="B4" location="'ToC'!$A$1" tooltip="Go To Table of Contents" display="='ToC'!B1" xr:uid="{00000000-0004-0000-0400-000000000000}"/>
  </hyperlinks>
  <pageMargins left="0.7" right="0.7" top="0.75" bottom="0.75" header="0.3" footer="0.3"/>
  <pageSetup paperSize="9" scale="77"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56"/>
  <sheetViews>
    <sheetView showGridLines="0" zoomScaleNormal="100" workbookViewId="0">
      <pane xSplit="5" ySplit="9" topLeftCell="F10" activePane="bottomRight" state="frozen"/>
      <selection activeCell="E4" sqref="E4"/>
      <selection pane="topRight" activeCell="E4" sqref="E4"/>
      <selection pane="bottomLeft" activeCell="E4" sqref="E4"/>
      <selection pane="bottomRight" activeCell="F10" sqref="F10"/>
    </sheetView>
  </sheetViews>
  <sheetFormatPr defaultColWidth="9.1171875" defaultRowHeight="12.75" customHeight="1"/>
  <cols>
    <col min="1" max="3" width="2.703125" style="13" customWidth="1"/>
    <col min="4" max="4" width="20.703125" style="13" customWidth="1"/>
    <col min="5" max="5" width="10.703125" style="13" customWidth="1"/>
    <col min="6" max="12" width="12.703125" style="13" customWidth="1"/>
    <col min="13" max="13" width="2.703125" style="13" customWidth="1"/>
    <col min="14" max="20" width="12.703125" style="13" customWidth="1"/>
    <col min="21" max="21" width="2.703125" style="13" customWidth="1"/>
    <col min="22" max="28" width="12.703125" style="13" customWidth="1"/>
    <col min="29" max="30" width="10.703125" style="13" customWidth="1"/>
    <col min="31" max="31" width="11.703125" style="13" customWidth="1"/>
    <col min="32" max="32" width="11.5859375" style="13" bestFit="1" customWidth="1"/>
    <col min="33" max="33" width="7.5859375" style="13" customWidth="1"/>
    <col min="34" max="34" width="7.41015625" style="13" bestFit="1" customWidth="1"/>
    <col min="35" max="36" width="15.703125" style="13" customWidth="1"/>
    <col min="37" max="16384" width="9.1171875" style="13"/>
  </cols>
  <sheetData>
    <row r="1" spans="2:28" ht="20.399999999999999">
      <c r="B1" s="8" t="s">
        <v>450</v>
      </c>
    </row>
    <row r="2" spans="2:28" ht="11.25" customHeight="1">
      <c r="B2" s="72" t="s">
        <v>565</v>
      </c>
    </row>
    <row r="3" spans="2:28" ht="12.9">
      <c r="B3" s="71" t="s">
        <v>547</v>
      </c>
    </row>
    <row r="4" spans="2:28" ht="12.9">
      <c r="B4" s="337" t="s">
        <v>96</v>
      </c>
      <c r="F4" s="14" t="s">
        <v>287</v>
      </c>
      <c r="H4" s="367" t="s">
        <v>173</v>
      </c>
    </row>
    <row r="6" spans="2:28" ht="12.75" customHeight="1">
      <c r="F6" s="496" t="s">
        <v>172</v>
      </c>
      <c r="G6" s="497" t="e">
        <v>#VALUE!</v>
      </c>
      <c r="H6" s="497" t="e">
        <v>#VALUE!</v>
      </c>
      <c r="I6" s="497" t="e">
        <v>#VALUE!</v>
      </c>
      <c r="J6" s="497" t="e">
        <v>#VALUE!</v>
      </c>
      <c r="K6" s="497" t="e">
        <v>#VALUE!</v>
      </c>
      <c r="L6" s="498" t="e">
        <v>#VALUE!</v>
      </c>
      <c r="N6" s="496" t="s">
        <v>158</v>
      </c>
      <c r="O6" s="497" t="e">
        <v>#VALUE!</v>
      </c>
      <c r="P6" s="497" t="e">
        <v>#VALUE!</v>
      </c>
      <c r="Q6" s="497" t="e">
        <v>#VALUE!</v>
      </c>
      <c r="R6" s="497" t="e">
        <v>#VALUE!</v>
      </c>
      <c r="S6" s="497" t="e">
        <v>#VALUE!</v>
      </c>
      <c r="T6" s="498" t="e">
        <v>#VALUE!</v>
      </c>
      <c r="V6" s="496" t="s">
        <v>159</v>
      </c>
      <c r="W6" s="497"/>
      <c r="X6" s="497"/>
      <c r="Y6" s="497"/>
      <c r="Z6" s="497"/>
      <c r="AA6" s="497"/>
      <c r="AB6" s="498"/>
    </row>
    <row r="7" spans="2:28" ht="12.75" customHeight="1">
      <c r="F7" s="496" t="s">
        <v>290</v>
      </c>
      <c r="G7" s="497"/>
      <c r="H7" s="497"/>
      <c r="I7" s="497"/>
      <c r="J7" s="497"/>
      <c r="K7" s="497"/>
      <c r="L7" s="498"/>
      <c r="N7" s="496" t="s">
        <v>289</v>
      </c>
      <c r="O7" s="497"/>
      <c r="P7" s="497"/>
      <c r="Q7" s="497"/>
      <c r="R7" s="497"/>
      <c r="S7" s="497"/>
      <c r="T7" s="498"/>
      <c r="V7" s="496" t="s">
        <v>288</v>
      </c>
      <c r="W7" s="497"/>
      <c r="X7" s="497"/>
      <c r="Y7" s="497"/>
      <c r="Z7" s="497"/>
      <c r="AA7" s="497"/>
      <c r="AB7" s="498"/>
    </row>
    <row r="8" spans="2:28" ht="12.75" customHeight="1">
      <c r="F8" s="113" t="s">
        <v>490</v>
      </c>
      <c r="G8" s="113" t="s">
        <v>498</v>
      </c>
      <c r="H8" s="113" t="s">
        <v>154</v>
      </c>
      <c r="I8" s="113" t="s">
        <v>155</v>
      </c>
      <c r="J8" s="113" t="s">
        <v>156</v>
      </c>
      <c r="K8" s="113" t="s">
        <v>314</v>
      </c>
      <c r="L8" s="113" t="s">
        <v>181</v>
      </c>
      <c r="N8" s="113" t="s">
        <v>490</v>
      </c>
      <c r="O8" s="113" t="s">
        <v>498</v>
      </c>
      <c r="P8" s="113" t="s">
        <v>154</v>
      </c>
      <c r="Q8" s="113" t="s">
        <v>155</v>
      </c>
      <c r="R8" s="113" t="s">
        <v>156</v>
      </c>
      <c r="S8" s="113" t="s">
        <v>314</v>
      </c>
      <c r="T8" s="113" t="s">
        <v>181</v>
      </c>
      <c r="V8" s="113" t="s">
        <v>490</v>
      </c>
      <c r="W8" s="113" t="s">
        <v>498</v>
      </c>
      <c r="X8" s="113" t="s">
        <v>154</v>
      </c>
      <c r="Y8" s="113" t="s">
        <v>155</v>
      </c>
      <c r="Z8" s="113" t="s">
        <v>156</v>
      </c>
      <c r="AA8" s="113" t="s">
        <v>314</v>
      </c>
      <c r="AB8" s="113" t="s">
        <v>181</v>
      </c>
    </row>
    <row r="9" spans="2:28" ht="12.75" customHeight="1">
      <c r="F9" s="169" t="s">
        <v>251</v>
      </c>
      <c r="G9" s="169" t="s">
        <v>251</v>
      </c>
      <c r="H9" s="169" t="s">
        <v>251</v>
      </c>
      <c r="I9" s="169" t="s">
        <v>251</v>
      </c>
      <c r="J9" s="169" t="s">
        <v>251</v>
      </c>
      <c r="K9" s="35" t="s">
        <v>205</v>
      </c>
      <c r="L9" s="35" t="s">
        <v>181</v>
      </c>
      <c r="N9" s="169" t="s">
        <v>251</v>
      </c>
      <c r="O9" s="169" t="s">
        <v>251</v>
      </c>
      <c r="P9" s="169" t="s">
        <v>251</v>
      </c>
      <c r="Q9" s="169" t="s">
        <v>251</v>
      </c>
      <c r="R9" s="169" t="s">
        <v>251</v>
      </c>
      <c r="S9" s="169" t="s">
        <v>205</v>
      </c>
      <c r="T9" s="169" t="s">
        <v>181</v>
      </c>
      <c r="V9" s="169" t="s">
        <v>251</v>
      </c>
      <c r="W9" s="169" t="s">
        <v>251</v>
      </c>
      <c r="X9" s="169" t="s">
        <v>251</v>
      </c>
      <c r="Y9" s="169" t="s">
        <v>251</v>
      </c>
      <c r="Z9" s="169" t="s">
        <v>251</v>
      </c>
      <c r="AA9" s="169" t="s">
        <v>205</v>
      </c>
      <c r="AB9" s="169" t="s">
        <v>181</v>
      </c>
    </row>
    <row r="11" spans="2:28" s="7" customFormat="1" ht="15.6">
      <c r="B11" s="7" t="s">
        <v>291</v>
      </c>
    </row>
    <row r="13" spans="2:28" s="361" customFormat="1" ht="12.75" customHeight="1">
      <c r="C13" s="404" t="s">
        <v>292</v>
      </c>
      <c r="D13" s="220"/>
      <c r="E13" s="221"/>
      <c r="F13" s="206">
        <v>0</v>
      </c>
      <c r="G13" s="207">
        <v>0</v>
      </c>
      <c r="H13" s="207">
        <v>0</v>
      </c>
      <c r="I13" s="207">
        <v>0</v>
      </c>
      <c r="J13" s="207">
        <v>944133.33333333337</v>
      </c>
      <c r="K13" s="207">
        <v>0</v>
      </c>
      <c r="L13" s="208">
        <v>0</v>
      </c>
      <c r="N13" s="206">
        <v>0</v>
      </c>
      <c r="O13" s="207">
        <v>0</v>
      </c>
      <c r="P13" s="207">
        <v>0</v>
      </c>
      <c r="Q13" s="207">
        <v>0</v>
      </c>
      <c r="R13" s="207">
        <v>947499.52193558542</v>
      </c>
      <c r="S13" s="207">
        <v>0</v>
      </c>
      <c r="T13" s="208">
        <v>0</v>
      </c>
      <c r="V13" s="206">
        <v>0</v>
      </c>
      <c r="W13" s="207">
        <v>0</v>
      </c>
      <c r="X13" s="207">
        <v>0</v>
      </c>
      <c r="Y13" s="207">
        <v>0</v>
      </c>
      <c r="Z13" s="207">
        <v>955334.0018959404</v>
      </c>
      <c r="AA13" s="207">
        <v>0</v>
      </c>
      <c r="AB13" s="208">
        <v>0</v>
      </c>
    </row>
    <row r="14" spans="2:28" s="361" customFormat="1" ht="12.75" customHeight="1">
      <c r="C14" s="400" t="s">
        <v>293</v>
      </c>
      <c r="D14" s="223"/>
      <c r="E14" s="224"/>
      <c r="F14" s="209">
        <v>25928839.583333332</v>
      </c>
      <c r="G14" s="210">
        <v>3728870.4166666665</v>
      </c>
      <c r="H14" s="210">
        <v>0</v>
      </c>
      <c r="I14" s="210">
        <v>0</v>
      </c>
      <c r="J14" s="210">
        <v>473435.41666667</v>
      </c>
      <c r="K14" s="210">
        <v>0</v>
      </c>
      <c r="L14" s="211">
        <v>4714.583333333333</v>
      </c>
      <c r="N14" s="209">
        <v>26047244.676878314</v>
      </c>
      <c r="O14" s="210">
        <v>3742187.5715966695</v>
      </c>
      <c r="P14" s="210">
        <v>0</v>
      </c>
      <c r="Q14" s="210">
        <v>0</v>
      </c>
      <c r="R14" s="210">
        <v>475407.45332795067</v>
      </c>
      <c r="S14" s="210">
        <v>0</v>
      </c>
      <c r="T14" s="211">
        <v>4737.1180110952209</v>
      </c>
      <c r="V14" s="209">
        <v>26172636.581887089</v>
      </c>
      <c r="W14" s="210">
        <v>3776024.006409748</v>
      </c>
      <c r="X14" s="210">
        <v>0</v>
      </c>
      <c r="Y14" s="210">
        <v>0</v>
      </c>
      <c r="Z14" s="210">
        <v>479607.64820978447</v>
      </c>
      <c r="AA14" s="210">
        <v>0</v>
      </c>
      <c r="AB14" s="211">
        <v>4784.80821852193</v>
      </c>
    </row>
    <row r="15" spans="2:28" s="361" customFormat="1" ht="12.75" customHeight="1">
      <c r="C15" s="400" t="s">
        <v>214</v>
      </c>
      <c r="D15" s="223"/>
      <c r="E15" s="224"/>
      <c r="F15" s="209">
        <v>648370552.00658178</v>
      </c>
      <c r="G15" s="210">
        <v>165115403.52975613</v>
      </c>
      <c r="H15" s="210">
        <v>3453756.3589038262</v>
      </c>
      <c r="I15" s="210">
        <v>180899</v>
      </c>
      <c r="J15" s="210">
        <v>944133.33333333337</v>
      </c>
      <c r="K15" s="210">
        <v>0</v>
      </c>
      <c r="L15" s="211">
        <v>0</v>
      </c>
      <c r="N15" s="209">
        <v>643844340.58173037</v>
      </c>
      <c r="O15" s="210">
        <v>164051962.00356889</v>
      </c>
      <c r="P15" s="210">
        <v>3453756.3589038262</v>
      </c>
      <c r="Q15" s="210">
        <v>180899</v>
      </c>
      <c r="R15" s="210">
        <v>947499.52193558542</v>
      </c>
      <c r="S15" s="210">
        <v>0</v>
      </c>
      <c r="T15" s="211">
        <v>0</v>
      </c>
      <c r="V15" s="209">
        <v>630990366.16546369</v>
      </c>
      <c r="W15" s="210">
        <v>160880688.50972158</v>
      </c>
      <c r="X15" s="210">
        <v>3471025.1406983449</v>
      </c>
      <c r="Y15" s="210">
        <v>181803.495</v>
      </c>
      <c r="Z15" s="210">
        <v>955334.0018959404</v>
      </c>
      <c r="AA15" s="210">
        <v>0</v>
      </c>
      <c r="AB15" s="211">
        <v>0</v>
      </c>
    </row>
    <row r="16" spans="2:28" s="361" customFormat="1" ht="12.75" customHeight="1">
      <c r="C16" s="400" t="s">
        <v>215</v>
      </c>
      <c r="D16" s="223"/>
      <c r="E16" s="224"/>
      <c r="F16" s="209"/>
      <c r="G16" s="210"/>
      <c r="H16" s="210">
        <v>0</v>
      </c>
      <c r="I16" s="210">
        <v>0</v>
      </c>
      <c r="J16" s="210">
        <v>310051002.5702439</v>
      </c>
      <c r="K16" s="210">
        <v>0</v>
      </c>
      <c r="L16" s="211">
        <v>4392770</v>
      </c>
      <c r="N16" s="209"/>
      <c r="O16" s="210"/>
      <c r="P16" s="210">
        <v>0</v>
      </c>
      <c r="Q16" s="210">
        <v>0</v>
      </c>
      <c r="R16" s="210">
        <v>307975358.93235266</v>
      </c>
      <c r="S16" s="210">
        <v>0</v>
      </c>
      <c r="T16" s="211">
        <v>4359436.3759640204</v>
      </c>
      <c r="V16" s="209"/>
      <c r="W16" s="210"/>
      <c r="X16" s="210">
        <v>0</v>
      </c>
      <c r="Y16" s="210">
        <v>0</v>
      </c>
      <c r="Z16" s="210">
        <v>301955595.4219861</v>
      </c>
      <c r="AA16" s="210">
        <v>0</v>
      </c>
      <c r="AB16" s="211">
        <v>4268935.7825472131</v>
      </c>
    </row>
    <row r="17" spans="3:28" s="361" customFormat="1" ht="12.75" customHeight="1">
      <c r="C17" s="400" t="s">
        <v>296</v>
      </c>
      <c r="D17" s="223"/>
      <c r="E17" s="224"/>
      <c r="F17" s="209"/>
      <c r="G17" s="210"/>
      <c r="H17" s="210">
        <v>0</v>
      </c>
      <c r="I17" s="210">
        <v>0</v>
      </c>
      <c r="J17" s="210">
        <v>704475.50939100981</v>
      </c>
      <c r="K17" s="210">
        <v>0</v>
      </c>
      <c r="L17" s="211">
        <v>87.315789473684205</v>
      </c>
      <c r="N17" s="209"/>
      <c r="O17" s="210"/>
      <c r="P17" s="210">
        <v>0</v>
      </c>
      <c r="Q17" s="210">
        <v>0</v>
      </c>
      <c r="R17" s="210">
        <v>687002.87009113841</v>
      </c>
      <c r="S17" s="210">
        <v>0</v>
      </c>
      <c r="T17" s="211">
        <v>85.035630066945416</v>
      </c>
      <c r="V17" s="209"/>
      <c r="W17" s="210"/>
      <c r="X17" s="210">
        <v>0</v>
      </c>
      <c r="Y17" s="210">
        <v>0</v>
      </c>
      <c r="Z17" s="210">
        <v>676104.01120383514</v>
      </c>
      <c r="AA17" s="210">
        <v>0</v>
      </c>
      <c r="AB17" s="211">
        <v>83.593319305330937</v>
      </c>
    </row>
    <row r="18" spans="3:28" s="361" customFormat="1" ht="12.75" customHeight="1">
      <c r="C18" s="400" t="s">
        <v>297</v>
      </c>
      <c r="D18" s="223"/>
      <c r="E18" s="224"/>
      <c r="F18" s="209">
        <v>0</v>
      </c>
      <c r="G18" s="210">
        <v>0</v>
      </c>
      <c r="H18" s="210">
        <v>0</v>
      </c>
      <c r="I18" s="210">
        <v>0</v>
      </c>
      <c r="J18" s="210">
        <v>0</v>
      </c>
      <c r="K18" s="210">
        <v>0</v>
      </c>
      <c r="L18" s="211">
        <v>0</v>
      </c>
      <c r="N18" s="209">
        <v>0</v>
      </c>
      <c r="O18" s="210">
        <v>0</v>
      </c>
      <c r="P18" s="210">
        <v>0</v>
      </c>
      <c r="Q18" s="210">
        <v>0</v>
      </c>
      <c r="R18" s="210">
        <v>0</v>
      </c>
      <c r="S18" s="210">
        <v>0</v>
      </c>
      <c r="T18" s="211">
        <v>0</v>
      </c>
      <c r="V18" s="209">
        <v>0</v>
      </c>
      <c r="W18" s="210">
        <v>0</v>
      </c>
      <c r="X18" s="210">
        <v>0</v>
      </c>
      <c r="Y18" s="210">
        <v>0</v>
      </c>
      <c r="Z18" s="210">
        <v>0</v>
      </c>
      <c r="AA18" s="210">
        <v>0</v>
      </c>
      <c r="AB18" s="211">
        <v>0</v>
      </c>
    </row>
    <row r="19" spans="3:28" s="361" customFormat="1" ht="12.75" customHeight="1">
      <c r="C19" s="362" t="s">
        <v>298</v>
      </c>
      <c r="D19" s="363"/>
      <c r="E19" s="405"/>
      <c r="F19" s="212">
        <v>0</v>
      </c>
      <c r="G19" s="213">
        <v>0</v>
      </c>
      <c r="H19" s="213">
        <v>0</v>
      </c>
      <c r="I19" s="213">
        <v>0</v>
      </c>
      <c r="J19" s="213">
        <v>0</v>
      </c>
      <c r="K19" s="213">
        <v>0</v>
      </c>
      <c r="L19" s="214">
        <v>0</v>
      </c>
      <c r="N19" s="212">
        <v>0</v>
      </c>
      <c r="O19" s="213">
        <v>0</v>
      </c>
      <c r="P19" s="213">
        <v>0</v>
      </c>
      <c r="Q19" s="213">
        <v>0</v>
      </c>
      <c r="R19" s="213">
        <v>0</v>
      </c>
      <c r="S19" s="213">
        <v>0</v>
      </c>
      <c r="T19" s="214">
        <v>0</v>
      </c>
      <c r="V19" s="212">
        <v>0</v>
      </c>
      <c r="W19" s="213">
        <v>0</v>
      </c>
      <c r="X19" s="213">
        <v>0</v>
      </c>
      <c r="Y19" s="213">
        <v>0</v>
      </c>
      <c r="Z19" s="213">
        <v>0</v>
      </c>
      <c r="AA19" s="213">
        <v>0</v>
      </c>
      <c r="AB19" s="214">
        <v>0</v>
      </c>
    </row>
    <row r="20" spans="3:28" ht="12.75" customHeight="1">
      <c r="C20" s="195" t="s">
        <v>138</v>
      </c>
      <c r="D20" s="49"/>
      <c r="E20" s="50"/>
      <c r="F20" s="48"/>
      <c r="G20" s="49"/>
      <c r="H20" s="49"/>
      <c r="I20" s="49"/>
      <c r="J20" s="49"/>
      <c r="K20" s="49"/>
      <c r="L20" s="50"/>
      <c r="N20" s="219"/>
      <c r="O20" s="220"/>
      <c r="P20" s="220"/>
      <c r="Q20" s="220"/>
      <c r="R20" s="220"/>
      <c r="S20" s="220"/>
      <c r="T20" s="221"/>
      <c r="V20" s="219"/>
      <c r="W20" s="220"/>
      <c r="X20" s="220"/>
      <c r="Y20" s="220"/>
      <c r="Z20" s="220"/>
      <c r="AA20" s="220"/>
      <c r="AB20" s="221"/>
    </row>
    <row r="21" spans="3:28" ht="12.75" customHeight="1">
      <c r="C21" s="51"/>
      <c r="D21" s="217" t="s">
        <v>139</v>
      </c>
      <c r="E21" s="53"/>
      <c r="F21" s="209">
        <v>0</v>
      </c>
      <c r="G21" s="210">
        <v>0</v>
      </c>
      <c r="H21" s="210">
        <v>0</v>
      </c>
      <c r="I21" s="210">
        <v>0</v>
      </c>
      <c r="J21" s="210">
        <v>0</v>
      </c>
      <c r="K21" s="210">
        <v>0</v>
      </c>
      <c r="L21" s="211">
        <v>0</v>
      </c>
      <c r="N21" s="209">
        <v>0</v>
      </c>
      <c r="O21" s="210">
        <v>0</v>
      </c>
      <c r="P21" s="210">
        <v>0</v>
      </c>
      <c r="Q21" s="210">
        <v>0</v>
      </c>
      <c r="R21" s="210">
        <v>0</v>
      </c>
      <c r="S21" s="210">
        <v>0</v>
      </c>
      <c r="T21" s="211">
        <v>0</v>
      </c>
      <c r="V21" s="209">
        <v>0</v>
      </c>
      <c r="W21" s="210">
        <v>0</v>
      </c>
      <c r="X21" s="210">
        <v>0</v>
      </c>
      <c r="Y21" s="210">
        <v>0</v>
      </c>
      <c r="Z21" s="210">
        <v>0</v>
      </c>
      <c r="AA21" s="210">
        <v>0</v>
      </c>
      <c r="AB21" s="211">
        <v>0</v>
      </c>
    </row>
    <row r="22" spans="3:28" ht="12.75" customHeight="1">
      <c r="C22" s="51"/>
      <c r="D22" s="217" t="s">
        <v>140</v>
      </c>
      <c r="E22" s="53"/>
      <c r="F22" s="209">
        <v>0</v>
      </c>
      <c r="G22" s="210">
        <v>0</v>
      </c>
      <c r="H22" s="210">
        <v>0</v>
      </c>
      <c r="I22" s="210">
        <v>0</v>
      </c>
      <c r="J22" s="210">
        <v>0</v>
      </c>
      <c r="K22" s="210">
        <v>0</v>
      </c>
      <c r="L22" s="211">
        <v>0</v>
      </c>
      <c r="N22" s="209">
        <v>0</v>
      </c>
      <c r="O22" s="210">
        <v>0</v>
      </c>
      <c r="P22" s="210">
        <v>0</v>
      </c>
      <c r="Q22" s="210">
        <v>0</v>
      </c>
      <c r="R22" s="210">
        <v>0</v>
      </c>
      <c r="S22" s="210">
        <v>0</v>
      </c>
      <c r="T22" s="211">
        <v>0</v>
      </c>
      <c r="V22" s="209">
        <v>0</v>
      </c>
      <c r="W22" s="210">
        <v>0</v>
      </c>
      <c r="X22" s="210">
        <v>0</v>
      </c>
      <c r="Y22" s="210">
        <v>0</v>
      </c>
      <c r="Z22" s="210">
        <v>0</v>
      </c>
      <c r="AA22" s="210">
        <v>0</v>
      </c>
      <c r="AB22" s="211">
        <v>0</v>
      </c>
    </row>
    <row r="23" spans="3:28" ht="12.75" customHeight="1">
      <c r="C23" s="51"/>
      <c r="D23" s="217" t="s">
        <v>141</v>
      </c>
      <c r="E23" s="53"/>
      <c r="F23" s="209">
        <v>0</v>
      </c>
      <c r="G23" s="210">
        <v>0</v>
      </c>
      <c r="H23" s="210">
        <v>0</v>
      </c>
      <c r="I23" s="210">
        <v>0</v>
      </c>
      <c r="J23" s="210">
        <v>0</v>
      </c>
      <c r="K23" s="210">
        <v>0</v>
      </c>
      <c r="L23" s="211">
        <v>0</v>
      </c>
      <c r="N23" s="209">
        <v>0</v>
      </c>
      <c r="O23" s="210">
        <v>0</v>
      </c>
      <c r="P23" s="210">
        <v>0</v>
      </c>
      <c r="Q23" s="210">
        <v>0</v>
      </c>
      <c r="R23" s="210">
        <v>0</v>
      </c>
      <c r="S23" s="210">
        <v>0</v>
      </c>
      <c r="T23" s="211">
        <v>0</v>
      </c>
      <c r="V23" s="209">
        <v>0</v>
      </c>
      <c r="W23" s="210">
        <v>0</v>
      </c>
      <c r="X23" s="210">
        <v>0</v>
      </c>
      <c r="Y23" s="210">
        <v>0</v>
      </c>
      <c r="Z23" s="210">
        <v>0</v>
      </c>
      <c r="AA23" s="210">
        <v>0</v>
      </c>
      <c r="AB23" s="211">
        <v>0</v>
      </c>
    </row>
    <row r="24" spans="3:28" ht="12.75" customHeight="1">
      <c r="C24" s="51"/>
      <c r="D24" s="217" t="s">
        <v>142</v>
      </c>
      <c r="E24" s="53"/>
      <c r="F24" s="209">
        <v>0</v>
      </c>
      <c r="G24" s="210">
        <v>0</v>
      </c>
      <c r="H24" s="210">
        <v>0</v>
      </c>
      <c r="I24" s="210">
        <v>0</v>
      </c>
      <c r="J24" s="210">
        <v>0</v>
      </c>
      <c r="K24" s="210">
        <v>0</v>
      </c>
      <c r="L24" s="211">
        <v>0</v>
      </c>
      <c r="N24" s="209">
        <v>0</v>
      </c>
      <c r="O24" s="210">
        <v>0</v>
      </c>
      <c r="P24" s="210">
        <v>0</v>
      </c>
      <c r="Q24" s="210">
        <v>0</v>
      </c>
      <c r="R24" s="210">
        <v>0</v>
      </c>
      <c r="S24" s="210">
        <v>0</v>
      </c>
      <c r="T24" s="211">
        <v>0</v>
      </c>
      <c r="V24" s="209">
        <v>0</v>
      </c>
      <c r="W24" s="210">
        <v>0</v>
      </c>
      <c r="X24" s="210">
        <v>0</v>
      </c>
      <c r="Y24" s="210">
        <v>0</v>
      </c>
      <c r="Z24" s="210">
        <v>0</v>
      </c>
      <c r="AA24" s="210">
        <v>0</v>
      </c>
      <c r="AB24" s="211">
        <v>0</v>
      </c>
    </row>
    <row r="25" spans="3:28" ht="12.75" customHeight="1">
      <c r="C25" s="58"/>
      <c r="D25" s="27" t="s">
        <v>143</v>
      </c>
      <c r="E25" s="60"/>
      <c r="F25" s="212">
        <v>0</v>
      </c>
      <c r="G25" s="213">
        <v>0</v>
      </c>
      <c r="H25" s="213">
        <v>0</v>
      </c>
      <c r="I25" s="213">
        <v>0</v>
      </c>
      <c r="J25" s="213">
        <v>0</v>
      </c>
      <c r="K25" s="213">
        <v>0</v>
      </c>
      <c r="L25" s="214">
        <v>0</v>
      </c>
      <c r="N25" s="212">
        <v>0</v>
      </c>
      <c r="O25" s="213">
        <v>0</v>
      </c>
      <c r="P25" s="213">
        <v>0</v>
      </c>
      <c r="Q25" s="213">
        <v>0</v>
      </c>
      <c r="R25" s="213">
        <v>0</v>
      </c>
      <c r="S25" s="213">
        <v>0</v>
      </c>
      <c r="T25" s="214">
        <v>0</v>
      </c>
      <c r="V25" s="212">
        <v>0</v>
      </c>
      <c r="W25" s="213">
        <v>0</v>
      </c>
      <c r="X25" s="213">
        <v>0</v>
      </c>
      <c r="Y25" s="213">
        <v>0</v>
      </c>
      <c r="Z25" s="213">
        <v>0</v>
      </c>
      <c r="AA25" s="213">
        <v>0</v>
      </c>
      <c r="AB25" s="214">
        <v>0</v>
      </c>
    </row>
    <row r="26" spans="3:28" ht="12.75" customHeight="1">
      <c r="C26" s="195" t="s">
        <v>144</v>
      </c>
      <c r="D26" s="49"/>
      <c r="E26" s="50"/>
      <c r="F26" s="48"/>
      <c r="G26" s="49"/>
      <c r="H26" s="49"/>
      <c r="I26" s="49"/>
      <c r="J26" s="49"/>
      <c r="K26" s="49"/>
      <c r="L26" s="50"/>
      <c r="N26" s="219"/>
      <c r="O26" s="220"/>
      <c r="P26" s="220"/>
      <c r="Q26" s="220"/>
      <c r="R26" s="220"/>
      <c r="S26" s="220"/>
      <c r="T26" s="221"/>
      <c r="V26" s="219"/>
      <c r="W26" s="220"/>
      <c r="X26" s="220"/>
      <c r="Y26" s="220"/>
      <c r="Z26" s="220"/>
      <c r="AA26" s="220"/>
      <c r="AB26" s="221"/>
    </row>
    <row r="27" spans="3:28" ht="12.75" customHeight="1">
      <c r="C27" s="51"/>
      <c r="D27" s="217" t="s">
        <v>139</v>
      </c>
      <c r="E27" s="53"/>
      <c r="F27" s="209">
        <v>0</v>
      </c>
      <c r="G27" s="210">
        <v>0</v>
      </c>
      <c r="H27" s="210">
        <v>0</v>
      </c>
      <c r="I27" s="210">
        <v>0</v>
      </c>
      <c r="J27" s="210">
        <v>0</v>
      </c>
      <c r="K27" s="210">
        <v>0</v>
      </c>
      <c r="L27" s="211">
        <v>0</v>
      </c>
      <c r="N27" s="209">
        <v>0</v>
      </c>
      <c r="O27" s="210">
        <v>0</v>
      </c>
      <c r="P27" s="210">
        <v>0</v>
      </c>
      <c r="Q27" s="210">
        <v>0</v>
      </c>
      <c r="R27" s="210">
        <v>0</v>
      </c>
      <c r="S27" s="210">
        <v>0</v>
      </c>
      <c r="T27" s="211">
        <v>0</v>
      </c>
      <c r="V27" s="209">
        <v>0</v>
      </c>
      <c r="W27" s="210">
        <v>0</v>
      </c>
      <c r="X27" s="210">
        <v>0</v>
      </c>
      <c r="Y27" s="210">
        <v>0</v>
      </c>
      <c r="Z27" s="210">
        <v>0</v>
      </c>
      <c r="AA27" s="210">
        <v>0</v>
      </c>
      <c r="AB27" s="211">
        <v>0</v>
      </c>
    </row>
    <row r="28" spans="3:28" ht="12.75" customHeight="1">
      <c r="C28" s="51"/>
      <c r="D28" s="217" t="s">
        <v>140</v>
      </c>
      <c r="E28" s="53"/>
      <c r="F28" s="209">
        <v>0</v>
      </c>
      <c r="G28" s="210">
        <v>0</v>
      </c>
      <c r="H28" s="210">
        <v>0</v>
      </c>
      <c r="I28" s="210">
        <v>0</v>
      </c>
      <c r="J28" s="210">
        <v>0</v>
      </c>
      <c r="K28" s="210">
        <v>0</v>
      </c>
      <c r="L28" s="211">
        <v>0</v>
      </c>
      <c r="N28" s="209">
        <v>0</v>
      </c>
      <c r="O28" s="210">
        <v>0</v>
      </c>
      <c r="P28" s="210">
        <v>0</v>
      </c>
      <c r="Q28" s="210">
        <v>0</v>
      </c>
      <c r="R28" s="210">
        <v>0</v>
      </c>
      <c r="S28" s="210">
        <v>0</v>
      </c>
      <c r="T28" s="211">
        <v>0</v>
      </c>
      <c r="V28" s="209">
        <v>0</v>
      </c>
      <c r="W28" s="210">
        <v>0</v>
      </c>
      <c r="X28" s="210">
        <v>0</v>
      </c>
      <c r="Y28" s="210">
        <v>0</v>
      </c>
      <c r="Z28" s="210">
        <v>0</v>
      </c>
      <c r="AA28" s="210">
        <v>0</v>
      </c>
      <c r="AB28" s="211">
        <v>0</v>
      </c>
    </row>
    <row r="29" spans="3:28" ht="12.75" customHeight="1">
      <c r="C29" s="51"/>
      <c r="D29" s="217" t="s">
        <v>141</v>
      </c>
      <c r="E29" s="53"/>
      <c r="F29" s="209">
        <v>0</v>
      </c>
      <c r="G29" s="210">
        <v>0</v>
      </c>
      <c r="H29" s="210">
        <v>0</v>
      </c>
      <c r="I29" s="210">
        <v>0</v>
      </c>
      <c r="J29" s="210">
        <v>0</v>
      </c>
      <c r="K29" s="210">
        <v>0</v>
      </c>
      <c r="L29" s="211">
        <v>0</v>
      </c>
      <c r="N29" s="209">
        <v>0</v>
      </c>
      <c r="O29" s="210">
        <v>0</v>
      </c>
      <c r="P29" s="210">
        <v>0</v>
      </c>
      <c r="Q29" s="210">
        <v>0</v>
      </c>
      <c r="R29" s="210">
        <v>0</v>
      </c>
      <c r="S29" s="210">
        <v>0</v>
      </c>
      <c r="T29" s="211">
        <v>0</v>
      </c>
      <c r="V29" s="209">
        <v>0</v>
      </c>
      <c r="W29" s="210">
        <v>0</v>
      </c>
      <c r="X29" s="210">
        <v>0</v>
      </c>
      <c r="Y29" s="210">
        <v>0</v>
      </c>
      <c r="Z29" s="210">
        <v>0</v>
      </c>
      <c r="AA29" s="210">
        <v>0</v>
      </c>
      <c r="AB29" s="211">
        <v>0</v>
      </c>
    </row>
    <row r="30" spans="3:28" ht="12.75" customHeight="1">
      <c r="C30" s="51"/>
      <c r="D30" s="217" t="s">
        <v>142</v>
      </c>
      <c r="E30" s="53"/>
      <c r="F30" s="209">
        <v>0</v>
      </c>
      <c r="G30" s="210">
        <v>0</v>
      </c>
      <c r="H30" s="210">
        <v>0</v>
      </c>
      <c r="I30" s="210">
        <v>0</v>
      </c>
      <c r="J30" s="210">
        <v>0</v>
      </c>
      <c r="K30" s="210">
        <v>0</v>
      </c>
      <c r="L30" s="211">
        <v>0</v>
      </c>
      <c r="N30" s="209">
        <v>0</v>
      </c>
      <c r="O30" s="210">
        <v>0</v>
      </c>
      <c r="P30" s="210">
        <v>0</v>
      </c>
      <c r="Q30" s="210">
        <v>0</v>
      </c>
      <c r="R30" s="210">
        <v>0</v>
      </c>
      <c r="S30" s="210">
        <v>0</v>
      </c>
      <c r="T30" s="211">
        <v>0</v>
      </c>
      <c r="V30" s="209">
        <v>0</v>
      </c>
      <c r="W30" s="210">
        <v>0</v>
      </c>
      <c r="X30" s="210">
        <v>0</v>
      </c>
      <c r="Y30" s="210">
        <v>0</v>
      </c>
      <c r="Z30" s="210">
        <v>0</v>
      </c>
      <c r="AA30" s="210">
        <v>0</v>
      </c>
      <c r="AB30" s="211">
        <v>0</v>
      </c>
    </row>
    <row r="31" spans="3:28" ht="12.75" customHeight="1">
      <c r="C31" s="58"/>
      <c r="D31" s="27" t="s">
        <v>143</v>
      </c>
      <c r="E31" s="60"/>
      <c r="F31" s="212">
        <v>0</v>
      </c>
      <c r="G31" s="213">
        <v>0</v>
      </c>
      <c r="H31" s="213">
        <v>0</v>
      </c>
      <c r="I31" s="213">
        <v>0</v>
      </c>
      <c r="J31" s="213">
        <v>0</v>
      </c>
      <c r="K31" s="213">
        <v>0</v>
      </c>
      <c r="L31" s="214">
        <v>0</v>
      </c>
      <c r="N31" s="212">
        <v>0</v>
      </c>
      <c r="O31" s="213">
        <v>0</v>
      </c>
      <c r="P31" s="213">
        <v>0</v>
      </c>
      <c r="Q31" s="213">
        <v>0</v>
      </c>
      <c r="R31" s="213">
        <v>0</v>
      </c>
      <c r="S31" s="213">
        <v>0</v>
      </c>
      <c r="T31" s="214">
        <v>0</v>
      </c>
      <c r="V31" s="212">
        <v>0</v>
      </c>
      <c r="W31" s="213">
        <v>0</v>
      </c>
      <c r="X31" s="213">
        <v>0</v>
      </c>
      <c r="Y31" s="213">
        <v>0</v>
      </c>
      <c r="Z31" s="213">
        <v>0</v>
      </c>
      <c r="AA31" s="213">
        <v>0</v>
      </c>
      <c r="AB31" s="214">
        <v>0</v>
      </c>
    </row>
    <row r="32" spans="3:28" ht="12.75" customHeight="1">
      <c r="C32" s="195" t="s">
        <v>145</v>
      </c>
      <c r="D32" s="49"/>
      <c r="E32" s="50"/>
      <c r="F32" s="48"/>
      <c r="G32" s="49"/>
      <c r="H32" s="49"/>
      <c r="I32" s="49"/>
      <c r="J32" s="49"/>
      <c r="K32" s="49"/>
      <c r="L32" s="50"/>
      <c r="N32" s="219"/>
      <c r="O32" s="220"/>
      <c r="P32" s="220"/>
      <c r="Q32" s="220"/>
      <c r="R32" s="220"/>
      <c r="S32" s="220"/>
      <c r="T32" s="221"/>
      <c r="V32" s="219"/>
      <c r="W32" s="220"/>
      <c r="X32" s="220"/>
      <c r="Y32" s="220"/>
      <c r="Z32" s="220"/>
      <c r="AA32" s="220"/>
      <c r="AB32" s="221"/>
    </row>
    <row r="33" spans="3:29" ht="12.75" customHeight="1">
      <c r="C33" s="51"/>
      <c r="D33" s="217" t="s">
        <v>139</v>
      </c>
      <c r="E33" s="53"/>
      <c r="F33" s="209">
        <v>0</v>
      </c>
      <c r="G33" s="210">
        <v>0</v>
      </c>
      <c r="H33" s="210">
        <v>0</v>
      </c>
      <c r="I33" s="210">
        <v>0</v>
      </c>
      <c r="J33" s="210">
        <v>0</v>
      </c>
      <c r="K33" s="210">
        <v>0</v>
      </c>
      <c r="L33" s="211">
        <v>0</v>
      </c>
      <c r="N33" s="209">
        <v>0</v>
      </c>
      <c r="O33" s="210">
        <v>0</v>
      </c>
      <c r="P33" s="210">
        <v>0</v>
      </c>
      <c r="Q33" s="210">
        <v>0</v>
      </c>
      <c r="R33" s="210">
        <v>0</v>
      </c>
      <c r="S33" s="210">
        <v>0</v>
      </c>
      <c r="T33" s="211">
        <v>0</v>
      </c>
      <c r="V33" s="209">
        <v>0</v>
      </c>
      <c r="W33" s="210">
        <v>0</v>
      </c>
      <c r="X33" s="210">
        <v>0</v>
      </c>
      <c r="Y33" s="210">
        <v>0</v>
      </c>
      <c r="Z33" s="210">
        <v>0</v>
      </c>
      <c r="AA33" s="210">
        <v>0</v>
      </c>
      <c r="AB33" s="211">
        <v>0</v>
      </c>
      <c r="AC33" s="390"/>
    </row>
    <row r="34" spans="3:29" ht="12.75" customHeight="1">
      <c r="C34" s="51"/>
      <c r="D34" s="217" t="s">
        <v>140</v>
      </c>
      <c r="E34" s="53"/>
      <c r="F34" s="209">
        <v>0</v>
      </c>
      <c r="G34" s="210">
        <v>0</v>
      </c>
      <c r="H34" s="210">
        <v>0</v>
      </c>
      <c r="I34" s="210">
        <v>0</v>
      </c>
      <c r="J34" s="210">
        <v>0</v>
      </c>
      <c r="K34" s="210">
        <v>0</v>
      </c>
      <c r="L34" s="211">
        <v>0</v>
      </c>
      <c r="N34" s="209">
        <v>0</v>
      </c>
      <c r="O34" s="210">
        <v>0</v>
      </c>
      <c r="P34" s="210">
        <v>0</v>
      </c>
      <c r="Q34" s="210">
        <v>0</v>
      </c>
      <c r="R34" s="210">
        <v>0</v>
      </c>
      <c r="S34" s="210">
        <v>0</v>
      </c>
      <c r="T34" s="211">
        <v>0</v>
      </c>
      <c r="V34" s="209">
        <v>0</v>
      </c>
      <c r="W34" s="210">
        <v>0</v>
      </c>
      <c r="X34" s="210">
        <v>0</v>
      </c>
      <c r="Y34" s="210">
        <v>0</v>
      </c>
      <c r="Z34" s="210">
        <v>0</v>
      </c>
      <c r="AA34" s="210">
        <v>0</v>
      </c>
      <c r="AB34" s="211">
        <v>0</v>
      </c>
    </row>
    <row r="35" spans="3:29" ht="12.75" customHeight="1">
      <c r="C35" s="51"/>
      <c r="D35" s="217" t="s">
        <v>141</v>
      </c>
      <c r="E35" s="53"/>
      <c r="F35" s="209">
        <v>0</v>
      </c>
      <c r="G35" s="210">
        <v>0</v>
      </c>
      <c r="H35" s="210">
        <v>0</v>
      </c>
      <c r="I35" s="210">
        <v>0</v>
      </c>
      <c r="J35" s="210">
        <v>0</v>
      </c>
      <c r="K35" s="210">
        <v>0</v>
      </c>
      <c r="L35" s="211">
        <v>0</v>
      </c>
      <c r="N35" s="209">
        <v>0</v>
      </c>
      <c r="O35" s="210">
        <v>0</v>
      </c>
      <c r="P35" s="210">
        <v>0</v>
      </c>
      <c r="Q35" s="210">
        <v>0</v>
      </c>
      <c r="R35" s="210">
        <v>0</v>
      </c>
      <c r="S35" s="210">
        <v>0</v>
      </c>
      <c r="T35" s="211">
        <v>0</v>
      </c>
      <c r="V35" s="209">
        <v>0</v>
      </c>
      <c r="W35" s="210">
        <v>0</v>
      </c>
      <c r="X35" s="210">
        <v>0</v>
      </c>
      <c r="Y35" s="210">
        <v>0</v>
      </c>
      <c r="Z35" s="210">
        <v>0</v>
      </c>
      <c r="AA35" s="210">
        <v>0</v>
      </c>
      <c r="AB35" s="211">
        <v>0</v>
      </c>
    </row>
    <row r="36" spans="3:29" ht="12.75" customHeight="1">
      <c r="C36" s="51"/>
      <c r="D36" s="217" t="s">
        <v>142</v>
      </c>
      <c r="E36" s="53"/>
      <c r="F36" s="209">
        <v>0</v>
      </c>
      <c r="G36" s="210">
        <v>0</v>
      </c>
      <c r="H36" s="210">
        <v>0</v>
      </c>
      <c r="I36" s="210">
        <v>0</v>
      </c>
      <c r="J36" s="210">
        <v>0</v>
      </c>
      <c r="K36" s="210">
        <v>0</v>
      </c>
      <c r="L36" s="211">
        <v>0</v>
      </c>
      <c r="N36" s="209">
        <v>0</v>
      </c>
      <c r="O36" s="210">
        <v>0</v>
      </c>
      <c r="P36" s="210">
        <v>0</v>
      </c>
      <c r="Q36" s="210">
        <v>0</v>
      </c>
      <c r="R36" s="210">
        <v>0</v>
      </c>
      <c r="S36" s="210">
        <v>0</v>
      </c>
      <c r="T36" s="211">
        <v>0</v>
      </c>
      <c r="V36" s="209">
        <v>0</v>
      </c>
      <c r="W36" s="210">
        <v>0</v>
      </c>
      <c r="X36" s="210">
        <v>0</v>
      </c>
      <c r="Y36" s="210">
        <v>0</v>
      </c>
      <c r="Z36" s="210">
        <v>0</v>
      </c>
      <c r="AA36" s="210">
        <v>0</v>
      </c>
      <c r="AB36" s="211">
        <v>0</v>
      </c>
    </row>
    <row r="37" spans="3:29" ht="12.75" customHeight="1">
      <c r="C37" s="58"/>
      <c r="D37" s="27" t="s">
        <v>143</v>
      </c>
      <c r="E37" s="60"/>
      <c r="F37" s="212">
        <v>0</v>
      </c>
      <c r="G37" s="213">
        <v>0</v>
      </c>
      <c r="H37" s="213">
        <v>0</v>
      </c>
      <c r="I37" s="213">
        <v>0</v>
      </c>
      <c r="J37" s="213">
        <v>0</v>
      </c>
      <c r="K37" s="213">
        <v>0</v>
      </c>
      <c r="L37" s="214">
        <v>0</v>
      </c>
      <c r="N37" s="212">
        <v>0</v>
      </c>
      <c r="O37" s="213">
        <v>0</v>
      </c>
      <c r="P37" s="213">
        <v>0</v>
      </c>
      <c r="Q37" s="213">
        <v>0</v>
      </c>
      <c r="R37" s="213">
        <v>0</v>
      </c>
      <c r="S37" s="213">
        <v>0</v>
      </c>
      <c r="T37" s="214">
        <v>0</v>
      </c>
      <c r="V37" s="212">
        <v>0</v>
      </c>
      <c r="W37" s="213">
        <v>0</v>
      </c>
      <c r="X37" s="213">
        <v>0</v>
      </c>
      <c r="Y37" s="213">
        <v>0</v>
      </c>
      <c r="Z37" s="213">
        <v>0</v>
      </c>
      <c r="AA37" s="213">
        <v>0</v>
      </c>
      <c r="AB37" s="214">
        <v>0</v>
      </c>
    </row>
    <row r="38" spans="3:29" ht="12.75" customHeight="1">
      <c r="C38" s="195" t="s">
        <v>146</v>
      </c>
      <c r="D38" s="49"/>
      <c r="E38" s="50"/>
      <c r="F38" s="48"/>
      <c r="G38" s="49"/>
      <c r="H38" s="49"/>
      <c r="I38" s="49"/>
      <c r="J38" s="49"/>
      <c r="K38" s="49"/>
      <c r="L38" s="50"/>
      <c r="N38" s="219"/>
      <c r="O38" s="220"/>
      <c r="P38" s="220"/>
      <c r="Q38" s="220"/>
      <c r="R38" s="220"/>
      <c r="S38" s="220"/>
      <c r="T38" s="221"/>
      <c r="V38" s="219"/>
      <c r="W38" s="220"/>
      <c r="X38" s="220"/>
      <c r="Y38" s="220"/>
      <c r="Z38" s="220"/>
      <c r="AA38" s="220"/>
      <c r="AB38" s="221"/>
    </row>
    <row r="39" spans="3:29" ht="12.75" customHeight="1">
      <c r="C39" s="51"/>
      <c r="D39" s="217" t="s">
        <v>139</v>
      </c>
      <c r="E39" s="53"/>
      <c r="F39" s="209">
        <v>0</v>
      </c>
      <c r="G39" s="210">
        <v>0</v>
      </c>
      <c r="H39" s="210">
        <v>0</v>
      </c>
      <c r="I39" s="210">
        <v>0</v>
      </c>
      <c r="J39" s="210">
        <v>0</v>
      </c>
      <c r="K39" s="210">
        <v>0</v>
      </c>
      <c r="L39" s="211">
        <v>0</v>
      </c>
      <c r="N39" s="209">
        <v>0</v>
      </c>
      <c r="O39" s="210">
        <v>0</v>
      </c>
      <c r="P39" s="210">
        <v>0</v>
      </c>
      <c r="Q39" s="210">
        <v>0</v>
      </c>
      <c r="R39" s="210">
        <v>0</v>
      </c>
      <c r="S39" s="210">
        <v>0</v>
      </c>
      <c r="T39" s="211">
        <v>0</v>
      </c>
      <c r="V39" s="209">
        <v>0</v>
      </c>
      <c r="W39" s="210">
        <v>0</v>
      </c>
      <c r="X39" s="210">
        <v>0</v>
      </c>
      <c r="Y39" s="210">
        <v>0</v>
      </c>
      <c r="Z39" s="210">
        <v>0</v>
      </c>
      <c r="AA39" s="210">
        <v>0</v>
      </c>
      <c r="AB39" s="211">
        <v>0</v>
      </c>
    </row>
    <row r="40" spans="3:29" ht="12.75" customHeight="1">
      <c r="C40" s="51"/>
      <c r="D40" s="217" t="s">
        <v>140</v>
      </c>
      <c r="E40" s="53"/>
      <c r="F40" s="209">
        <v>0</v>
      </c>
      <c r="G40" s="210">
        <v>0</v>
      </c>
      <c r="H40" s="210">
        <v>0</v>
      </c>
      <c r="I40" s="210">
        <v>0</v>
      </c>
      <c r="J40" s="210">
        <v>0</v>
      </c>
      <c r="K40" s="210">
        <v>0</v>
      </c>
      <c r="L40" s="211">
        <v>0</v>
      </c>
      <c r="N40" s="209">
        <v>0</v>
      </c>
      <c r="O40" s="210">
        <v>0</v>
      </c>
      <c r="P40" s="210">
        <v>0</v>
      </c>
      <c r="Q40" s="210">
        <v>0</v>
      </c>
      <c r="R40" s="210">
        <v>0</v>
      </c>
      <c r="S40" s="210">
        <v>0</v>
      </c>
      <c r="T40" s="211">
        <v>0</v>
      </c>
      <c r="V40" s="209">
        <v>0</v>
      </c>
      <c r="W40" s="210">
        <v>0</v>
      </c>
      <c r="X40" s="210">
        <v>0</v>
      </c>
      <c r="Y40" s="210">
        <v>0</v>
      </c>
      <c r="Z40" s="210">
        <v>0</v>
      </c>
      <c r="AA40" s="210">
        <v>0</v>
      </c>
      <c r="AB40" s="211">
        <v>0</v>
      </c>
    </row>
    <row r="41" spans="3:29" ht="12.75" customHeight="1">
      <c r="C41" s="51"/>
      <c r="D41" s="217" t="s">
        <v>141</v>
      </c>
      <c r="E41" s="53"/>
      <c r="F41" s="209">
        <v>0</v>
      </c>
      <c r="G41" s="210">
        <v>0</v>
      </c>
      <c r="H41" s="210">
        <v>0</v>
      </c>
      <c r="I41" s="210">
        <v>0</v>
      </c>
      <c r="J41" s="210">
        <v>0</v>
      </c>
      <c r="K41" s="210">
        <v>0</v>
      </c>
      <c r="L41" s="211">
        <v>0</v>
      </c>
      <c r="N41" s="209">
        <v>0</v>
      </c>
      <c r="O41" s="210">
        <v>0</v>
      </c>
      <c r="P41" s="210">
        <v>0</v>
      </c>
      <c r="Q41" s="210">
        <v>0</v>
      </c>
      <c r="R41" s="210">
        <v>0</v>
      </c>
      <c r="S41" s="210">
        <v>0</v>
      </c>
      <c r="T41" s="211">
        <v>0</v>
      </c>
      <c r="V41" s="209">
        <v>0</v>
      </c>
      <c r="W41" s="210">
        <v>0</v>
      </c>
      <c r="X41" s="210">
        <v>0</v>
      </c>
      <c r="Y41" s="210">
        <v>0</v>
      </c>
      <c r="Z41" s="210">
        <v>0</v>
      </c>
      <c r="AA41" s="210">
        <v>0</v>
      </c>
      <c r="AB41" s="211">
        <v>0</v>
      </c>
    </row>
    <row r="42" spans="3:29" ht="12.75" customHeight="1">
      <c r="C42" s="51"/>
      <c r="D42" s="217" t="s">
        <v>142</v>
      </c>
      <c r="E42" s="53"/>
      <c r="F42" s="209">
        <v>0</v>
      </c>
      <c r="G42" s="210">
        <v>0</v>
      </c>
      <c r="H42" s="210">
        <v>0</v>
      </c>
      <c r="I42" s="210">
        <v>0</v>
      </c>
      <c r="J42" s="210">
        <v>0</v>
      </c>
      <c r="K42" s="210">
        <v>0</v>
      </c>
      <c r="L42" s="211">
        <v>0</v>
      </c>
      <c r="N42" s="209">
        <v>0</v>
      </c>
      <c r="O42" s="210">
        <v>0</v>
      </c>
      <c r="P42" s="210">
        <v>0</v>
      </c>
      <c r="Q42" s="210">
        <v>0</v>
      </c>
      <c r="R42" s="210">
        <v>0</v>
      </c>
      <c r="S42" s="210">
        <v>0</v>
      </c>
      <c r="T42" s="211">
        <v>0</v>
      </c>
      <c r="V42" s="209">
        <v>0</v>
      </c>
      <c r="W42" s="210">
        <v>0</v>
      </c>
      <c r="X42" s="210">
        <v>0</v>
      </c>
      <c r="Y42" s="210">
        <v>0</v>
      </c>
      <c r="Z42" s="210">
        <v>0</v>
      </c>
      <c r="AA42" s="210">
        <v>0</v>
      </c>
      <c r="AB42" s="211">
        <v>0</v>
      </c>
    </row>
    <row r="43" spans="3:29" ht="12.75" customHeight="1">
      <c r="C43" s="58"/>
      <c r="D43" s="27" t="s">
        <v>143</v>
      </c>
      <c r="E43" s="60"/>
      <c r="F43" s="212">
        <v>0</v>
      </c>
      <c r="G43" s="213">
        <v>0</v>
      </c>
      <c r="H43" s="213">
        <v>0</v>
      </c>
      <c r="I43" s="213">
        <v>0</v>
      </c>
      <c r="J43" s="213">
        <v>0</v>
      </c>
      <c r="K43" s="213">
        <v>0</v>
      </c>
      <c r="L43" s="214">
        <v>0</v>
      </c>
      <c r="N43" s="212">
        <v>0</v>
      </c>
      <c r="O43" s="213">
        <v>0</v>
      </c>
      <c r="P43" s="213">
        <v>0</v>
      </c>
      <c r="Q43" s="213">
        <v>0</v>
      </c>
      <c r="R43" s="213">
        <v>0</v>
      </c>
      <c r="S43" s="213">
        <v>0</v>
      </c>
      <c r="T43" s="214">
        <v>0</v>
      </c>
      <c r="V43" s="212">
        <v>0</v>
      </c>
      <c r="W43" s="213">
        <v>0</v>
      </c>
      <c r="X43" s="213">
        <v>0</v>
      </c>
      <c r="Y43" s="213">
        <v>0</v>
      </c>
      <c r="Z43" s="213">
        <v>0</v>
      </c>
      <c r="AA43" s="213">
        <v>0</v>
      </c>
      <c r="AB43" s="214">
        <v>0</v>
      </c>
    </row>
    <row r="44" spans="3:29" ht="12.75" customHeight="1">
      <c r="C44" s="51"/>
      <c r="D44" s="52"/>
      <c r="E44" s="53"/>
      <c r="F44" s="51"/>
      <c r="G44" s="52"/>
      <c r="H44" s="52"/>
      <c r="I44" s="52"/>
      <c r="J44" s="52"/>
      <c r="K44" s="52"/>
      <c r="L44" s="53"/>
      <c r="N44" s="222"/>
      <c r="O44" s="223"/>
      <c r="P44" s="223"/>
      <c r="Q44" s="223"/>
      <c r="R44" s="223"/>
      <c r="S44" s="223"/>
      <c r="T44" s="224"/>
      <c r="V44" s="222"/>
      <c r="W44" s="223"/>
      <c r="X44" s="223"/>
      <c r="Y44" s="223"/>
      <c r="Z44" s="223"/>
      <c r="AA44" s="223"/>
      <c r="AB44" s="224"/>
    </row>
    <row r="45" spans="3:29" ht="12.75" customHeight="1">
      <c r="C45" s="136" t="s">
        <v>433</v>
      </c>
      <c r="D45" s="137"/>
      <c r="E45" s="179"/>
      <c r="F45" s="358">
        <v>71038</v>
      </c>
      <c r="G45" s="359">
        <v>10217</v>
      </c>
      <c r="H45" s="359">
        <v>0</v>
      </c>
      <c r="I45" s="359">
        <v>0</v>
      </c>
      <c r="J45" s="359">
        <v>1298</v>
      </c>
      <c r="K45" s="359">
        <v>0</v>
      </c>
      <c r="L45" s="360">
        <v>0</v>
      </c>
      <c r="N45" s="358">
        <v>71363</v>
      </c>
      <c r="O45" s="359">
        <v>10253</v>
      </c>
      <c r="P45" s="359">
        <v>0</v>
      </c>
      <c r="Q45" s="359">
        <v>0</v>
      </c>
      <c r="R45" s="359">
        <v>1303</v>
      </c>
      <c r="S45" s="359">
        <v>0</v>
      </c>
      <c r="T45" s="360">
        <v>0</v>
      </c>
      <c r="V45" s="358">
        <v>71706</v>
      </c>
      <c r="W45" s="359">
        <v>10346</v>
      </c>
      <c r="X45" s="359">
        <v>0</v>
      </c>
      <c r="Y45" s="359">
        <v>0</v>
      </c>
      <c r="Z45" s="359">
        <v>1314</v>
      </c>
      <c r="AA45" s="359">
        <v>0</v>
      </c>
      <c r="AB45" s="360">
        <v>0</v>
      </c>
    </row>
    <row r="46" spans="3:29" ht="12.75" customHeight="1">
      <c r="C46" s="136" t="s">
        <v>294</v>
      </c>
      <c r="D46" s="137"/>
      <c r="E46" s="179"/>
      <c r="F46" s="212">
        <v>648370552.00658178</v>
      </c>
      <c r="G46" s="213">
        <v>165115403.52975613</v>
      </c>
      <c r="H46" s="213">
        <v>3453756.3589038262</v>
      </c>
      <c r="I46" s="213">
        <v>180899</v>
      </c>
      <c r="J46" s="213">
        <v>310995135.90357721</v>
      </c>
      <c r="K46" s="213">
        <v>0</v>
      </c>
      <c r="L46" s="214">
        <v>4392770</v>
      </c>
      <c r="N46" s="212">
        <v>643844340.58173037</v>
      </c>
      <c r="O46" s="213">
        <v>164051962.00356889</v>
      </c>
      <c r="P46" s="213">
        <v>3453756.3589038262</v>
      </c>
      <c r="Q46" s="213">
        <v>180899</v>
      </c>
      <c r="R46" s="213">
        <v>308922858.45428824</v>
      </c>
      <c r="S46" s="213">
        <v>0</v>
      </c>
      <c r="T46" s="214">
        <v>4359436.3759640204</v>
      </c>
      <c r="V46" s="212">
        <v>630990366.16546369</v>
      </c>
      <c r="W46" s="213">
        <v>160880688.50972158</v>
      </c>
      <c r="X46" s="213">
        <v>3471025.1406983449</v>
      </c>
      <c r="Y46" s="213">
        <v>181803.495</v>
      </c>
      <c r="Z46" s="213">
        <v>302910929.42388207</v>
      </c>
      <c r="AA46" s="213">
        <v>0</v>
      </c>
      <c r="AB46" s="214">
        <v>4268935.7825472131</v>
      </c>
    </row>
    <row r="47" spans="3:29" s="361" customFormat="1" ht="12.75" customHeight="1">
      <c r="C47" s="406" t="s">
        <v>295</v>
      </c>
      <c r="D47" s="363"/>
      <c r="E47" s="405"/>
      <c r="F47" s="212">
        <v>209148.92171652874</v>
      </c>
      <c r="G47" s="213">
        <v>67330.393441018357</v>
      </c>
      <c r="H47" s="213">
        <v>59.139663679860035</v>
      </c>
      <c r="I47" s="213">
        <v>20.650570776255709</v>
      </c>
      <c r="J47" s="213">
        <v>126816.9075143692</v>
      </c>
      <c r="K47" s="213">
        <v>0</v>
      </c>
      <c r="L47" s="214">
        <v>1791.2740184933798</v>
      </c>
      <c r="N47" s="212">
        <v>207688.87354494072</v>
      </c>
      <c r="O47" s="213">
        <v>66896.745611506209</v>
      </c>
      <c r="P47" s="213">
        <v>59.139663679860035</v>
      </c>
      <c r="Q47" s="213">
        <v>20.650570776255709</v>
      </c>
      <c r="R47" s="213">
        <v>125971.87880719329</v>
      </c>
      <c r="S47" s="213">
        <v>0</v>
      </c>
      <c r="T47" s="214">
        <v>1777.6813071340609</v>
      </c>
      <c r="V47" s="212">
        <v>203542.48706792702</v>
      </c>
      <c r="W47" s="213">
        <v>65603.570732087202</v>
      </c>
      <c r="X47" s="213">
        <v>59.435361998259332</v>
      </c>
      <c r="Y47" s="213">
        <v>20.753823630136985</v>
      </c>
      <c r="Z47" s="213">
        <v>123520.34770649998</v>
      </c>
      <c r="AA47" s="213">
        <v>0</v>
      </c>
      <c r="AB47" s="214">
        <v>1740.7771756530678</v>
      </c>
    </row>
    <row r="48" spans="3:29" ht="12.75" customHeight="1">
      <c r="L48" s="355"/>
    </row>
    <row r="49" spans="2:28" s="7" customFormat="1" ht="15.6">
      <c r="B49" s="7" t="s">
        <v>311</v>
      </c>
    </row>
    <row r="51" spans="2:28" ht="12.75" customHeight="1">
      <c r="F51" s="113" t="s">
        <v>490</v>
      </c>
      <c r="G51" s="113" t="s">
        <v>498</v>
      </c>
      <c r="H51" s="113" t="s">
        <v>154</v>
      </c>
      <c r="I51" s="113" t="s">
        <v>155</v>
      </c>
      <c r="J51" s="113" t="s">
        <v>156</v>
      </c>
      <c r="K51" s="113" t="s">
        <v>314</v>
      </c>
      <c r="L51" s="113" t="s">
        <v>181</v>
      </c>
      <c r="N51" s="113" t="s">
        <v>490</v>
      </c>
      <c r="O51" s="113" t="s">
        <v>498</v>
      </c>
      <c r="P51" s="113" t="s">
        <v>154</v>
      </c>
      <c r="Q51" s="113" t="s">
        <v>155</v>
      </c>
      <c r="R51" s="113" t="s">
        <v>156</v>
      </c>
      <c r="S51" s="113" t="s">
        <v>314</v>
      </c>
      <c r="T51" s="113" t="s">
        <v>181</v>
      </c>
      <c r="V51" s="113" t="s">
        <v>490</v>
      </c>
      <c r="W51" s="113" t="s">
        <v>498</v>
      </c>
      <c r="X51" s="113" t="s">
        <v>154</v>
      </c>
      <c r="Y51" s="113" t="s">
        <v>155</v>
      </c>
      <c r="Z51" s="113" t="s">
        <v>156</v>
      </c>
      <c r="AA51" s="113" t="s">
        <v>314</v>
      </c>
      <c r="AB51" s="113" t="s">
        <v>181</v>
      </c>
    </row>
    <row r="52" spans="2:28" ht="12.75" customHeight="1">
      <c r="C52" s="215" t="s">
        <v>292</v>
      </c>
      <c r="D52" s="49"/>
      <c r="E52" s="247" t="s">
        <v>147</v>
      </c>
      <c r="F52" s="231">
        <v>0</v>
      </c>
      <c r="G52" s="232">
        <v>0</v>
      </c>
      <c r="H52" s="232">
        <v>0</v>
      </c>
      <c r="I52" s="232">
        <v>0</v>
      </c>
      <c r="J52" s="232">
        <v>175</v>
      </c>
      <c r="K52" s="232">
        <v>768.673</v>
      </c>
      <c r="L52" s="233">
        <v>849.72900000000004</v>
      </c>
      <c r="N52" s="231">
        <v>0</v>
      </c>
      <c r="O52" s="232">
        <v>0</v>
      </c>
      <c r="P52" s="232">
        <v>0</v>
      </c>
      <c r="Q52" s="232">
        <v>0</v>
      </c>
      <c r="R52" s="232">
        <v>135</v>
      </c>
      <c r="S52" s="232">
        <v>1298.0454680479745</v>
      </c>
      <c r="T52" s="233">
        <v>1116.3191025212582</v>
      </c>
      <c r="V52" s="231">
        <v>0</v>
      </c>
      <c r="W52" s="232">
        <v>0</v>
      </c>
      <c r="X52" s="232">
        <v>0</v>
      </c>
      <c r="Y52" s="232">
        <v>0</v>
      </c>
      <c r="Z52" s="232">
        <v>135</v>
      </c>
      <c r="AA52" s="232">
        <v>1298.0454680479745</v>
      </c>
      <c r="AB52" s="233">
        <v>1116.3191025212582</v>
      </c>
    </row>
    <row r="53" spans="2:28" ht="12.75" customHeight="1">
      <c r="C53" s="216" t="s">
        <v>293</v>
      </c>
      <c r="D53" s="52"/>
      <c r="E53" s="248" t="s">
        <v>148</v>
      </c>
      <c r="F53" s="234">
        <v>44.417999999999999</v>
      </c>
      <c r="G53" s="159">
        <v>79.012</v>
      </c>
      <c r="H53" s="159">
        <v>0</v>
      </c>
      <c r="I53" s="159">
        <v>0</v>
      </c>
      <c r="J53" s="159">
        <v>650</v>
      </c>
      <c r="K53" s="159">
        <v>0</v>
      </c>
      <c r="L53" s="160">
        <v>427.33333156377762</v>
      </c>
      <c r="N53" s="234">
        <v>64.041769951086621</v>
      </c>
      <c r="O53" s="159">
        <v>135</v>
      </c>
      <c r="P53" s="159">
        <v>0</v>
      </c>
      <c r="Q53" s="159">
        <v>0</v>
      </c>
      <c r="R53" s="159">
        <v>650</v>
      </c>
      <c r="S53" s="159">
        <v>0</v>
      </c>
      <c r="T53" s="160">
        <v>333.80729068933186</v>
      </c>
      <c r="V53" s="234">
        <v>64.041769951086621</v>
      </c>
      <c r="W53" s="159">
        <v>135</v>
      </c>
      <c r="X53" s="159">
        <v>0</v>
      </c>
      <c r="Y53" s="159">
        <v>0</v>
      </c>
      <c r="Z53" s="159">
        <v>650</v>
      </c>
      <c r="AA53" s="159">
        <v>0</v>
      </c>
      <c r="AB53" s="160">
        <v>333.80729068933186</v>
      </c>
    </row>
    <row r="54" spans="2:28" ht="12.75" customHeight="1">
      <c r="C54" s="216" t="s">
        <v>214</v>
      </c>
      <c r="D54" s="52"/>
      <c r="E54" s="248" t="s">
        <v>149</v>
      </c>
      <c r="F54" s="234">
        <v>11.115</v>
      </c>
      <c r="G54" s="159">
        <v>10.448</v>
      </c>
      <c r="H54" s="159">
        <v>0.267530400000007</v>
      </c>
      <c r="I54" s="159">
        <v>0.61398839999999899</v>
      </c>
      <c r="J54" s="159">
        <v>0</v>
      </c>
      <c r="K54" s="159">
        <v>0</v>
      </c>
      <c r="L54" s="160">
        <v>0</v>
      </c>
      <c r="N54" s="234">
        <v>10.104915273055934</v>
      </c>
      <c r="O54" s="159">
        <v>10.455</v>
      </c>
      <c r="P54" s="159">
        <v>0.267530400000007</v>
      </c>
      <c r="Q54" s="159">
        <v>0.61398839999999899</v>
      </c>
      <c r="R54" s="159">
        <v>0</v>
      </c>
      <c r="S54" s="159">
        <v>0</v>
      </c>
      <c r="T54" s="160">
        <v>0</v>
      </c>
      <c r="V54" s="234">
        <v>10.104915273055934</v>
      </c>
      <c r="W54" s="159">
        <v>10.455</v>
      </c>
      <c r="X54" s="159">
        <v>0.267530400000007</v>
      </c>
      <c r="Y54" s="159">
        <v>0.61398839999999899</v>
      </c>
      <c r="Z54" s="159">
        <v>0</v>
      </c>
      <c r="AA54" s="159">
        <v>0</v>
      </c>
      <c r="AB54" s="160">
        <v>0</v>
      </c>
    </row>
    <row r="55" spans="2:28" ht="12.75" customHeight="1">
      <c r="C55" s="216" t="s">
        <v>215</v>
      </c>
      <c r="D55" s="52"/>
      <c r="E55" s="248" t="s">
        <v>149</v>
      </c>
      <c r="F55" s="225">
        <v>0</v>
      </c>
      <c r="G55" s="226">
        <v>0</v>
      </c>
      <c r="H55" s="226">
        <v>0</v>
      </c>
      <c r="I55" s="226">
        <v>0</v>
      </c>
      <c r="J55" s="226">
        <v>4.0999999999999996</v>
      </c>
      <c r="K55" s="226">
        <v>3.2850999999999999</v>
      </c>
      <c r="L55" s="227">
        <v>4.0999999999999996</v>
      </c>
      <c r="N55" s="225">
        <v>0</v>
      </c>
      <c r="O55" s="226">
        <v>0</v>
      </c>
      <c r="P55" s="226">
        <v>0</v>
      </c>
      <c r="Q55" s="226">
        <v>0</v>
      </c>
      <c r="R55" s="226">
        <v>3.07569605206987</v>
      </c>
      <c r="S55" s="226">
        <v>3.2850999999999999</v>
      </c>
      <c r="T55" s="227">
        <v>3.07569605206987</v>
      </c>
      <c r="V55" s="225">
        <v>0</v>
      </c>
      <c r="W55" s="226">
        <v>0</v>
      </c>
      <c r="X55" s="226">
        <v>0</v>
      </c>
      <c r="Y55" s="226">
        <v>0</v>
      </c>
      <c r="Z55" s="226">
        <v>3.07569605206987</v>
      </c>
      <c r="AA55" s="226">
        <v>3.2850999999999999</v>
      </c>
      <c r="AB55" s="227">
        <v>3.07569605206987</v>
      </c>
    </row>
    <row r="56" spans="2:28" ht="12.75" customHeight="1">
      <c r="C56" s="216" t="s">
        <v>296</v>
      </c>
      <c r="D56" s="52"/>
      <c r="E56" s="248" t="s">
        <v>151</v>
      </c>
      <c r="F56" s="225">
        <v>0</v>
      </c>
      <c r="G56" s="226">
        <v>0</v>
      </c>
      <c r="H56" s="226">
        <v>0</v>
      </c>
      <c r="I56" s="226">
        <v>0</v>
      </c>
      <c r="J56" s="226">
        <v>20</v>
      </c>
      <c r="K56" s="226">
        <v>8.2579999999999991</v>
      </c>
      <c r="L56" s="227">
        <v>13.148717894270082</v>
      </c>
      <c r="N56" s="225">
        <v>0</v>
      </c>
      <c r="O56" s="226">
        <v>0</v>
      </c>
      <c r="P56" s="226">
        <v>0</v>
      </c>
      <c r="Q56" s="226">
        <v>0</v>
      </c>
      <c r="R56" s="226">
        <v>20</v>
      </c>
      <c r="S56" s="226">
        <v>8.2579999999999991</v>
      </c>
      <c r="T56" s="227">
        <v>10.270993559671751</v>
      </c>
      <c r="V56" s="225">
        <v>0</v>
      </c>
      <c r="W56" s="226">
        <v>0</v>
      </c>
      <c r="X56" s="226">
        <v>0</v>
      </c>
      <c r="Y56" s="226">
        <v>0</v>
      </c>
      <c r="Z56" s="226">
        <v>20</v>
      </c>
      <c r="AA56" s="226">
        <v>8.2579999999999991</v>
      </c>
      <c r="AB56" s="227">
        <v>10.270993559671751</v>
      </c>
    </row>
    <row r="57" spans="2:28" ht="12.75" customHeight="1">
      <c r="C57" s="216" t="s">
        <v>297</v>
      </c>
      <c r="D57" s="52"/>
      <c r="E57" s="248" t="s">
        <v>151</v>
      </c>
      <c r="F57" s="225">
        <v>0</v>
      </c>
      <c r="G57" s="226">
        <v>0</v>
      </c>
      <c r="H57" s="226">
        <v>0</v>
      </c>
      <c r="I57" s="226">
        <v>0</v>
      </c>
      <c r="J57" s="226">
        <v>0</v>
      </c>
      <c r="K57" s="226">
        <v>0</v>
      </c>
      <c r="L57" s="227">
        <v>0</v>
      </c>
      <c r="N57" s="225">
        <v>0</v>
      </c>
      <c r="O57" s="226">
        <v>0</v>
      </c>
      <c r="P57" s="226">
        <v>0</v>
      </c>
      <c r="Q57" s="226">
        <v>0</v>
      </c>
      <c r="R57" s="226">
        <v>0</v>
      </c>
      <c r="S57" s="226">
        <v>0</v>
      </c>
      <c r="T57" s="227">
        <v>0</v>
      </c>
      <c r="V57" s="225">
        <v>0</v>
      </c>
      <c r="W57" s="226">
        <v>0</v>
      </c>
      <c r="X57" s="226">
        <v>0</v>
      </c>
      <c r="Y57" s="226">
        <v>0</v>
      </c>
      <c r="Z57" s="226">
        <v>0</v>
      </c>
      <c r="AA57" s="226">
        <v>0</v>
      </c>
      <c r="AB57" s="227">
        <v>0</v>
      </c>
    </row>
    <row r="58" spans="2:28" ht="12.75" customHeight="1">
      <c r="C58" s="218" t="s">
        <v>298</v>
      </c>
      <c r="D58" s="59"/>
      <c r="E58" s="249" t="s">
        <v>150</v>
      </c>
      <c r="F58" s="228">
        <v>0</v>
      </c>
      <c r="G58" s="229">
        <v>0</v>
      </c>
      <c r="H58" s="229">
        <v>0</v>
      </c>
      <c r="I58" s="229">
        <v>0</v>
      </c>
      <c r="J58" s="229">
        <v>4</v>
      </c>
      <c r="K58" s="229">
        <v>4</v>
      </c>
      <c r="L58" s="230">
        <v>4</v>
      </c>
      <c r="N58" s="228">
        <v>0</v>
      </c>
      <c r="O58" s="229">
        <v>0</v>
      </c>
      <c r="P58" s="229">
        <v>0</v>
      </c>
      <c r="Q58" s="229">
        <v>0</v>
      </c>
      <c r="R58" s="229">
        <v>4</v>
      </c>
      <c r="S58" s="229">
        <v>4</v>
      </c>
      <c r="T58" s="230">
        <v>4</v>
      </c>
      <c r="V58" s="228">
        <v>0</v>
      </c>
      <c r="W58" s="229">
        <v>0</v>
      </c>
      <c r="X58" s="229">
        <v>0</v>
      </c>
      <c r="Y58" s="229">
        <v>0</v>
      </c>
      <c r="Z58" s="229">
        <v>4</v>
      </c>
      <c r="AA58" s="229">
        <v>4</v>
      </c>
      <c r="AB58" s="230">
        <v>4</v>
      </c>
    </row>
    <row r="59" spans="2:28" ht="12.75" customHeight="1">
      <c r="C59" s="195" t="s">
        <v>138</v>
      </c>
      <c r="D59" s="49"/>
      <c r="E59" s="247"/>
      <c r="F59" s="48"/>
      <c r="G59" s="49"/>
      <c r="H59" s="49"/>
      <c r="I59" s="49"/>
      <c r="J59" s="49"/>
      <c r="K59" s="49"/>
      <c r="L59" s="50"/>
      <c r="N59" s="48"/>
      <c r="O59" s="49"/>
      <c r="P59" s="49"/>
      <c r="Q59" s="49"/>
      <c r="R59" s="49"/>
      <c r="S59" s="49"/>
      <c r="T59" s="50"/>
      <c r="V59" s="48"/>
      <c r="W59" s="49"/>
      <c r="X59" s="49"/>
      <c r="Y59" s="49"/>
      <c r="Z59" s="49"/>
      <c r="AA59" s="49"/>
      <c r="AB59" s="50"/>
    </row>
    <row r="60" spans="2:28" ht="12.75" customHeight="1">
      <c r="C60" s="51"/>
      <c r="D60" s="217" t="s">
        <v>139</v>
      </c>
      <c r="E60" s="248" t="s">
        <v>149</v>
      </c>
      <c r="F60" s="225">
        <v>0</v>
      </c>
      <c r="G60" s="226">
        <v>0</v>
      </c>
      <c r="H60" s="226">
        <v>0</v>
      </c>
      <c r="I60" s="226">
        <v>0</v>
      </c>
      <c r="J60" s="226">
        <v>0</v>
      </c>
      <c r="K60" s="226">
        <v>6.0577000000000005</v>
      </c>
      <c r="L60" s="227">
        <v>5.4835000000000012</v>
      </c>
      <c r="N60" s="225">
        <v>0</v>
      </c>
      <c r="O60" s="226">
        <v>0</v>
      </c>
      <c r="P60" s="226">
        <v>0</v>
      </c>
      <c r="Q60" s="226">
        <v>0</v>
      </c>
      <c r="R60" s="226">
        <v>0</v>
      </c>
      <c r="S60" s="226">
        <v>3.2850999999999999</v>
      </c>
      <c r="T60" s="227">
        <v>3.2851393876953505</v>
      </c>
      <c r="V60" s="225">
        <v>0</v>
      </c>
      <c r="W60" s="226">
        <v>0</v>
      </c>
      <c r="X60" s="226">
        <v>0</v>
      </c>
      <c r="Y60" s="226">
        <v>0</v>
      </c>
      <c r="Z60" s="226">
        <v>0</v>
      </c>
      <c r="AA60" s="226">
        <v>3.2850999999999999</v>
      </c>
      <c r="AB60" s="227">
        <v>3.2851393876953505</v>
      </c>
    </row>
    <row r="61" spans="2:28" ht="12.75" customHeight="1">
      <c r="C61" s="51"/>
      <c r="D61" s="217" t="s">
        <v>140</v>
      </c>
      <c r="E61" s="248" t="s">
        <v>149</v>
      </c>
      <c r="F61" s="225">
        <v>0</v>
      </c>
      <c r="G61" s="226">
        <v>0</v>
      </c>
      <c r="H61" s="226">
        <v>0</v>
      </c>
      <c r="I61" s="226">
        <v>0</v>
      </c>
      <c r="J61" s="226">
        <v>0</v>
      </c>
      <c r="K61" s="226">
        <v>5.1062000000000012</v>
      </c>
      <c r="L61" s="227">
        <v>4.4671000000000003</v>
      </c>
      <c r="N61" s="225">
        <v>0</v>
      </c>
      <c r="O61" s="226">
        <v>0</v>
      </c>
      <c r="P61" s="226">
        <v>0</v>
      </c>
      <c r="Q61" s="226">
        <v>0</v>
      </c>
      <c r="R61" s="226">
        <v>0</v>
      </c>
      <c r="S61" s="226">
        <v>3.2850999999999999</v>
      </c>
      <c r="T61" s="227">
        <v>3.2851393876953505</v>
      </c>
      <c r="V61" s="225">
        <v>0</v>
      </c>
      <c r="W61" s="226">
        <v>0</v>
      </c>
      <c r="X61" s="226">
        <v>0</v>
      </c>
      <c r="Y61" s="226">
        <v>0</v>
      </c>
      <c r="Z61" s="226">
        <v>0</v>
      </c>
      <c r="AA61" s="226">
        <v>3.2850999999999999</v>
      </c>
      <c r="AB61" s="227">
        <v>3.2851393876953505</v>
      </c>
    </row>
    <row r="62" spans="2:28" ht="12.75" customHeight="1">
      <c r="C62" s="51"/>
      <c r="D62" s="217" t="s">
        <v>141</v>
      </c>
      <c r="E62" s="248" t="s">
        <v>149</v>
      </c>
      <c r="F62" s="225">
        <v>0</v>
      </c>
      <c r="G62" s="226">
        <v>0</v>
      </c>
      <c r="H62" s="226">
        <v>0</v>
      </c>
      <c r="I62" s="226">
        <v>0</v>
      </c>
      <c r="J62" s="226">
        <v>0</v>
      </c>
      <c r="K62" s="226">
        <v>4.2471000000000005</v>
      </c>
      <c r="L62" s="227">
        <v>3.8115000000000001</v>
      </c>
      <c r="N62" s="225">
        <v>0</v>
      </c>
      <c r="O62" s="226">
        <v>0</v>
      </c>
      <c r="P62" s="226">
        <v>0</v>
      </c>
      <c r="Q62" s="226">
        <v>0</v>
      </c>
      <c r="R62" s="226">
        <v>0</v>
      </c>
      <c r="S62" s="226">
        <v>3.2850999999999999</v>
      </c>
      <c r="T62" s="227">
        <v>3.2851393876953505</v>
      </c>
      <c r="V62" s="225">
        <v>0</v>
      </c>
      <c r="W62" s="226">
        <v>0</v>
      </c>
      <c r="X62" s="226">
        <v>0</v>
      </c>
      <c r="Y62" s="226">
        <v>0</v>
      </c>
      <c r="Z62" s="226">
        <v>0</v>
      </c>
      <c r="AA62" s="226">
        <v>3.2850999999999999</v>
      </c>
      <c r="AB62" s="227">
        <v>3.2851393876953505</v>
      </c>
    </row>
    <row r="63" spans="2:28" ht="12.75" customHeight="1">
      <c r="C63" s="51"/>
      <c r="D63" s="217" t="s">
        <v>142</v>
      </c>
      <c r="E63" s="248" t="s">
        <v>149</v>
      </c>
      <c r="F63" s="225">
        <v>0</v>
      </c>
      <c r="G63" s="226">
        <v>0</v>
      </c>
      <c r="H63" s="226">
        <v>0</v>
      </c>
      <c r="I63" s="226">
        <v>0</v>
      </c>
      <c r="J63" s="226">
        <v>0</v>
      </c>
      <c r="K63" s="226">
        <v>3.8698000000000001</v>
      </c>
      <c r="L63" s="227">
        <v>3.6289000000000002</v>
      </c>
      <c r="N63" s="225">
        <v>0</v>
      </c>
      <c r="O63" s="226">
        <v>0</v>
      </c>
      <c r="P63" s="226">
        <v>0</v>
      </c>
      <c r="Q63" s="226">
        <v>0</v>
      </c>
      <c r="R63" s="226">
        <v>0</v>
      </c>
      <c r="S63" s="226">
        <v>3.2850999999999999</v>
      </c>
      <c r="T63" s="227">
        <v>3.2851393876953505</v>
      </c>
      <c r="V63" s="225">
        <v>0</v>
      </c>
      <c r="W63" s="226">
        <v>0</v>
      </c>
      <c r="X63" s="226">
        <v>0</v>
      </c>
      <c r="Y63" s="226">
        <v>0</v>
      </c>
      <c r="Z63" s="226">
        <v>0</v>
      </c>
      <c r="AA63" s="226">
        <v>3.2850999999999999</v>
      </c>
      <c r="AB63" s="227">
        <v>3.2851393876953505</v>
      </c>
    </row>
    <row r="64" spans="2:28" ht="12.75" customHeight="1">
      <c r="C64" s="58"/>
      <c r="D64" s="27" t="s">
        <v>143</v>
      </c>
      <c r="E64" s="249" t="s">
        <v>149</v>
      </c>
      <c r="F64" s="228">
        <v>0</v>
      </c>
      <c r="G64" s="229">
        <v>0</v>
      </c>
      <c r="H64" s="229">
        <v>0</v>
      </c>
      <c r="I64" s="229">
        <v>0</v>
      </c>
      <c r="J64" s="229">
        <v>0</v>
      </c>
      <c r="K64" s="229">
        <v>2.6543000000000001</v>
      </c>
      <c r="L64" s="230">
        <v>2.7071000000000001</v>
      </c>
      <c r="N64" s="228">
        <v>0</v>
      </c>
      <c r="O64" s="229">
        <v>0</v>
      </c>
      <c r="P64" s="229">
        <v>0</v>
      </c>
      <c r="Q64" s="229">
        <v>0</v>
      </c>
      <c r="R64" s="229">
        <v>0</v>
      </c>
      <c r="S64" s="229">
        <v>3.2850999999999999</v>
      </c>
      <c r="T64" s="230">
        <v>3.2851393876953505</v>
      </c>
      <c r="V64" s="228">
        <v>0</v>
      </c>
      <c r="W64" s="229">
        <v>0</v>
      </c>
      <c r="X64" s="229">
        <v>0</v>
      </c>
      <c r="Y64" s="229">
        <v>0</v>
      </c>
      <c r="Z64" s="229">
        <v>0</v>
      </c>
      <c r="AA64" s="229">
        <v>3.2850999999999999</v>
      </c>
      <c r="AB64" s="230">
        <v>3.2851393876953505</v>
      </c>
    </row>
    <row r="65" spans="3:28" ht="12.75" customHeight="1">
      <c r="C65" s="195" t="s">
        <v>144</v>
      </c>
      <c r="D65" s="49"/>
      <c r="E65" s="247"/>
      <c r="F65" s="48"/>
      <c r="G65" s="49"/>
      <c r="H65" s="49"/>
      <c r="I65" s="49"/>
      <c r="J65" s="49"/>
      <c r="K65" s="49"/>
      <c r="L65" s="50"/>
      <c r="N65" s="48"/>
      <c r="O65" s="49"/>
      <c r="P65" s="49"/>
      <c r="Q65" s="49"/>
      <c r="R65" s="49"/>
      <c r="S65" s="49"/>
      <c r="T65" s="50"/>
      <c r="V65" s="48"/>
      <c r="W65" s="49"/>
      <c r="X65" s="49"/>
      <c r="Y65" s="49"/>
      <c r="Z65" s="49"/>
      <c r="AA65" s="49"/>
      <c r="AB65" s="50"/>
    </row>
    <row r="66" spans="3:28" ht="12.75" customHeight="1">
      <c r="C66" s="51"/>
      <c r="D66" s="217" t="s">
        <v>139</v>
      </c>
      <c r="E66" s="248" t="s">
        <v>149</v>
      </c>
      <c r="F66" s="225">
        <v>0</v>
      </c>
      <c r="G66" s="226">
        <v>0</v>
      </c>
      <c r="H66" s="226">
        <v>0</v>
      </c>
      <c r="I66" s="226">
        <v>0</v>
      </c>
      <c r="J66" s="226">
        <v>0</v>
      </c>
      <c r="K66" s="226">
        <v>5.4263000000000003</v>
      </c>
      <c r="L66" s="227">
        <v>4.9115000000000002</v>
      </c>
      <c r="N66" s="225">
        <v>0</v>
      </c>
      <c r="O66" s="226">
        <v>0</v>
      </c>
      <c r="P66" s="226">
        <v>0</v>
      </c>
      <c r="Q66" s="226">
        <v>0</v>
      </c>
      <c r="R66" s="226">
        <v>0</v>
      </c>
      <c r="S66" s="226">
        <v>3.2850999999999999</v>
      </c>
      <c r="T66" s="227">
        <v>3.2850999999999999</v>
      </c>
      <c r="V66" s="225">
        <v>0</v>
      </c>
      <c r="W66" s="226">
        <v>0</v>
      </c>
      <c r="X66" s="226">
        <v>0</v>
      </c>
      <c r="Y66" s="226">
        <v>0</v>
      </c>
      <c r="Z66" s="226">
        <v>0</v>
      </c>
      <c r="AA66" s="226">
        <v>3.2850999999999999</v>
      </c>
      <c r="AB66" s="227">
        <v>3.2850999999999999</v>
      </c>
    </row>
    <row r="67" spans="3:28" ht="12.75" customHeight="1">
      <c r="C67" s="51"/>
      <c r="D67" s="217" t="s">
        <v>140</v>
      </c>
      <c r="E67" s="248" t="s">
        <v>149</v>
      </c>
      <c r="F67" s="225">
        <v>0</v>
      </c>
      <c r="G67" s="226">
        <v>0</v>
      </c>
      <c r="H67" s="226">
        <v>0</v>
      </c>
      <c r="I67" s="226">
        <v>0</v>
      </c>
      <c r="J67" s="226">
        <v>0</v>
      </c>
      <c r="K67" s="226">
        <v>4.3934000000000006</v>
      </c>
      <c r="L67" s="227">
        <v>3.8621000000000003</v>
      </c>
      <c r="N67" s="225">
        <v>0</v>
      </c>
      <c r="O67" s="226">
        <v>0</v>
      </c>
      <c r="P67" s="226">
        <v>0</v>
      </c>
      <c r="Q67" s="226">
        <v>0</v>
      </c>
      <c r="R67" s="226">
        <v>0</v>
      </c>
      <c r="S67" s="226">
        <v>3.2850999999999999</v>
      </c>
      <c r="T67" s="227">
        <v>3.2850999999999999</v>
      </c>
      <c r="V67" s="225">
        <v>0</v>
      </c>
      <c r="W67" s="226">
        <v>0</v>
      </c>
      <c r="X67" s="226">
        <v>0</v>
      </c>
      <c r="Y67" s="226">
        <v>0</v>
      </c>
      <c r="Z67" s="226">
        <v>0</v>
      </c>
      <c r="AA67" s="226">
        <v>3.2850999999999999</v>
      </c>
      <c r="AB67" s="227">
        <v>3.2850999999999999</v>
      </c>
    </row>
    <row r="68" spans="3:28" ht="12.75" customHeight="1">
      <c r="C68" s="51"/>
      <c r="D68" s="217" t="s">
        <v>141</v>
      </c>
      <c r="E68" s="248" t="s">
        <v>149</v>
      </c>
      <c r="F68" s="225">
        <v>0</v>
      </c>
      <c r="G68" s="226">
        <v>0</v>
      </c>
      <c r="H68" s="226">
        <v>0</v>
      </c>
      <c r="I68" s="226">
        <v>0</v>
      </c>
      <c r="J68" s="226">
        <v>0</v>
      </c>
      <c r="K68" s="226">
        <v>3.6410000000000005</v>
      </c>
      <c r="L68" s="227">
        <v>3.3297000000000003</v>
      </c>
      <c r="N68" s="225">
        <v>0</v>
      </c>
      <c r="O68" s="226">
        <v>0</v>
      </c>
      <c r="P68" s="226">
        <v>0</v>
      </c>
      <c r="Q68" s="226">
        <v>0</v>
      </c>
      <c r="R68" s="226">
        <v>0</v>
      </c>
      <c r="S68" s="226">
        <v>3.2850999999999999</v>
      </c>
      <c r="T68" s="227">
        <v>3.2850999999999999</v>
      </c>
      <c r="V68" s="225">
        <v>0</v>
      </c>
      <c r="W68" s="226">
        <v>0</v>
      </c>
      <c r="X68" s="226">
        <v>0</v>
      </c>
      <c r="Y68" s="226">
        <v>0</v>
      </c>
      <c r="Z68" s="226">
        <v>0</v>
      </c>
      <c r="AA68" s="226">
        <v>3.2850999999999999</v>
      </c>
      <c r="AB68" s="227">
        <v>3.2850999999999999</v>
      </c>
    </row>
    <row r="69" spans="3:28" ht="12.75" customHeight="1">
      <c r="C69" s="51"/>
      <c r="D69" s="217" t="s">
        <v>142</v>
      </c>
      <c r="E69" s="248" t="s">
        <v>149</v>
      </c>
      <c r="F69" s="225">
        <v>0</v>
      </c>
      <c r="G69" s="226">
        <v>0</v>
      </c>
      <c r="H69" s="226">
        <v>0</v>
      </c>
      <c r="I69" s="226">
        <v>0</v>
      </c>
      <c r="J69" s="226">
        <v>0</v>
      </c>
      <c r="K69" s="226">
        <v>3.5013000000000001</v>
      </c>
      <c r="L69" s="227">
        <v>3.3297000000000003</v>
      </c>
      <c r="N69" s="225">
        <v>0</v>
      </c>
      <c r="O69" s="226">
        <v>0</v>
      </c>
      <c r="P69" s="226">
        <v>0</v>
      </c>
      <c r="Q69" s="226">
        <v>0</v>
      </c>
      <c r="R69" s="226">
        <v>0</v>
      </c>
      <c r="S69" s="226">
        <v>3.2850999999999999</v>
      </c>
      <c r="T69" s="227">
        <v>3.2850999999999999</v>
      </c>
      <c r="V69" s="225">
        <v>0</v>
      </c>
      <c r="W69" s="226">
        <v>0</v>
      </c>
      <c r="X69" s="226">
        <v>0</v>
      </c>
      <c r="Y69" s="226">
        <v>0</v>
      </c>
      <c r="Z69" s="226">
        <v>0</v>
      </c>
      <c r="AA69" s="226">
        <v>3.2850999999999999</v>
      </c>
      <c r="AB69" s="227">
        <v>3.2850999999999999</v>
      </c>
    </row>
    <row r="70" spans="3:28" ht="12.75" customHeight="1">
      <c r="C70" s="58"/>
      <c r="D70" s="27" t="s">
        <v>143</v>
      </c>
      <c r="E70" s="249" t="s">
        <v>149</v>
      </c>
      <c r="F70" s="228">
        <v>0</v>
      </c>
      <c r="G70" s="229">
        <v>0</v>
      </c>
      <c r="H70" s="229">
        <v>0</v>
      </c>
      <c r="I70" s="229">
        <v>0</v>
      </c>
      <c r="J70" s="229">
        <v>0</v>
      </c>
      <c r="K70" s="229">
        <v>2.0427</v>
      </c>
      <c r="L70" s="230">
        <v>1.9382000000000001</v>
      </c>
      <c r="N70" s="228">
        <v>0</v>
      </c>
      <c r="O70" s="229">
        <v>0</v>
      </c>
      <c r="P70" s="229">
        <v>0</v>
      </c>
      <c r="Q70" s="229">
        <v>0</v>
      </c>
      <c r="R70" s="229">
        <v>0</v>
      </c>
      <c r="S70" s="229">
        <v>3.2850999999999999</v>
      </c>
      <c r="T70" s="230">
        <v>3.2850999999999999</v>
      </c>
      <c r="V70" s="228">
        <v>0</v>
      </c>
      <c r="W70" s="229">
        <v>0</v>
      </c>
      <c r="X70" s="229">
        <v>0</v>
      </c>
      <c r="Y70" s="229">
        <v>0</v>
      </c>
      <c r="Z70" s="229">
        <v>0</v>
      </c>
      <c r="AA70" s="229">
        <v>3.2850999999999999</v>
      </c>
      <c r="AB70" s="230">
        <v>3.2850999999999999</v>
      </c>
    </row>
    <row r="71" spans="3:28" ht="12.75" customHeight="1">
      <c r="C71" s="195" t="s">
        <v>145</v>
      </c>
      <c r="D71" s="49"/>
      <c r="E71" s="247"/>
      <c r="F71" s="48"/>
      <c r="G71" s="49"/>
      <c r="H71" s="49"/>
      <c r="I71" s="49"/>
      <c r="J71" s="49"/>
      <c r="K71" s="49"/>
      <c r="L71" s="50"/>
      <c r="N71" s="48"/>
      <c r="O71" s="49"/>
      <c r="P71" s="49"/>
      <c r="Q71" s="49"/>
      <c r="R71" s="49"/>
      <c r="S71" s="49"/>
      <c r="T71" s="50"/>
      <c r="V71" s="48"/>
      <c r="W71" s="49"/>
      <c r="X71" s="49"/>
      <c r="Y71" s="49"/>
      <c r="Z71" s="49"/>
      <c r="AA71" s="49"/>
      <c r="AB71" s="50"/>
    </row>
    <row r="72" spans="3:28" ht="12.75" customHeight="1">
      <c r="C72" s="51"/>
      <c r="D72" s="217" t="s">
        <v>139</v>
      </c>
      <c r="E72" s="248" t="s">
        <v>151</v>
      </c>
      <c r="F72" s="225">
        <v>0</v>
      </c>
      <c r="G72" s="226">
        <v>0</v>
      </c>
      <c r="H72" s="226">
        <v>0</v>
      </c>
      <c r="I72" s="226">
        <v>0</v>
      </c>
      <c r="J72" s="226">
        <v>0</v>
      </c>
      <c r="K72" s="226">
        <v>9.3104000000000013</v>
      </c>
      <c r="L72" s="227">
        <v>9.3104000000000013</v>
      </c>
      <c r="N72" s="225">
        <v>0</v>
      </c>
      <c r="O72" s="226">
        <v>0</v>
      </c>
      <c r="P72" s="226">
        <v>0</v>
      </c>
      <c r="Q72" s="226">
        <v>0</v>
      </c>
      <c r="R72" s="226">
        <v>0</v>
      </c>
      <c r="S72" s="226">
        <v>8.2579999999999991</v>
      </c>
      <c r="T72" s="227">
        <v>7.1561833650559903</v>
      </c>
      <c r="V72" s="225">
        <v>0</v>
      </c>
      <c r="W72" s="226">
        <v>0</v>
      </c>
      <c r="X72" s="226">
        <v>0</v>
      </c>
      <c r="Y72" s="226">
        <v>0</v>
      </c>
      <c r="Z72" s="226">
        <v>0</v>
      </c>
      <c r="AA72" s="226">
        <v>8.2579999999999991</v>
      </c>
      <c r="AB72" s="227">
        <v>7.1561833650559903</v>
      </c>
    </row>
    <row r="73" spans="3:28" ht="12.75" customHeight="1">
      <c r="C73" s="51"/>
      <c r="D73" s="217" t="s">
        <v>140</v>
      </c>
      <c r="E73" s="248" t="s">
        <v>151</v>
      </c>
      <c r="F73" s="225">
        <v>0</v>
      </c>
      <c r="G73" s="226">
        <v>0</v>
      </c>
      <c r="H73" s="226">
        <v>0</v>
      </c>
      <c r="I73" s="226">
        <v>0</v>
      </c>
      <c r="J73" s="226">
        <v>0</v>
      </c>
      <c r="K73" s="226">
        <v>9.3104000000000013</v>
      </c>
      <c r="L73" s="227">
        <v>9.3104000000000013</v>
      </c>
      <c r="N73" s="225">
        <v>0</v>
      </c>
      <c r="O73" s="226">
        <v>0</v>
      </c>
      <c r="P73" s="226">
        <v>0</v>
      </c>
      <c r="Q73" s="226">
        <v>0</v>
      </c>
      <c r="R73" s="226">
        <v>0</v>
      </c>
      <c r="S73" s="226">
        <v>8.2579999999999991</v>
      </c>
      <c r="T73" s="227">
        <v>7.1561833650559938</v>
      </c>
      <c r="V73" s="225">
        <v>0</v>
      </c>
      <c r="W73" s="226">
        <v>0</v>
      </c>
      <c r="X73" s="226">
        <v>0</v>
      </c>
      <c r="Y73" s="226">
        <v>0</v>
      </c>
      <c r="Z73" s="226">
        <v>0</v>
      </c>
      <c r="AA73" s="226">
        <v>8.2579999999999991</v>
      </c>
      <c r="AB73" s="227">
        <v>7.1561833650559938</v>
      </c>
    </row>
    <row r="74" spans="3:28" ht="12.75" customHeight="1">
      <c r="C74" s="51"/>
      <c r="D74" s="217" t="s">
        <v>141</v>
      </c>
      <c r="E74" s="248" t="s">
        <v>151</v>
      </c>
      <c r="F74" s="225">
        <v>0</v>
      </c>
      <c r="G74" s="226">
        <v>0</v>
      </c>
      <c r="H74" s="226">
        <v>0</v>
      </c>
      <c r="I74" s="226">
        <v>0</v>
      </c>
      <c r="J74" s="226">
        <v>0</v>
      </c>
      <c r="K74" s="226">
        <v>8.3468</v>
      </c>
      <c r="L74" s="227">
        <v>8.3765000000000001</v>
      </c>
      <c r="N74" s="225">
        <v>0</v>
      </c>
      <c r="O74" s="226">
        <v>0</v>
      </c>
      <c r="P74" s="226">
        <v>0</v>
      </c>
      <c r="Q74" s="226">
        <v>0</v>
      </c>
      <c r="R74" s="226">
        <v>0</v>
      </c>
      <c r="S74" s="226">
        <v>8.2579999999999991</v>
      </c>
      <c r="T74" s="227">
        <v>7.1561833650559938</v>
      </c>
      <c r="V74" s="225">
        <v>0</v>
      </c>
      <c r="W74" s="226">
        <v>0</v>
      </c>
      <c r="X74" s="226">
        <v>0</v>
      </c>
      <c r="Y74" s="226">
        <v>0</v>
      </c>
      <c r="Z74" s="226">
        <v>0</v>
      </c>
      <c r="AA74" s="226">
        <v>8.2579999999999991</v>
      </c>
      <c r="AB74" s="227">
        <v>7.1561833650559938</v>
      </c>
    </row>
    <row r="75" spans="3:28" ht="12.75" customHeight="1">
      <c r="C75" s="51"/>
      <c r="D75" s="217" t="s">
        <v>142</v>
      </c>
      <c r="E75" s="248" t="s">
        <v>151</v>
      </c>
      <c r="F75" s="225">
        <v>0</v>
      </c>
      <c r="G75" s="226">
        <v>0</v>
      </c>
      <c r="H75" s="226">
        <v>0</v>
      </c>
      <c r="I75" s="226">
        <v>0</v>
      </c>
      <c r="J75" s="226">
        <v>0</v>
      </c>
      <c r="K75" s="226">
        <v>7.1357000000000008</v>
      </c>
      <c r="L75" s="227">
        <v>7.1610000000000005</v>
      </c>
      <c r="N75" s="225">
        <v>0</v>
      </c>
      <c r="O75" s="226">
        <v>0</v>
      </c>
      <c r="P75" s="226">
        <v>0</v>
      </c>
      <c r="Q75" s="226">
        <v>0</v>
      </c>
      <c r="R75" s="226">
        <v>0</v>
      </c>
      <c r="S75" s="226">
        <v>8.2579999999999991</v>
      </c>
      <c r="T75" s="227">
        <v>7.1561833650559938</v>
      </c>
      <c r="V75" s="225">
        <v>0</v>
      </c>
      <c r="W75" s="226">
        <v>0</v>
      </c>
      <c r="X75" s="226">
        <v>0</v>
      </c>
      <c r="Y75" s="226">
        <v>0</v>
      </c>
      <c r="Z75" s="226">
        <v>0</v>
      </c>
      <c r="AA75" s="226">
        <v>8.2579999999999991</v>
      </c>
      <c r="AB75" s="227">
        <v>7.1561833650559938</v>
      </c>
    </row>
    <row r="76" spans="3:28" ht="12.75" customHeight="1">
      <c r="C76" s="58"/>
      <c r="D76" s="27" t="s">
        <v>143</v>
      </c>
      <c r="E76" s="249" t="s">
        <v>151</v>
      </c>
      <c r="F76" s="228">
        <v>0</v>
      </c>
      <c r="G76" s="229">
        <v>0</v>
      </c>
      <c r="H76" s="229">
        <v>0</v>
      </c>
      <c r="I76" s="229">
        <v>0</v>
      </c>
      <c r="J76" s="229">
        <v>0</v>
      </c>
      <c r="K76" s="229">
        <v>6.4295</v>
      </c>
      <c r="L76" s="230">
        <v>6.4240000000000004</v>
      </c>
      <c r="N76" s="228">
        <v>0</v>
      </c>
      <c r="O76" s="229">
        <v>0</v>
      </c>
      <c r="P76" s="229">
        <v>0</v>
      </c>
      <c r="Q76" s="229">
        <v>0</v>
      </c>
      <c r="R76" s="229">
        <v>0</v>
      </c>
      <c r="S76" s="229">
        <v>8.2579999999999991</v>
      </c>
      <c r="T76" s="230">
        <v>7.1561833650559938</v>
      </c>
      <c r="V76" s="228">
        <v>0</v>
      </c>
      <c r="W76" s="229">
        <v>0</v>
      </c>
      <c r="X76" s="229">
        <v>0</v>
      </c>
      <c r="Y76" s="229">
        <v>0</v>
      </c>
      <c r="Z76" s="229">
        <v>0</v>
      </c>
      <c r="AA76" s="229">
        <v>8.2579999999999991</v>
      </c>
      <c r="AB76" s="230">
        <v>7.1561833650559938</v>
      </c>
    </row>
    <row r="77" spans="3:28" ht="12.75" customHeight="1">
      <c r="C77" s="195" t="s">
        <v>146</v>
      </c>
      <c r="D77" s="49"/>
      <c r="E77" s="247"/>
      <c r="F77" s="48"/>
      <c r="G77" s="49"/>
      <c r="H77" s="49"/>
      <c r="I77" s="49"/>
      <c r="J77" s="49"/>
      <c r="K77" s="49"/>
      <c r="L77" s="50"/>
      <c r="N77" s="48"/>
      <c r="O77" s="49"/>
      <c r="P77" s="49"/>
      <c r="Q77" s="49"/>
      <c r="R77" s="49"/>
      <c r="S77" s="49"/>
      <c r="T77" s="50"/>
      <c r="V77" s="48"/>
      <c r="W77" s="49"/>
      <c r="X77" s="49"/>
      <c r="Y77" s="49"/>
      <c r="Z77" s="49"/>
      <c r="AA77" s="49"/>
      <c r="AB77" s="50"/>
    </row>
    <row r="78" spans="3:28" ht="12.75" customHeight="1">
      <c r="C78" s="51"/>
      <c r="D78" s="217" t="s">
        <v>139</v>
      </c>
      <c r="E78" s="248" t="s">
        <v>151</v>
      </c>
      <c r="F78" s="225">
        <v>0</v>
      </c>
      <c r="G78" s="226">
        <v>0</v>
      </c>
      <c r="H78" s="226">
        <v>0</v>
      </c>
      <c r="I78" s="226">
        <v>0</v>
      </c>
      <c r="J78" s="226">
        <v>0</v>
      </c>
      <c r="K78" s="226">
        <v>2.2495000000000003</v>
      </c>
      <c r="L78" s="227">
        <v>2.2495000000000003</v>
      </c>
      <c r="N78" s="225">
        <v>0</v>
      </c>
      <c r="O78" s="226">
        <v>0</v>
      </c>
      <c r="P78" s="226">
        <v>0</v>
      </c>
      <c r="Q78" s="226">
        <v>0</v>
      </c>
      <c r="R78" s="226">
        <v>0</v>
      </c>
      <c r="S78" s="226">
        <v>0</v>
      </c>
      <c r="T78" s="227">
        <v>0</v>
      </c>
      <c r="V78" s="225">
        <v>0</v>
      </c>
      <c r="W78" s="226">
        <v>0</v>
      </c>
      <c r="X78" s="226">
        <v>0</v>
      </c>
      <c r="Y78" s="226">
        <v>0</v>
      </c>
      <c r="Z78" s="226">
        <v>0</v>
      </c>
      <c r="AA78" s="226">
        <v>0</v>
      </c>
      <c r="AB78" s="227">
        <v>0</v>
      </c>
    </row>
    <row r="79" spans="3:28" ht="12.75" customHeight="1">
      <c r="C79" s="51"/>
      <c r="D79" s="217" t="s">
        <v>140</v>
      </c>
      <c r="E79" s="248" t="s">
        <v>151</v>
      </c>
      <c r="F79" s="225">
        <v>0</v>
      </c>
      <c r="G79" s="226">
        <v>0</v>
      </c>
      <c r="H79" s="226">
        <v>0</v>
      </c>
      <c r="I79" s="226">
        <v>0</v>
      </c>
      <c r="J79" s="226">
        <v>0</v>
      </c>
      <c r="K79" s="226">
        <v>2.2495000000000003</v>
      </c>
      <c r="L79" s="227">
        <v>2.2495000000000003</v>
      </c>
      <c r="N79" s="225">
        <v>0</v>
      </c>
      <c r="O79" s="226">
        <v>0</v>
      </c>
      <c r="P79" s="226">
        <v>0</v>
      </c>
      <c r="Q79" s="226">
        <v>0</v>
      </c>
      <c r="R79" s="226">
        <v>0</v>
      </c>
      <c r="S79" s="226">
        <v>0</v>
      </c>
      <c r="T79" s="227">
        <v>0</v>
      </c>
      <c r="V79" s="225">
        <v>0</v>
      </c>
      <c r="W79" s="226">
        <v>0</v>
      </c>
      <c r="X79" s="226">
        <v>0</v>
      </c>
      <c r="Y79" s="226">
        <v>0</v>
      </c>
      <c r="Z79" s="226">
        <v>0</v>
      </c>
      <c r="AA79" s="226">
        <v>0</v>
      </c>
      <c r="AB79" s="227">
        <v>0</v>
      </c>
    </row>
    <row r="80" spans="3:28" ht="12.75" customHeight="1">
      <c r="C80" s="51"/>
      <c r="D80" s="217" t="s">
        <v>141</v>
      </c>
      <c r="E80" s="248" t="s">
        <v>151</v>
      </c>
      <c r="F80" s="225">
        <v>0</v>
      </c>
      <c r="G80" s="226">
        <v>0</v>
      </c>
      <c r="H80" s="226">
        <v>0</v>
      </c>
      <c r="I80" s="226">
        <v>0</v>
      </c>
      <c r="J80" s="226">
        <v>0</v>
      </c>
      <c r="K80" s="226">
        <v>1.9316000000000002</v>
      </c>
      <c r="L80" s="227">
        <v>1.9283000000000001</v>
      </c>
      <c r="N80" s="225">
        <v>0</v>
      </c>
      <c r="O80" s="226">
        <v>0</v>
      </c>
      <c r="P80" s="226">
        <v>0</v>
      </c>
      <c r="Q80" s="226">
        <v>0</v>
      </c>
      <c r="R80" s="226">
        <v>0</v>
      </c>
      <c r="S80" s="226">
        <v>0</v>
      </c>
      <c r="T80" s="227">
        <v>0</v>
      </c>
      <c r="V80" s="225">
        <v>0</v>
      </c>
      <c r="W80" s="226">
        <v>0</v>
      </c>
      <c r="X80" s="226">
        <v>0</v>
      </c>
      <c r="Y80" s="226">
        <v>0</v>
      </c>
      <c r="Z80" s="226">
        <v>0</v>
      </c>
      <c r="AA80" s="226">
        <v>0</v>
      </c>
      <c r="AB80" s="227">
        <v>0</v>
      </c>
    </row>
    <row r="81" spans="2:34" ht="12.75" customHeight="1">
      <c r="C81" s="51"/>
      <c r="D81" s="217" t="s">
        <v>142</v>
      </c>
      <c r="E81" s="248" t="s">
        <v>151</v>
      </c>
      <c r="F81" s="225">
        <v>0</v>
      </c>
      <c r="G81" s="226">
        <v>0</v>
      </c>
      <c r="H81" s="226">
        <v>0</v>
      </c>
      <c r="I81" s="226">
        <v>0</v>
      </c>
      <c r="J81" s="226">
        <v>0</v>
      </c>
      <c r="K81" s="226">
        <v>1.9316000000000002</v>
      </c>
      <c r="L81" s="227">
        <v>1.9283000000000001</v>
      </c>
      <c r="N81" s="225">
        <v>0</v>
      </c>
      <c r="O81" s="226">
        <v>0</v>
      </c>
      <c r="P81" s="226">
        <v>0</v>
      </c>
      <c r="Q81" s="226">
        <v>0</v>
      </c>
      <c r="R81" s="226">
        <v>0</v>
      </c>
      <c r="S81" s="226">
        <v>0</v>
      </c>
      <c r="T81" s="227">
        <v>0</v>
      </c>
      <c r="V81" s="225">
        <v>0</v>
      </c>
      <c r="W81" s="226">
        <v>0</v>
      </c>
      <c r="X81" s="226">
        <v>0</v>
      </c>
      <c r="Y81" s="226">
        <v>0</v>
      </c>
      <c r="Z81" s="226">
        <v>0</v>
      </c>
      <c r="AA81" s="226">
        <v>0</v>
      </c>
      <c r="AB81" s="227">
        <v>0</v>
      </c>
    </row>
    <row r="82" spans="2:34" ht="12.75" customHeight="1">
      <c r="C82" s="58"/>
      <c r="D82" s="27" t="s">
        <v>143</v>
      </c>
      <c r="E82" s="249" t="s">
        <v>151</v>
      </c>
      <c r="F82" s="228">
        <v>0</v>
      </c>
      <c r="G82" s="229">
        <v>0</v>
      </c>
      <c r="H82" s="229">
        <v>0</v>
      </c>
      <c r="I82" s="229">
        <v>0</v>
      </c>
      <c r="J82" s="229">
        <v>0</v>
      </c>
      <c r="K82" s="229">
        <v>1.9316000000000002</v>
      </c>
      <c r="L82" s="230">
        <v>1.9283000000000001</v>
      </c>
      <c r="N82" s="228">
        <v>0</v>
      </c>
      <c r="O82" s="229">
        <v>0</v>
      </c>
      <c r="P82" s="229">
        <v>0</v>
      </c>
      <c r="Q82" s="229">
        <v>0</v>
      </c>
      <c r="R82" s="229">
        <v>0</v>
      </c>
      <c r="S82" s="229">
        <v>0</v>
      </c>
      <c r="T82" s="230">
        <v>0</v>
      </c>
      <c r="V82" s="228">
        <v>0</v>
      </c>
      <c r="W82" s="229">
        <v>0</v>
      </c>
      <c r="X82" s="229">
        <v>0</v>
      </c>
      <c r="Y82" s="229">
        <v>0</v>
      </c>
      <c r="Z82" s="229">
        <v>0</v>
      </c>
      <c r="AA82" s="229">
        <v>0</v>
      </c>
      <c r="AB82" s="230">
        <v>0</v>
      </c>
    </row>
    <row r="84" spans="2:34" s="7" customFormat="1" ht="15.6">
      <c r="B84" s="7" t="s">
        <v>316</v>
      </c>
    </row>
    <row r="86" spans="2:34" ht="12.75" customHeight="1">
      <c r="F86" s="113" t="s">
        <v>490</v>
      </c>
      <c r="G86" s="113" t="s">
        <v>498</v>
      </c>
      <c r="H86" s="113" t="s">
        <v>154</v>
      </c>
      <c r="I86" s="113" t="s">
        <v>155</v>
      </c>
      <c r="J86" s="113" t="s">
        <v>156</v>
      </c>
      <c r="K86" s="113" t="s">
        <v>314</v>
      </c>
      <c r="L86" s="113" t="s">
        <v>181</v>
      </c>
      <c r="N86" s="113" t="s">
        <v>490</v>
      </c>
      <c r="O86" s="113" t="s">
        <v>498</v>
      </c>
      <c r="P86" s="113" t="s">
        <v>154</v>
      </c>
      <c r="Q86" s="113" t="s">
        <v>155</v>
      </c>
      <c r="R86" s="113" t="s">
        <v>156</v>
      </c>
      <c r="S86" s="113" t="s">
        <v>314</v>
      </c>
      <c r="T86" s="113" t="s">
        <v>181</v>
      </c>
      <c r="V86" s="113" t="s">
        <v>490</v>
      </c>
      <c r="W86" s="113" t="s">
        <v>498</v>
      </c>
      <c r="X86" s="113" t="s">
        <v>154</v>
      </c>
      <c r="Y86" s="113" t="s">
        <v>155</v>
      </c>
      <c r="Z86" s="113" t="s">
        <v>156</v>
      </c>
      <c r="AA86" s="113" t="s">
        <v>314</v>
      </c>
      <c r="AB86" s="113" t="s">
        <v>181</v>
      </c>
      <c r="AC86" s="392"/>
      <c r="AD86" s="407"/>
      <c r="AE86" s="407"/>
      <c r="AF86" s="407"/>
      <c r="AG86" s="407"/>
      <c r="AH86" s="407"/>
    </row>
    <row r="87" spans="2:34" ht="12.75" customHeight="1">
      <c r="C87" s="215" t="s">
        <v>292</v>
      </c>
      <c r="D87" s="49"/>
      <c r="E87" s="250" t="s">
        <v>318</v>
      </c>
      <c r="F87" s="206">
        <v>0</v>
      </c>
      <c r="G87" s="207">
        <v>0</v>
      </c>
      <c r="H87" s="207">
        <v>0</v>
      </c>
      <c r="I87" s="207">
        <v>0</v>
      </c>
      <c r="J87" s="207">
        <v>1652.2333333333336</v>
      </c>
      <c r="K87" s="207">
        <v>0</v>
      </c>
      <c r="L87" s="208">
        <v>0</v>
      </c>
      <c r="N87" s="206">
        <v>0</v>
      </c>
      <c r="O87" s="207">
        <v>0</v>
      </c>
      <c r="P87" s="207">
        <v>0</v>
      </c>
      <c r="Q87" s="207">
        <v>0</v>
      </c>
      <c r="R87" s="207">
        <v>1279.1243546130404</v>
      </c>
      <c r="S87" s="207">
        <v>0</v>
      </c>
      <c r="T87" s="208">
        <v>0</v>
      </c>
      <c r="V87" s="206">
        <v>0</v>
      </c>
      <c r="W87" s="207">
        <v>0</v>
      </c>
      <c r="X87" s="207">
        <v>0</v>
      </c>
      <c r="Y87" s="207">
        <v>0</v>
      </c>
      <c r="Z87" s="207">
        <v>1289.7009025595196</v>
      </c>
      <c r="AA87" s="207">
        <v>0</v>
      </c>
      <c r="AB87" s="208">
        <v>0</v>
      </c>
      <c r="AC87" s="390"/>
      <c r="AD87" s="408"/>
      <c r="AE87" s="408"/>
      <c r="AF87" s="408"/>
      <c r="AG87" s="408"/>
      <c r="AH87" s="408"/>
    </row>
    <row r="88" spans="2:34" ht="12.75" customHeight="1">
      <c r="C88" s="216" t="s">
        <v>293</v>
      </c>
      <c r="D88" s="52"/>
      <c r="E88" s="251" t="s">
        <v>318</v>
      </c>
      <c r="F88" s="209">
        <v>11517.071966125</v>
      </c>
      <c r="G88" s="210">
        <v>2946.2550936166667</v>
      </c>
      <c r="H88" s="210">
        <v>0</v>
      </c>
      <c r="I88" s="210">
        <v>0</v>
      </c>
      <c r="J88" s="210">
        <v>3077.3302083333556</v>
      </c>
      <c r="K88" s="210">
        <v>0</v>
      </c>
      <c r="L88" s="211">
        <v>20.146986027683933</v>
      </c>
      <c r="N88" s="209">
        <v>16681.116514563066</v>
      </c>
      <c r="O88" s="210">
        <v>5051.9532216555035</v>
      </c>
      <c r="P88" s="210">
        <v>0</v>
      </c>
      <c r="Q88" s="210">
        <v>0</v>
      </c>
      <c r="R88" s="210">
        <v>3090.1484466316792</v>
      </c>
      <c r="S88" s="210">
        <v>0</v>
      </c>
      <c r="T88" s="211">
        <v>15.812845289593321</v>
      </c>
      <c r="V88" s="209">
        <v>16761.419709906069</v>
      </c>
      <c r="W88" s="210">
        <v>5097.6324086531595</v>
      </c>
      <c r="X88" s="210">
        <v>0</v>
      </c>
      <c r="Y88" s="210">
        <v>0</v>
      </c>
      <c r="Z88" s="210">
        <v>3117.4497133635991</v>
      </c>
      <c r="AA88" s="210">
        <v>0</v>
      </c>
      <c r="AB88" s="211">
        <v>15.972038678928541</v>
      </c>
      <c r="AD88" s="408"/>
      <c r="AE88" s="408"/>
      <c r="AF88" s="408"/>
      <c r="AG88" s="408"/>
      <c r="AH88" s="408"/>
    </row>
    <row r="89" spans="2:34" ht="12.75" customHeight="1">
      <c r="C89" s="216" t="s">
        <v>214</v>
      </c>
      <c r="D89" s="52"/>
      <c r="E89" s="251" t="s">
        <v>318</v>
      </c>
      <c r="F89" s="209">
        <v>72066.386855531571</v>
      </c>
      <c r="G89" s="210">
        <v>17251.257360788921</v>
      </c>
      <c r="H89" s="210">
        <v>923.98482020010829</v>
      </c>
      <c r="I89" s="210">
        <v>111.06988757159982</v>
      </c>
      <c r="J89" s="210">
        <v>0</v>
      </c>
      <c r="K89" s="210">
        <v>0</v>
      </c>
      <c r="L89" s="211">
        <v>0</v>
      </c>
      <c r="N89" s="209">
        <v>65059.925106149531</v>
      </c>
      <c r="O89" s="210">
        <v>17151.632627473125</v>
      </c>
      <c r="P89" s="210">
        <v>923.98482020010829</v>
      </c>
      <c r="Q89" s="210">
        <v>111.06988757159982</v>
      </c>
      <c r="R89" s="210">
        <v>0</v>
      </c>
      <c r="S89" s="210">
        <v>0</v>
      </c>
      <c r="T89" s="211">
        <v>0</v>
      </c>
      <c r="V89" s="209">
        <v>63761.041882165497</v>
      </c>
      <c r="W89" s="210">
        <v>16820.075983691389</v>
      </c>
      <c r="X89" s="210">
        <v>928.60474430110878</v>
      </c>
      <c r="Y89" s="210">
        <v>111.62523700945781</v>
      </c>
      <c r="Z89" s="210">
        <v>0</v>
      </c>
      <c r="AA89" s="210">
        <v>0</v>
      </c>
      <c r="AB89" s="211">
        <v>0</v>
      </c>
      <c r="AD89" s="45"/>
      <c r="AE89" s="45"/>
      <c r="AF89" s="45"/>
      <c r="AG89" s="408"/>
      <c r="AH89" s="408"/>
    </row>
    <row r="90" spans="2:34" s="361" customFormat="1" ht="12.75" customHeight="1">
      <c r="C90" s="400" t="s">
        <v>215</v>
      </c>
      <c r="D90" s="223"/>
      <c r="E90" s="193" t="s">
        <v>318</v>
      </c>
      <c r="F90" s="209">
        <v>0</v>
      </c>
      <c r="G90" s="210">
        <v>0</v>
      </c>
      <c r="H90" s="210">
        <v>0</v>
      </c>
      <c r="I90" s="210">
        <v>0</v>
      </c>
      <c r="J90" s="210">
        <v>12712.091105379999</v>
      </c>
      <c r="K90" s="210">
        <v>0</v>
      </c>
      <c r="L90" s="211">
        <v>180.10357000000002</v>
      </c>
      <c r="N90" s="209">
        <v>0</v>
      </c>
      <c r="O90" s="210">
        <v>0</v>
      </c>
      <c r="P90" s="210">
        <v>0</v>
      </c>
      <c r="Q90" s="210">
        <v>0</v>
      </c>
      <c r="R90" s="210">
        <v>9472.3859560303827</v>
      </c>
      <c r="S90" s="210">
        <v>0</v>
      </c>
      <c r="T90" s="211">
        <v>134.08301250802319</v>
      </c>
      <c r="V90" s="209">
        <v>0</v>
      </c>
      <c r="W90" s="210">
        <v>0</v>
      </c>
      <c r="X90" s="210">
        <v>0</v>
      </c>
      <c r="Y90" s="210">
        <v>0</v>
      </c>
      <c r="Z90" s="210">
        <v>9287.2363273980955</v>
      </c>
      <c r="AA90" s="210">
        <v>0</v>
      </c>
      <c r="AB90" s="211">
        <v>131.29948932920266</v>
      </c>
      <c r="AD90" s="401"/>
    </row>
    <row r="91" spans="2:34" s="361" customFormat="1" ht="12.75" customHeight="1">
      <c r="C91" s="400" t="s">
        <v>296</v>
      </c>
      <c r="D91" s="223"/>
      <c r="E91" s="193" t="s">
        <v>318</v>
      </c>
      <c r="F91" s="209">
        <v>0</v>
      </c>
      <c r="G91" s="210">
        <v>0</v>
      </c>
      <c r="H91" s="210">
        <v>0</v>
      </c>
      <c r="I91" s="210">
        <v>0</v>
      </c>
      <c r="J91" s="210">
        <v>14089.510187820197</v>
      </c>
      <c r="K91" s="210">
        <v>0</v>
      </c>
      <c r="L91" s="211">
        <v>1.1480906835049507</v>
      </c>
      <c r="N91" s="209">
        <v>0</v>
      </c>
      <c r="O91" s="210">
        <v>0</v>
      </c>
      <c r="P91" s="210">
        <v>0</v>
      </c>
      <c r="Q91" s="210">
        <v>0</v>
      </c>
      <c r="R91" s="210">
        <v>13740.057401822769</v>
      </c>
      <c r="S91" s="210">
        <v>0</v>
      </c>
      <c r="T91" s="211">
        <v>0.87340040876022595</v>
      </c>
      <c r="V91" s="209">
        <v>0</v>
      </c>
      <c r="W91" s="210">
        <v>0</v>
      </c>
      <c r="X91" s="210">
        <v>0</v>
      </c>
      <c r="Y91" s="210">
        <v>0</v>
      </c>
      <c r="Z91" s="210">
        <v>13522.080224076703</v>
      </c>
      <c r="AA91" s="210">
        <v>0</v>
      </c>
      <c r="AB91" s="211">
        <v>0.85858644421663832</v>
      </c>
      <c r="AE91" s="402"/>
    </row>
    <row r="92" spans="2:34" s="361" customFormat="1" ht="12.75" customHeight="1">
      <c r="C92" s="400" t="s">
        <v>297</v>
      </c>
      <c r="D92" s="223"/>
      <c r="E92" s="193" t="s">
        <v>318</v>
      </c>
      <c r="F92" s="209">
        <v>0</v>
      </c>
      <c r="G92" s="210">
        <v>0</v>
      </c>
      <c r="H92" s="210">
        <v>0</v>
      </c>
      <c r="I92" s="210">
        <v>0</v>
      </c>
      <c r="J92" s="210">
        <v>0</v>
      </c>
      <c r="K92" s="210">
        <v>0</v>
      </c>
      <c r="L92" s="211">
        <v>0</v>
      </c>
      <c r="N92" s="209">
        <v>0</v>
      </c>
      <c r="O92" s="210">
        <v>0</v>
      </c>
      <c r="P92" s="210">
        <v>0</v>
      </c>
      <c r="Q92" s="210">
        <v>0</v>
      </c>
      <c r="R92" s="210">
        <v>0</v>
      </c>
      <c r="S92" s="210">
        <v>0</v>
      </c>
      <c r="T92" s="211">
        <v>0</v>
      </c>
      <c r="V92" s="209">
        <v>0</v>
      </c>
      <c r="W92" s="210">
        <v>0</v>
      </c>
      <c r="X92" s="210">
        <v>0</v>
      </c>
      <c r="Y92" s="210">
        <v>0</v>
      </c>
      <c r="Z92" s="210">
        <v>0</v>
      </c>
      <c r="AA92" s="210">
        <v>0</v>
      </c>
      <c r="AB92" s="211">
        <v>0</v>
      </c>
      <c r="AD92" s="403"/>
      <c r="AE92" s="403"/>
    </row>
    <row r="93" spans="2:34" s="361" customFormat="1" ht="12.75" customHeight="1">
      <c r="C93" s="362" t="s">
        <v>298</v>
      </c>
      <c r="D93" s="363"/>
      <c r="E93" s="194" t="s">
        <v>318</v>
      </c>
      <c r="F93" s="212">
        <v>0</v>
      </c>
      <c r="G93" s="213">
        <v>0</v>
      </c>
      <c r="H93" s="213">
        <v>0</v>
      </c>
      <c r="I93" s="213">
        <v>0</v>
      </c>
      <c r="J93" s="213">
        <v>0</v>
      </c>
      <c r="K93" s="213">
        <v>0</v>
      </c>
      <c r="L93" s="214">
        <v>0</v>
      </c>
      <c r="N93" s="212">
        <v>0</v>
      </c>
      <c r="O93" s="213">
        <v>0</v>
      </c>
      <c r="P93" s="213">
        <v>0</v>
      </c>
      <c r="Q93" s="213">
        <v>0</v>
      </c>
      <c r="R93" s="213">
        <v>0</v>
      </c>
      <c r="S93" s="213">
        <v>0</v>
      </c>
      <c r="T93" s="214">
        <v>0</v>
      </c>
      <c r="V93" s="212">
        <v>0</v>
      </c>
      <c r="W93" s="213">
        <v>0</v>
      </c>
      <c r="X93" s="213">
        <v>0</v>
      </c>
      <c r="Y93" s="213">
        <v>0</v>
      </c>
      <c r="Z93" s="213">
        <v>0</v>
      </c>
      <c r="AA93" s="213">
        <v>0</v>
      </c>
      <c r="AB93" s="214">
        <v>0</v>
      </c>
      <c r="AD93" s="391"/>
    </row>
    <row r="94" spans="2:34" ht="12.75" customHeight="1">
      <c r="C94" s="195" t="s">
        <v>138</v>
      </c>
      <c r="D94" s="49"/>
      <c r="E94" s="250" t="s">
        <v>318</v>
      </c>
      <c r="F94" s="48"/>
      <c r="G94" s="49"/>
      <c r="H94" s="49"/>
      <c r="I94" s="49"/>
      <c r="J94" s="49"/>
      <c r="K94" s="49"/>
      <c r="L94" s="50"/>
      <c r="N94" s="48"/>
      <c r="O94" s="49"/>
      <c r="P94" s="49"/>
      <c r="Q94" s="49"/>
      <c r="R94" s="49"/>
      <c r="S94" s="49"/>
      <c r="T94" s="50"/>
      <c r="V94" s="48"/>
      <c r="W94" s="49"/>
      <c r="X94" s="49"/>
      <c r="Y94" s="49"/>
      <c r="Z94" s="49"/>
      <c r="AA94" s="49"/>
      <c r="AB94" s="50"/>
      <c r="AD94" s="391"/>
    </row>
    <row r="95" spans="2:34" ht="12.75" customHeight="1">
      <c r="C95" s="51"/>
      <c r="D95" s="217" t="s">
        <v>139</v>
      </c>
      <c r="E95" s="251" t="s">
        <v>318</v>
      </c>
      <c r="F95" s="209">
        <v>0</v>
      </c>
      <c r="G95" s="210">
        <v>0</v>
      </c>
      <c r="H95" s="210">
        <v>0</v>
      </c>
      <c r="I95" s="210">
        <v>0</v>
      </c>
      <c r="J95" s="210">
        <v>0</v>
      </c>
      <c r="K95" s="210">
        <v>0</v>
      </c>
      <c r="L95" s="211">
        <v>0</v>
      </c>
      <c r="N95" s="209">
        <v>0</v>
      </c>
      <c r="O95" s="210">
        <v>0</v>
      </c>
      <c r="P95" s="210">
        <v>0</v>
      </c>
      <c r="Q95" s="210">
        <v>0</v>
      </c>
      <c r="R95" s="210">
        <v>0</v>
      </c>
      <c r="S95" s="210">
        <v>0</v>
      </c>
      <c r="T95" s="211">
        <v>0</v>
      </c>
      <c r="V95" s="209">
        <v>0</v>
      </c>
      <c r="W95" s="210">
        <v>0</v>
      </c>
      <c r="X95" s="210">
        <v>0</v>
      </c>
      <c r="Y95" s="210">
        <v>0</v>
      </c>
      <c r="Z95" s="210">
        <v>0</v>
      </c>
      <c r="AA95" s="210">
        <v>0</v>
      </c>
      <c r="AB95" s="211">
        <v>0</v>
      </c>
      <c r="AC95" s="390"/>
    </row>
    <row r="96" spans="2:34" ht="12.75" customHeight="1">
      <c r="C96" s="51"/>
      <c r="D96" s="217" t="s">
        <v>140</v>
      </c>
      <c r="E96" s="251" t="s">
        <v>318</v>
      </c>
      <c r="F96" s="209">
        <v>0</v>
      </c>
      <c r="G96" s="210">
        <v>0</v>
      </c>
      <c r="H96" s="210">
        <v>0</v>
      </c>
      <c r="I96" s="210">
        <v>0</v>
      </c>
      <c r="J96" s="210">
        <v>0</v>
      </c>
      <c r="K96" s="210">
        <v>0</v>
      </c>
      <c r="L96" s="211">
        <v>0</v>
      </c>
      <c r="N96" s="209">
        <v>0</v>
      </c>
      <c r="O96" s="210">
        <v>0</v>
      </c>
      <c r="P96" s="210">
        <v>0</v>
      </c>
      <c r="Q96" s="210">
        <v>0</v>
      </c>
      <c r="R96" s="210">
        <v>0</v>
      </c>
      <c r="S96" s="210">
        <v>0</v>
      </c>
      <c r="T96" s="211">
        <v>0</v>
      </c>
      <c r="V96" s="209">
        <v>0</v>
      </c>
      <c r="W96" s="210">
        <v>0</v>
      </c>
      <c r="X96" s="210">
        <v>0</v>
      </c>
      <c r="Y96" s="210">
        <v>0</v>
      </c>
      <c r="Z96" s="210">
        <v>0</v>
      </c>
      <c r="AA96" s="210">
        <v>0</v>
      </c>
      <c r="AB96" s="211">
        <v>0</v>
      </c>
      <c r="AD96" s="391"/>
    </row>
    <row r="97" spans="3:30" ht="12.75" customHeight="1">
      <c r="C97" s="51"/>
      <c r="D97" s="217" t="s">
        <v>141</v>
      </c>
      <c r="E97" s="251" t="s">
        <v>318</v>
      </c>
      <c r="F97" s="209">
        <v>0</v>
      </c>
      <c r="G97" s="210">
        <v>0</v>
      </c>
      <c r="H97" s="210">
        <v>0</v>
      </c>
      <c r="I97" s="210">
        <v>0</v>
      </c>
      <c r="J97" s="210">
        <v>0</v>
      </c>
      <c r="K97" s="210">
        <v>0</v>
      </c>
      <c r="L97" s="211">
        <v>0</v>
      </c>
      <c r="N97" s="209">
        <v>0</v>
      </c>
      <c r="O97" s="210">
        <v>0</v>
      </c>
      <c r="P97" s="210">
        <v>0</v>
      </c>
      <c r="Q97" s="210">
        <v>0</v>
      </c>
      <c r="R97" s="210">
        <v>0</v>
      </c>
      <c r="S97" s="210">
        <v>0</v>
      </c>
      <c r="T97" s="211">
        <v>0</v>
      </c>
      <c r="V97" s="209">
        <v>0</v>
      </c>
      <c r="W97" s="210">
        <v>0</v>
      </c>
      <c r="X97" s="210">
        <v>0</v>
      </c>
      <c r="Y97" s="210">
        <v>0</v>
      </c>
      <c r="Z97" s="210">
        <v>0</v>
      </c>
      <c r="AA97" s="210">
        <v>0</v>
      </c>
      <c r="AB97" s="211">
        <v>0</v>
      </c>
      <c r="AD97" s="391"/>
    </row>
    <row r="98" spans="3:30" ht="12.75" customHeight="1">
      <c r="C98" s="51"/>
      <c r="D98" s="217" t="s">
        <v>142</v>
      </c>
      <c r="E98" s="251" t="s">
        <v>318</v>
      </c>
      <c r="F98" s="209">
        <v>0</v>
      </c>
      <c r="G98" s="210">
        <v>0</v>
      </c>
      <c r="H98" s="210">
        <v>0</v>
      </c>
      <c r="I98" s="210">
        <v>0</v>
      </c>
      <c r="J98" s="210">
        <v>0</v>
      </c>
      <c r="K98" s="210">
        <v>0</v>
      </c>
      <c r="L98" s="211">
        <v>0</v>
      </c>
      <c r="N98" s="209">
        <v>0</v>
      </c>
      <c r="O98" s="210">
        <v>0</v>
      </c>
      <c r="P98" s="210">
        <v>0</v>
      </c>
      <c r="Q98" s="210">
        <v>0</v>
      </c>
      <c r="R98" s="210">
        <v>0</v>
      </c>
      <c r="S98" s="210">
        <v>0</v>
      </c>
      <c r="T98" s="211">
        <v>0</v>
      </c>
      <c r="V98" s="209">
        <v>0</v>
      </c>
      <c r="W98" s="210">
        <v>0</v>
      </c>
      <c r="X98" s="210">
        <v>0</v>
      </c>
      <c r="Y98" s="210">
        <v>0</v>
      </c>
      <c r="Z98" s="210">
        <v>0</v>
      </c>
      <c r="AA98" s="210">
        <v>0</v>
      </c>
      <c r="AB98" s="211">
        <v>0</v>
      </c>
      <c r="AD98" s="391"/>
    </row>
    <row r="99" spans="3:30" ht="12.75" customHeight="1">
      <c r="C99" s="58"/>
      <c r="D99" s="27" t="s">
        <v>143</v>
      </c>
      <c r="E99" s="252" t="s">
        <v>318</v>
      </c>
      <c r="F99" s="212">
        <v>0</v>
      </c>
      <c r="G99" s="213">
        <v>0</v>
      </c>
      <c r="H99" s="213">
        <v>0</v>
      </c>
      <c r="I99" s="213">
        <v>0</v>
      </c>
      <c r="J99" s="213">
        <v>0</v>
      </c>
      <c r="K99" s="213">
        <v>0</v>
      </c>
      <c r="L99" s="214">
        <v>0</v>
      </c>
      <c r="N99" s="212">
        <v>0</v>
      </c>
      <c r="O99" s="213">
        <v>0</v>
      </c>
      <c r="P99" s="213">
        <v>0</v>
      </c>
      <c r="Q99" s="213">
        <v>0</v>
      </c>
      <c r="R99" s="213">
        <v>0</v>
      </c>
      <c r="S99" s="213">
        <v>0</v>
      </c>
      <c r="T99" s="214">
        <v>0</v>
      </c>
      <c r="V99" s="212">
        <v>0</v>
      </c>
      <c r="W99" s="213">
        <v>0</v>
      </c>
      <c r="X99" s="213">
        <v>0</v>
      </c>
      <c r="Y99" s="213">
        <v>0</v>
      </c>
      <c r="Z99" s="213">
        <v>0</v>
      </c>
      <c r="AA99" s="213">
        <v>0</v>
      </c>
      <c r="AB99" s="214">
        <v>0</v>
      </c>
      <c r="AD99" s="391"/>
    </row>
    <row r="100" spans="3:30" ht="12.75" customHeight="1">
      <c r="C100" s="195" t="s">
        <v>144</v>
      </c>
      <c r="D100" s="49"/>
      <c r="E100" s="250" t="s">
        <v>318</v>
      </c>
      <c r="F100" s="48"/>
      <c r="G100" s="49"/>
      <c r="H100" s="49"/>
      <c r="I100" s="49"/>
      <c r="J100" s="49"/>
      <c r="K100" s="49"/>
      <c r="L100" s="50"/>
      <c r="N100" s="48"/>
      <c r="O100" s="49"/>
      <c r="P100" s="49"/>
      <c r="Q100" s="49"/>
      <c r="R100" s="49"/>
      <c r="S100" s="49"/>
      <c r="T100" s="50"/>
      <c r="V100" s="48"/>
      <c r="W100" s="49"/>
      <c r="X100" s="49"/>
      <c r="Y100" s="49"/>
      <c r="Z100" s="49"/>
      <c r="AA100" s="49"/>
      <c r="AB100" s="50"/>
      <c r="AD100" s="391"/>
    </row>
    <row r="101" spans="3:30" ht="12.75" customHeight="1">
      <c r="C101" s="51"/>
      <c r="D101" s="217" t="s">
        <v>139</v>
      </c>
      <c r="E101" s="251" t="s">
        <v>318</v>
      </c>
      <c r="F101" s="209">
        <v>0</v>
      </c>
      <c r="G101" s="210">
        <v>0</v>
      </c>
      <c r="H101" s="210">
        <v>0</v>
      </c>
      <c r="I101" s="210">
        <v>0</v>
      </c>
      <c r="J101" s="210">
        <v>0</v>
      </c>
      <c r="K101" s="210">
        <v>0</v>
      </c>
      <c r="L101" s="211">
        <v>0</v>
      </c>
      <c r="N101" s="209">
        <v>0</v>
      </c>
      <c r="O101" s="210">
        <v>0</v>
      </c>
      <c r="P101" s="210">
        <v>0</v>
      </c>
      <c r="Q101" s="210">
        <v>0</v>
      </c>
      <c r="R101" s="210">
        <v>0</v>
      </c>
      <c r="S101" s="210">
        <v>0</v>
      </c>
      <c r="T101" s="211">
        <v>0</v>
      </c>
      <c r="V101" s="209">
        <v>0</v>
      </c>
      <c r="W101" s="210">
        <v>0</v>
      </c>
      <c r="X101" s="210">
        <v>0</v>
      </c>
      <c r="Y101" s="210">
        <v>0</v>
      </c>
      <c r="Z101" s="210">
        <v>0</v>
      </c>
      <c r="AA101" s="210">
        <v>0</v>
      </c>
      <c r="AB101" s="211">
        <v>0</v>
      </c>
      <c r="AD101" s="391"/>
    </row>
    <row r="102" spans="3:30" ht="12.75" customHeight="1">
      <c r="C102" s="51"/>
      <c r="D102" s="217" t="s">
        <v>140</v>
      </c>
      <c r="E102" s="251" t="s">
        <v>318</v>
      </c>
      <c r="F102" s="209">
        <v>0</v>
      </c>
      <c r="G102" s="210">
        <v>0</v>
      </c>
      <c r="H102" s="210">
        <v>0</v>
      </c>
      <c r="I102" s="210">
        <v>0</v>
      </c>
      <c r="J102" s="210">
        <v>0</v>
      </c>
      <c r="K102" s="210">
        <v>0</v>
      </c>
      <c r="L102" s="211">
        <v>0</v>
      </c>
      <c r="N102" s="209">
        <v>0</v>
      </c>
      <c r="O102" s="210">
        <v>0</v>
      </c>
      <c r="P102" s="210">
        <v>0</v>
      </c>
      <c r="Q102" s="210">
        <v>0</v>
      </c>
      <c r="R102" s="210">
        <v>0</v>
      </c>
      <c r="S102" s="210">
        <v>0</v>
      </c>
      <c r="T102" s="211">
        <v>0</v>
      </c>
      <c r="V102" s="209">
        <v>0</v>
      </c>
      <c r="W102" s="210">
        <v>0</v>
      </c>
      <c r="X102" s="210">
        <v>0</v>
      </c>
      <c r="Y102" s="210">
        <v>0</v>
      </c>
      <c r="Z102" s="210">
        <v>0</v>
      </c>
      <c r="AA102" s="210">
        <v>0</v>
      </c>
      <c r="AB102" s="211">
        <v>0</v>
      </c>
      <c r="AD102" s="391"/>
    </row>
    <row r="103" spans="3:30" ht="12.75" customHeight="1">
      <c r="C103" s="51"/>
      <c r="D103" s="217" t="s">
        <v>141</v>
      </c>
      <c r="E103" s="251" t="s">
        <v>318</v>
      </c>
      <c r="F103" s="209">
        <v>0</v>
      </c>
      <c r="G103" s="210">
        <v>0</v>
      </c>
      <c r="H103" s="210">
        <v>0</v>
      </c>
      <c r="I103" s="210">
        <v>0</v>
      </c>
      <c r="J103" s="210">
        <v>0</v>
      </c>
      <c r="K103" s="210">
        <v>0</v>
      </c>
      <c r="L103" s="211">
        <v>0</v>
      </c>
      <c r="N103" s="209">
        <v>0</v>
      </c>
      <c r="O103" s="210">
        <v>0</v>
      </c>
      <c r="P103" s="210">
        <v>0</v>
      </c>
      <c r="Q103" s="210">
        <v>0</v>
      </c>
      <c r="R103" s="210">
        <v>0</v>
      </c>
      <c r="S103" s="210">
        <v>0</v>
      </c>
      <c r="T103" s="211">
        <v>0</v>
      </c>
      <c r="V103" s="209">
        <v>0</v>
      </c>
      <c r="W103" s="210">
        <v>0</v>
      </c>
      <c r="X103" s="210">
        <v>0</v>
      </c>
      <c r="Y103" s="210">
        <v>0</v>
      </c>
      <c r="Z103" s="210">
        <v>0</v>
      </c>
      <c r="AA103" s="210">
        <v>0</v>
      </c>
      <c r="AB103" s="211">
        <v>0</v>
      </c>
      <c r="AD103" s="391"/>
    </row>
    <row r="104" spans="3:30" ht="12.75" customHeight="1">
      <c r="C104" s="51"/>
      <c r="D104" s="217" t="s">
        <v>142</v>
      </c>
      <c r="E104" s="251" t="s">
        <v>318</v>
      </c>
      <c r="F104" s="209">
        <v>0</v>
      </c>
      <c r="G104" s="210">
        <v>0</v>
      </c>
      <c r="H104" s="210">
        <v>0</v>
      </c>
      <c r="I104" s="210">
        <v>0</v>
      </c>
      <c r="J104" s="210">
        <v>0</v>
      </c>
      <c r="K104" s="210">
        <v>0</v>
      </c>
      <c r="L104" s="211">
        <v>0</v>
      </c>
      <c r="N104" s="209">
        <v>0</v>
      </c>
      <c r="O104" s="210">
        <v>0</v>
      </c>
      <c r="P104" s="210">
        <v>0</v>
      </c>
      <c r="Q104" s="210">
        <v>0</v>
      </c>
      <c r="R104" s="210">
        <v>0</v>
      </c>
      <c r="S104" s="210">
        <v>0</v>
      </c>
      <c r="T104" s="211">
        <v>0</v>
      </c>
      <c r="V104" s="209">
        <v>0</v>
      </c>
      <c r="W104" s="210">
        <v>0</v>
      </c>
      <c r="X104" s="210">
        <v>0</v>
      </c>
      <c r="Y104" s="210">
        <v>0</v>
      </c>
      <c r="Z104" s="210">
        <v>0</v>
      </c>
      <c r="AA104" s="210">
        <v>0</v>
      </c>
      <c r="AB104" s="211">
        <v>0</v>
      </c>
      <c r="AD104" s="391"/>
    </row>
    <row r="105" spans="3:30" ht="12.75" customHeight="1">
      <c r="C105" s="58"/>
      <c r="D105" s="27" t="s">
        <v>143</v>
      </c>
      <c r="E105" s="252" t="s">
        <v>318</v>
      </c>
      <c r="F105" s="212">
        <v>0</v>
      </c>
      <c r="G105" s="213">
        <v>0</v>
      </c>
      <c r="H105" s="213">
        <v>0</v>
      </c>
      <c r="I105" s="213">
        <v>0</v>
      </c>
      <c r="J105" s="213">
        <v>0</v>
      </c>
      <c r="K105" s="213">
        <v>0</v>
      </c>
      <c r="L105" s="214">
        <v>0</v>
      </c>
      <c r="N105" s="212">
        <v>0</v>
      </c>
      <c r="O105" s="213">
        <v>0</v>
      </c>
      <c r="P105" s="213">
        <v>0</v>
      </c>
      <c r="Q105" s="213">
        <v>0</v>
      </c>
      <c r="R105" s="213">
        <v>0</v>
      </c>
      <c r="S105" s="213">
        <v>0</v>
      </c>
      <c r="T105" s="214">
        <v>0</v>
      </c>
      <c r="V105" s="212">
        <v>0</v>
      </c>
      <c r="W105" s="213">
        <v>0</v>
      </c>
      <c r="X105" s="213">
        <v>0</v>
      </c>
      <c r="Y105" s="213">
        <v>0</v>
      </c>
      <c r="Z105" s="213">
        <v>0</v>
      </c>
      <c r="AA105" s="213">
        <v>0</v>
      </c>
      <c r="AB105" s="214">
        <v>0</v>
      </c>
      <c r="AD105" s="391"/>
    </row>
    <row r="106" spans="3:30" ht="12.75" customHeight="1">
      <c r="C106" s="195" t="s">
        <v>145</v>
      </c>
      <c r="D106" s="49"/>
      <c r="E106" s="250" t="s">
        <v>318</v>
      </c>
      <c r="F106" s="48"/>
      <c r="G106" s="49"/>
      <c r="H106" s="49"/>
      <c r="I106" s="49"/>
      <c r="J106" s="49"/>
      <c r="K106" s="49"/>
      <c r="L106" s="50"/>
      <c r="N106" s="48"/>
      <c r="O106" s="49"/>
      <c r="P106" s="49"/>
      <c r="Q106" s="49"/>
      <c r="R106" s="49"/>
      <c r="S106" s="49"/>
      <c r="T106" s="50"/>
      <c r="V106" s="48"/>
      <c r="W106" s="49"/>
      <c r="X106" s="49"/>
      <c r="Y106" s="49"/>
      <c r="Z106" s="49"/>
      <c r="AA106" s="49"/>
      <c r="AB106" s="50"/>
      <c r="AD106" s="391"/>
    </row>
    <row r="107" spans="3:30" ht="12.75" customHeight="1">
      <c r="C107" s="51"/>
      <c r="D107" s="217" t="s">
        <v>139</v>
      </c>
      <c r="E107" s="251" t="s">
        <v>318</v>
      </c>
      <c r="F107" s="209">
        <v>0</v>
      </c>
      <c r="G107" s="210">
        <v>0</v>
      </c>
      <c r="H107" s="210">
        <v>0</v>
      </c>
      <c r="I107" s="210">
        <v>0</v>
      </c>
      <c r="J107" s="210">
        <v>0</v>
      </c>
      <c r="K107" s="210">
        <v>0</v>
      </c>
      <c r="L107" s="211">
        <v>0</v>
      </c>
      <c r="N107" s="209">
        <v>0</v>
      </c>
      <c r="O107" s="210">
        <v>0</v>
      </c>
      <c r="P107" s="210">
        <v>0</v>
      </c>
      <c r="Q107" s="210">
        <v>0</v>
      </c>
      <c r="R107" s="210">
        <v>0</v>
      </c>
      <c r="S107" s="210">
        <v>0</v>
      </c>
      <c r="T107" s="211">
        <v>0</v>
      </c>
      <c r="V107" s="209">
        <v>0</v>
      </c>
      <c r="W107" s="210">
        <v>0</v>
      </c>
      <c r="X107" s="210">
        <v>0</v>
      </c>
      <c r="Y107" s="210">
        <v>0</v>
      </c>
      <c r="Z107" s="210">
        <v>0</v>
      </c>
      <c r="AA107" s="210">
        <v>0</v>
      </c>
      <c r="AB107" s="211">
        <v>0</v>
      </c>
      <c r="AC107" s="390"/>
    </row>
    <row r="108" spans="3:30" ht="12.75" customHeight="1">
      <c r="C108" s="51"/>
      <c r="D108" s="217" t="s">
        <v>140</v>
      </c>
      <c r="E108" s="251" t="s">
        <v>318</v>
      </c>
      <c r="F108" s="209">
        <v>0</v>
      </c>
      <c r="G108" s="210">
        <v>0</v>
      </c>
      <c r="H108" s="210">
        <v>0</v>
      </c>
      <c r="I108" s="210">
        <v>0</v>
      </c>
      <c r="J108" s="210">
        <v>0</v>
      </c>
      <c r="K108" s="210">
        <v>0</v>
      </c>
      <c r="L108" s="211">
        <v>0</v>
      </c>
      <c r="N108" s="209">
        <v>0</v>
      </c>
      <c r="O108" s="210">
        <v>0</v>
      </c>
      <c r="P108" s="210">
        <v>0</v>
      </c>
      <c r="Q108" s="210">
        <v>0</v>
      </c>
      <c r="R108" s="210">
        <v>0</v>
      </c>
      <c r="S108" s="210">
        <v>0</v>
      </c>
      <c r="T108" s="211">
        <v>0</v>
      </c>
      <c r="V108" s="209">
        <v>0</v>
      </c>
      <c r="W108" s="210">
        <v>0</v>
      </c>
      <c r="X108" s="210">
        <v>0</v>
      </c>
      <c r="Y108" s="210">
        <v>0</v>
      </c>
      <c r="Z108" s="210">
        <v>0</v>
      </c>
      <c r="AA108" s="210">
        <v>0</v>
      </c>
      <c r="AB108" s="211">
        <v>0</v>
      </c>
      <c r="AD108" s="391"/>
    </row>
    <row r="109" spans="3:30" ht="12.75" customHeight="1">
      <c r="C109" s="51"/>
      <c r="D109" s="217" t="s">
        <v>141</v>
      </c>
      <c r="E109" s="251" t="s">
        <v>318</v>
      </c>
      <c r="F109" s="209">
        <v>0</v>
      </c>
      <c r="G109" s="210">
        <v>0</v>
      </c>
      <c r="H109" s="210">
        <v>0</v>
      </c>
      <c r="I109" s="210">
        <v>0</v>
      </c>
      <c r="J109" s="210">
        <v>0</v>
      </c>
      <c r="K109" s="210">
        <v>0</v>
      </c>
      <c r="L109" s="211">
        <v>0</v>
      </c>
      <c r="N109" s="209">
        <v>0</v>
      </c>
      <c r="O109" s="210">
        <v>0</v>
      </c>
      <c r="P109" s="210">
        <v>0</v>
      </c>
      <c r="Q109" s="210">
        <v>0</v>
      </c>
      <c r="R109" s="210">
        <v>0</v>
      </c>
      <c r="S109" s="210">
        <v>0</v>
      </c>
      <c r="T109" s="211">
        <v>0</v>
      </c>
      <c r="V109" s="209">
        <v>0</v>
      </c>
      <c r="W109" s="210">
        <v>0</v>
      </c>
      <c r="X109" s="210">
        <v>0</v>
      </c>
      <c r="Y109" s="210">
        <v>0</v>
      </c>
      <c r="Z109" s="210">
        <v>0</v>
      </c>
      <c r="AA109" s="210">
        <v>0</v>
      </c>
      <c r="AB109" s="211">
        <v>0</v>
      </c>
      <c r="AD109" s="391"/>
    </row>
    <row r="110" spans="3:30" ht="12.75" customHeight="1">
      <c r="C110" s="51"/>
      <c r="D110" s="217" t="s">
        <v>142</v>
      </c>
      <c r="E110" s="251" t="s">
        <v>318</v>
      </c>
      <c r="F110" s="209">
        <v>0</v>
      </c>
      <c r="G110" s="210">
        <v>0</v>
      </c>
      <c r="H110" s="210">
        <v>0</v>
      </c>
      <c r="I110" s="210">
        <v>0</v>
      </c>
      <c r="J110" s="210">
        <v>0</v>
      </c>
      <c r="K110" s="210">
        <v>0</v>
      </c>
      <c r="L110" s="211">
        <v>0</v>
      </c>
      <c r="N110" s="209">
        <v>0</v>
      </c>
      <c r="O110" s="210">
        <v>0</v>
      </c>
      <c r="P110" s="210">
        <v>0</v>
      </c>
      <c r="Q110" s="210">
        <v>0</v>
      </c>
      <c r="R110" s="210">
        <v>0</v>
      </c>
      <c r="S110" s="210">
        <v>0</v>
      </c>
      <c r="T110" s="211">
        <v>0</v>
      </c>
      <c r="V110" s="209">
        <v>0</v>
      </c>
      <c r="W110" s="210">
        <v>0</v>
      </c>
      <c r="X110" s="210">
        <v>0</v>
      </c>
      <c r="Y110" s="210">
        <v>0</v>
      </c>
      <c r="Z110" s="210">
        <v>0</v>
      </c>
      <c r="AA110" s="210">
        <v>0</v>
      </c>
      <c r="AB110" s="211">
        <v>0</v>
      </c>
    </row>
    <row r="111" spans="3:30" ht="12.75" customHeight="1">
      <c r="C111" s="58"/>
      <c r="D111" s="27" t="s">
        <v>143</v>
      </c>
      <c r="E111" s="252" t="s">
        <v>318</v>
      </c>
      <c r="F111" s="212">
        <v>0</v>
      </c>
      <c r="G111" s="213">
        <v>0</v>
      </c>
      <c r="H111" s="213">
        <v>0</v>
      </c>
      <c r="I111" s="213">
        <v>0</v>
      </c>
      <c r="J111" s="213">
        <v>0</v>
      </c>
      <c r="K111" s="213">
        <v>0</v>
      </c>
      <c r="L111" s="214">
        <v>0</v>
      </c>
      <c r="N111" s="212">
        <v>0</v>
      </c>
      <c r="O111" s="213">
        <v>0</v>
      </c>
      <c r="P111" s="213">
        <v>0</v>
      </c>
      <c r="Q111" s="213">
        <v>0</v>
      </c>
      <c r="R111" s="213">
        <v>0</v>
      </c>
      <c r="S111" s="213">
        <v>0</v>
      </c>
      <c r="T111" s="214">
        <v>0</v>
      </c>
      <c r="V111" s="212">
        <v>0</v>
      </c>
      <c r="W111" s="213">
        <v>0</v>
      </c>
      <c r="X111" s="213">
        <v>0</v>
      </c>
      <c r="Y111" s="213">
        <v>0</v>
      </c>
      <c r="Z111" s="213">
        <v>0</v>
      </c>
      <c r="AA111" s="213">
        <v>0</v>
      </c>
      <c r="AB111" s="214">
        <v>0</v>
      </c>
    </row>
    <row r="112" spans="3:30" ht="12.75" customHeight="1">
      <c r="C112" s="195" t="s">
        <v>146</v>
      </c>
      <c r="D112" s="49"/>
      <c r="E112" s="250" t="s">
        <v>318</v>
      </c>
      <c r="F112" s="48"/>
      <c r="G112" s="49"/>
      <c r="H112" s="49"/>
      <c r="I112" s="49"/>
      <c r="J112" s="49"/>
      <c r="K112" s="49"/>
      <c r="L112" s="50"/>
      <c r="N112" s="48"/>
      <c r="O112" s="49"/>
      <c r="P112" s="49"/>
      <c r="Q112" s="49"/>
      <c r="R112" s="49"/>
      <c r="S112" s="49"/>
      <c r="T112" s="50"/>
      <c r="V112" s="48"/>
      <c r="W112" s="49"/>
      <c r="X112" s="49"/>
      <c r="Y112" s="49"/>
      <c r="Z112" s="49"/>
      <c r="AA112" s="49"/>
      <c r="AB112" s="50"/>
    </row>
    <row r="113" spans="1:30" ht="12.75" customHeight="1">
      <c r="C113" s="51"/>
      <c r="D113" s="217" t="s">
        <v>139</v>
      </c>
      <c r="E113" s="251" t="s">
        <v>318</v>
      </c>
      <c r="F113" s="209">
        <v>0</v>
      </c>
      <c r="G113" s="210">
        <v>0</v>
      </c>
      <c r="H113" s="210">
        <v>0</v>
      </c>
      <c r="I113" s="210">
        <v>0</v>
      </c>
      <c r="J113" s="210">
        <v>0</v>
      </c>
      <c r="K113" s="210">
        <v>0</v>
      </c>
      <c r="L113" s="211">
        <v>0</v>
      </c>
      <c r="N113" s="209">
        <v>0</v>
      </c>
      <c r="O113" s="210">
        <v>0</v>
      </c>
      <c r="P113" s="210">
        <v>0</v>
      </c>
      <c r="Q113" s="210">
        <v>0</v>
      </c>
      <c r="R113" s="210">
        <v>0</v>
      </c>
      <c r="S113" s="210">
        <v>0</v>
      </c>
      <c r="T113" s="211">
        <v>0</v>
      </c>
      <c r="V113" s="209">
        <v>0</v>
      </c>
      <c r="W113" s="210">
        <v>0</v>
      </c>
      <c r="X113" s="210">
        <v>0</v>
      </c>
      <c r="Y113" s="210">
        <v>0</v>
      </c>
      <c r="Z113" s="210">
        <v>0</v>
      </c>
      <c r="AA113" s="210">
        <v>0</v>
      </c>
      <c r="AB113" s="211">
        <v>0</v>
      </c>
    </row>
    <row r="114" spans="1:30" ht="12.75" customHeight="1">
      <c r="C114" s="51"/>
      <c r="D114" s="217" t="s">
        <v>140</v>
      </c>
      <c r="E114" s="251" t="s">
        <v>318</v>
      </c>
      <c r="F114" s="209">
        <v>0</v>
      </c>
      <c r="G114" s="210">
        <v>0</v>
      </c>
      <c r="H114" s="210">
        <v>0</v>
      </c>
      <c r="I114" s="210">
        <v>0</v>
      </c>
      <c r="J114" s="210">
        <v>0</v>
      </c>
      <c r="K114" s="210">
        <v>0</v>
      </c>
      <c r="L114" s="211">
        <v>0</v>
      </c>
      <c r="N114" s="209">
        <v>0</v>
      </c>
      <c r="O114" s="210">
        <v>0</v>
      </c>
      <c r="P114" s="210">
        <v>0</v>
      </c>
      <c r="Q114" s="210">
        <v>0</v>
      </c>
      <c r="R114" s="210">
        <v>0</v>
      </c>
      <c r="S114" s="210">
        <v>0</v>
      </c>
      <c r="T114" s="211">
        <v>0</v>
      </c>
      <c r="V114" s="209">
        <v>0</v>
      </c>
      <c r="W114" s="210">
        <v>0</v>
      </c>
      <c r="X114" s="210">
        <v>0</v>
      </c>
      <c r="Y114" s="210">
        <v>0</v>
      </c>
      <c r="Z114" s="210">
        <v>0</v>
      </c>
      <c r="AA114" s="210">
        <v>0</v>
      </c>
      <c r="AB114" s="211">
        <v>0</v>
      </c>
    </row>
    <row r="115" spans="1:30" ht="12.75" customHeight="1">
      <c r="C115" s="51"/>
      <c r="D115" s="217" t="s">
        <v>141</v>
      </c>
      <c r="E115" s="251" t="s">
        <v>318</v>
      </c>
      <c r="F115" s="209">
        <v>0</v>
      </c>
      <c r="G115" s="210">
        <v>0</v>
      </c>
      <c r="H115" s="210">
        <v>0</v>
      </c>
      <c r="I115" s="210">
        <v>0</v>
      </c>
      <c r="J115" s="210">
        <v>0</v>
      </c>
      <c r="K115" s="210">
        <v>0</v>
      </c>
      <c r="L115" s="211">
        <v>0</v>
      </c>
      <c r="N115" s="209">
        <v>0</v>
      </c>
      <c r="O115" s="210">
        <v>0</v>
      </c>
      <c r="P115" s="210">
        <v>0</v>
      </c>
      <c r="Q115" s="210">
        <v>0</v>
      </c>
      <c r="R115" s="210">
        <v>0</v>
      </c>
      <c r="S115" s="210">
        <v>0</v>
      </c>
      <c r="T115" s="211">
        <v>0</v>
      </c>
      <c r="V115" s="209">
        <v>0</v>
      </c>
      <c r="W115" s="210">
        <v>0</v>
      </c>
      <c r="X115" s="210">
        <v>0</v>
      </c>
      <c r="Y115" s="210">
        <v>0</v>
      </c>
      <c r="Z115" s="210">
        <v>0</v>
      </c>
      <c r="AA115" s="210">
        <v>0</v>
      </c>
      <c r="AB115" s="211">
        <v>0</v>
      </c>
    </row>
    <row r="116" spans="1:30" ht="12.75" customHeight="1">
      <c r="C116" s="51"/>
      <c r="D116" s="217" t="s">
        <v>142</v>
      </c>
      <c r="E116" s="251" t="s">
        <v>318</v>
      </c>
      <c r="F116" s="209">
        <v>0</v>
      </c>
      <c r="G116" s="210">
        <v>0</v>
      </c>
      <c r="H116" s="210">
        <v>0</v>
      </c>
      <c r="I116" s="210">
        <v>0</v>
      </c>
      <c r="J116" s="210">
        <v>0</v>
      </c>
      <c r="K116" s="210">
        <v>0</v>
      </c>
      <c r="L116" s="211">
        <v>0</v>
      </c>
      <c r="N116" s="209">
        <v>0</v>
      </c>
      <c r="O116" s="210">
        <v>0</v>
      </c>
      <c r="P116" s="210">
        <v>0</v>
      </c>
      <c r="Q116" s="210">
        <v>0</v>
      </c>
      <c r="R116" s="210">
        <v>0</v>
      </c>
      <c r="S116" s="210">
        <v>0</v>
      </c>
      <c r="T116" s="211">
        <v>0</v>
      </c>
      <c r="V116" s="209">
        <v>0</v>
      </c>
      <c r="W116" s="210">
        <v>0</v>
      </c>
      <c r="X116" s="210">
        <v>0</v>
      </c>
      <c r="Y116" s="210">
        <v>0</v>
      </c>
      <c r="Z116" s="210">
        <v>0</v>
      </c>
      <c r="AA116" s="210">
        <v>0</v>
      </c>
      <c r="AB116" s="211">
        <v>0</v>
      </c>
    </row>
    <row r="117" spans="1:30" ht="12.75" customHeight="1">
      <c r="C117" s="58"/>
      <c r="D117" s="27" t="s">
        <v>143</v>
      </c>
      <c r="E117" s="252" t="s">
        <v>318</v>
      </c>
      <c r="F117" s="212">
        <v>0</v>
      </c>
      <c r="G117" s="213">
        <v>0</v>
      </c>
      <c r="H117" s="213">
        <v>0</v>
      </c>
      <c r="I117" s="213">
        <v>0</v>
      </c>
      <c r="J117" s="213">
        <v>0</v>
      </c>
      <c r="K117" s="213">
        <v>0</v>
      </c>
      <c r="L117" s="214">
        <v>0</v>
      </c>
      <c r="N117" s="212">
        <v>0</v>
      </c>
      <c r="O117" s="213">
        <v>0</v>
      </c>
      <c r="P117" s="213">
        <v>0</v>
      </c>
      <c r="Q117" s="213">
        <v>0</v>
      </c>
      <c r="R117" s="213">
        <v>0</v>
      </c>
      <c r="S117" s="213">
        <v>0</v>
      </c>
      <c r="T117" s="214">
        <v>0</v>
      </c>
      <c r="V117" s="212">
        <v>0</v>
      </c>
      <c r="W117" s="213">
        <v>0</v>
      </c>
      <c r="X117" s="213">
        <v>0</v>
      </c>
      <c r="Y117" s="213">
        <v>0</v>
      </c>
      <c r="Z117" s="213">
        <v>0</v>
      </c>
      <c r="AA117" s="213">
        <v>0</v>
      </c>
      <c r="AB117" s="214">
        <v>0</v>
      </c>
    </row>
    <row r="118" spans="1:30" ht="12.75" customHeight="1">
      <c r="C118" s="14" t="s">
        <v>73</v>
      </c>
      <c r="E118" s="49"/>
      <c r="F118" s="207">
        <v>83583.458821656575</v>
      </c>
      <c r="G118" s="207">
        <v>20197.512454405587</v>
      </c>
      <c r="H118" s="207">
        <v>923.98482020010829</v>
      </c>
      <c r="I118" s="207">
        <v>111.06988757159982</v>
      </c>
      <c r="J118" s="207">
        <v>31531.164834866886</v>
      </c>
      <c r="K118" s="207">
        <v>0</v>
      </c>
      <c r="L118" s="207">
        <v>201.39864671118892</v>
      </c>
      <c r="N118" s="207">
        <v>81741.041620712596</v>
      </c>
      <c r="O118" s="207">
        <v>22203.585849128627</v>
      </c>
      <c r="P118" s="207">
        <v>923.98482020010829</v>
      </c>
      <c r="Q118" s="207">
        <v>111.06988757159982</v>
      </c>
      <c r="R118" s="207">
        <v>27581.716159097872</v>
      </c>
      <c r="S118" s="207">
        <v>0</v>
      </c>
      <c r="T118" s="207">
        <v>150.76925820637675</v>
      </c>
      <c r="V118" s="207">
        <v>80522.461592071573</v>
      </c>
      <c r="W118" s="207">
        <v>21917.70839234455</v>
      </c>
      <c r="X118" s="207">
        <v>928.60474430110878</v>
      </c>
      <c r="Y118" s="207">
        <v>111.62523700945781</v>
      </c>
      <c r="Z118" s="207">
        <v>27216.467167397917</v>
      </c>
      <c r="AA118" s="207">
        <v>0</v>
      </c>
      <c r="AB118" s="207">
        <v>148.13011445234784</v>
      </c>
      <c r="AC118" s="390"/>
      <c r="AD118" s="390"/>
    </row>
    <row r="119" spans="1:30" ht="12.75" customHeight="1">
      <c r="C119" s="73" t="s">
        <v>320</v>
      </c>
      <c r="E119" s="52"/>
      <c r="F119" s="52"/>
      <c r="L119" s="253">
        <v>136548.58946541196</v>
      </c>
      <c r="N119" s="52"/>
      <c r="T119" s="253">
        <v>132712.16759491718</v>
      </c>
      <c r="V119" s="52"/>
      <c r="AB119" s="253">
        <v>130844.99724757695</v>
      </c>
    </row>
    <row r="120" spans="1:30" ht="12.75" customHeight="1">
      <c r="E120" s="52"/>
      <c r="F120" s="52"/>
    </row>
    <row r="121" spans="1:30" s="7" customFormat="1" ht="15.6">
      <c r="B121" s="7" t="s">
        <v>319</v>
      </c>
    </row>
    <row r="123" spans="1:30" ht="12.75" customHeight="1">
      <c r="F123" s="113" t="s">
        <v>490</v>
      </c>
      <c r="G123" s="113" t="s">
        <v>498</v>
      </c>
      <c r="H123" s="113" t="s">
        <v>154</v>
      </c>
      <c r="I123" s="113" t="s">
        <v>155</v>
      </c>
      <c r="J123" s="113" t="s">
        <v>156</v>
      </c>
      <c r="K123" s="113" t="s">
        <v>314</v>
      </c>
      <c r="L123" s="113" t="s">
        <v>181</v>
      </c>
      <c r="N123" s="113" t="s">
        <v>490</v>
      </c>
      <c r="O123" s="113" t="s">
        <v>498</v>
      </c>
      <c r="P123" s="113" t="s">
        <v>154</v>
      </c>
      <c r="Q123" s="113" t="s">
        <v>155</v>
      </c>
      <c r="R123" s="113" t="s">
        <v>156</v>
      </c>
      <c r="S123" s="113" t="s">
        <v>314</v>
      </c>
      <c r="T123" s="113" t="s">
        <v>181</v>
      </c>
      <c r="V123" s="113" t="s">
        <v>490</v>
      </c>
      <c r="W123" s="113" t="s">
        <v>498</v>
      </c>
      <c r="X123" s="113" t="s">
        <v>154</v>
      </c>
      <c r="Y123" s="113" t="s">
        <v>155</v>
      </c>
      <c r="Z123" s="113" t="s">
        <v>156</v>
      </c>
      <c r="AA123" s="113" t="s">
        <v>314</v>
      </c>
      <c r="AB123" s="113" t="s">
        <v>181</v>
      </c>
    </row>
    <row r="124" spans="1:30" ht="12.75" customHeight="1">
      <c r="C124" s="215" t="s">
        <v>292</v>
      </c>
      <c r="D124" s="49"/>
      <c r="E124" s="250" t="s">
        <v>318</v>
      </c>
      <c r="F124" s="206" t="s">
        <v>251</v>
      </c>
      <c r="G124" s="207" t="s">
        <v>251</v>
      </c>
      <c r="H124" s="207" t="s">
        <v>251</v>
      </c>
      <c r="I124" s="207" t="s">
        <v>251</v>
      </c>
      <c r="J124" s="207" t="s">
        <v>251</v>
      </c>
      <c r="K124" s="207" t="s">
        <v>251</v>
      </c>
      <c r="L124" s="208" t="s">
        <v>251</v>
      </c>
      <c r="N124" s="206">
        <v>0</v>
      </c>
      <c r="O124" s="207">
        <v>0</v>
      </c>
      <c r="P124" s="207">
        <v>0</v>
      </c>
      <c r="Q124" s="207">
        <v>0</v>
      </c>
      <c r="R124" s="207">
        <v>1289.7009025595196</v>
      </c>
      <c r="S124" s="207">
        <v>0</v>
      </c>
      <c r="T124" s="208">
        <v>0</v>
      </c>
      <c r="V124" s="206">
        <v>0</v>
      </c>
      <c r="W124" s="207">
        <v>0</v>
      </c>
      <c r="X124" s="207">
        <v>0</v>
      </c>
      <c r="Y124" s="207">
        <v>0</v>
      </c>
      <c r="Z124" s="207">
        <v>1289.7009025595196</v>
      </c>
      <c r="AA124" s="207">
        <v>0</v>
      </c>
      <c r="AB124" s="208">
        <v>0</v>
      </c>
    </row>
    <row r="125" spans="1:30" ht="12.75" customHeight="1">
      <c r="C125" s="216" t="s">
        <v>293</v>
      </c>
      <c r="D125" s="52"/>
      <c r="E125" s="251" t="s">
        <v>318</v>
      </c>
      <c r="F125" s="176" t="s">
        <v>251</v>
      </c>
      <c r="G125" s="161" t="s">
        <v>251</v>
      </c>
      <c r="H125" s="161" t="s">
        <v>251</v>
      </c>
      <c r="I125" s="161" t="s">
        <v>251</v>
      </c>
      <c r="J125" s="161" t="s">
        <v>251</v>
      </c>
      <c r="K125" s="161" t="s">
        <v>251</v>
      </c>
      <c r="L125" s="162" t="s">
        <v>251</v>
      </c>
      <c r="N125" s="209">
        <v>16761.419709906069</v>
      </c>
      <c r="O125" s="210">
        <v>5097.6324086531595</v>
      </c>
      <c r="P125" s="210">
        <v>0</v>
      </c>
      <c r="Q125" s="210">
        <v>0</v>
      </c>
      <c r="R125" s="210">
        <v>3117.4497133635991</v>
      </c>
      <c r="S125" s="210">
        <v>0</v>
      </c>
      <c r="T125" s="211">
        <v>15.972038678928541</v>
      </c>
      <c r="V125" s="209">
        <v>16761.419709906069</v>
      </c>
      <c r="W125" s="210">
        <v>5097.6324086531595</v>
      </c>
      <c r="X125" s="210">
        <v>0</v>
      </c>
      <c r="Y125" s="210">
        <v>0</v>
      </c>
      <c r="Z125" s="210">
        <v>3117.4497133635991</v>
      </c>
      <c r="AA125" s="210">
        <v>0</v>
      </c>
      <c r="AB125" s="211">
        <v>15.972038678928541</v>
      </c>
    </row>
    <row r="126" spans="1:30" ht="12.75" customHeight="1">
      <c r="C126" s="216" t="s">
        <v>214</v>
      </c>
      <c r="D126" s="52"/>
      <c r="E126" s="251" t="s">
        <v>318</v>
      </c>
      <c r="F126" s="176" t="s">
        <v>251</v>
      </c>
      <c r="G126" s="161" t="s">
        <v>251</v>
      </c>
      <c r="H126" s="161" t="s">
        <v>251</v>
      </c>
      <c r="I126" s="161" t="s">
        <v>251</v>
      </c>
      <c r="J126" s="161" t="s">
        <v>251</v>
      </c>
      <c r="K126" s="161" t="s">
        <v>251</v>
      </c>
      <c r="L126" s="162" t="s">
        <v>251</v>
      </c>
      <c r="N126" s="209">
        <v>63761.041882165497</v>
      </c>
      <c r="O126" s="210">
        <v>16820.075983691389</v>
      </c>
      <c r="P126" s="210">
        <v>928.60474430110878</v>
      </c>
      <c r="Q126" s="210">
        <v>111.62523700945781</v>
      </c>
      <c r="R126" s="210">
        <v>0</v>
      </c>
      <c r="S126" s="210">
        <v>0</v>
      </c>
      <c r="T126" s="211">
        <v>0</v>
      </c>
      <c r="V126" s="209">
        <v>63761.041882165497</v>
      </c>
      <c r="W126" s="210">
        <v>16820.075983691389</v>
      </c>
      <c r="X126" s="210">
        <v>928.60474430110878</v>
      </c>
      <c r="Y126" s="210">
        <v>111.62523700945781</v>
      </c>
      <c r="Z126" s="210">
        <v>0</v>
      </c>
      <c r="AA126" s="210">
        <v>0</v>
      </c>
      <c r="AB126" s="211">
        <v>0</v>
      </c>
    </row>
    <row r="127" spans="1:30" ht="12.75" customHeight="1">
      <c r="A127"/>
      <c r="C127" s="216" t="s">
        <v>215</v>
      </c>
      <c r="D127" s="223"/>
      <c r="E127" s="193" t="s">
        <v>318</v>
      </c>
      <c r="F127" s="209" t="s">
        <v>251</v>
      </c>
      <c r="G127" s="210" t="s">
        <v>251</v>
      </c>
      <c r="H127" s="210" t="s">
        <v>251</v>
      </c>
      <c r="I127" s="210" t="s">
        <v>251</v>
      </c>
      <c r="J127" s="210" t="s">
        <v>251</v>
      </c>
      <c r="K127" s="210" t="s">
        <v>251</v>
      </c>
      <c r="L127" s="211" t="s">
        <v>251</v>
      </c>
      <c r="M127" s="361"/>
      <c r="N127" s="209">
        <v>0</v>
      </c>
      <c r="O127" s="210">
        <v>0</v>
      </c>
      <c r="P127" s="210">
        <v>0</v>
      </c>
      <c r="Q127" s="210">
        <v>0</v>
      </c>
      <c r="R127" s="210">
        <v>9287.2363273980955</v>
      </c>
      <c r="S127" s="210">
        <v>0</v>
      </c>
      <c r="T127" s="211">
        <v>131.29948932920266</v>
      </c>
      <c r="U127" s="361"/>
      <c r="V127" s="209">
        <v>0</v>
      </c>
      <c r="W127" s="210">
        <v>0</v>
      </c>
      <c r="X127" s="210">
        <v>0</v>
      </c>
      <c r="Y127" s="210">
        <v>0</v>
      </c>
      <c r="Z127" s="210">
        <v>9287.2363273980955</v>
      </c>
      <c r="AA127" s="210">
        <v>0</v>
      </c>
      <c r="AB127" s="211">
        <v>131.29948932920266</v>
      </c>
    </row>
    <row r="128" spans="1:30" ht="12.75" customHeight="1">
      <c r="C128" s="216" t="s">
        <v>296</v>
      </c>
      <c r="D128" s="223"/>
      <c r="E128" s="193" t="s">
        <v>318</v>
      </c>
      <c r="F128" s="209" t="s">
        <v>251</v>
      </c>
      <c r="G128" s="210" t="s">
        <v>251</v>
      </c>
      <c r="H128" s="210" t="s">
        <v>251</v>
      </c>
      <c r="I128" s="210" t="s">
        <v>251</v>
      </c>
      <c r="J128" s="210" t="s">
        <v>251</v>
      </c>
      <c r="K128" s="210" t="s">
        <v>251</v>
      </c>
      <c r="L128" s="211" t="s">
        <v>251</v>
      </c>
      <c r="M128" s="361"/>
      <c r="N128" s="209">
        <v>0</v>
      </c>
      <c r="O128" s="210">
        <v>0</v>
      </c>
      <c r="P128" s="210">
        <v>0</v>
      </c>
      <c r="Q128" s="210">
        <v>0</v>
      </c>
      <c r="R128" s="210">
        <v>13522.080224076703</v>
      </c>
      <c r="S128" s="210">
        <v>0</v>
      </c>
      <c r="T128" s="211">
        <v>0.85858644421663832</v>
      </c>
      <c r="U128" s="361"/>
      <c r="V128" s="209">
        <v>0</v>
      </c>
      <c r="W128" s="210">
        <v>0</v>
      </c>
      <c r="X128" s="210">
        <v>0</v>
      </c>
      <c r="Y128" s="210">
        <v>0</v>
      </c>
      <c r="Z128" s="210">
        <v>13522.080224076703</v>
      </c>
      <c r="AA128" s="210">
        <v>0</v>
      </c>
      <c r="AB128" s="211">
        <v>0.85858644421663832</v>
      </c>
    </row>
    <row r="129" spans="3:28" ht="12.75" customHeight="1">
      <c r="C129" s="216" t="s">
        <v>297</v>
      </c>
      <c r="D129" s="223"/>
      <c r="E129" s="193" t="s">
        <v>318</v>
      </c>
      <c r="F129" s="209" t="s">
        <v>251</v>
      </c>
      <c r="G129" s="210" t="s">
        <v>251</v>
      </c>
      <c r="H129" s="210" t="s">
        <v>251</v>
      </c>
      <c r="I129" s="210" t="s">
        <v>251</v>
      </c>
      <c r="J129" s="210" t="s">
        <v>251</v>
      </c>
      <c r="K129" s="210" t="s">
        <v>251</v>
      </c>
      <c r="L129" s="211" t="s">
        <v>251</v>
      </c>
      <c r="M129" s="361"/>
      <c r="N129" s="209">
        <v>0</v>
      </c>
      <c r="O129" s="210">
        <v>0</v>
      </c>
      <c r="P129" s="210">
        <v>0</v>
      </c>
      <c r="Q129" s="210">
        <v>0</v>
      </c>
      <c r="R129" s="210">
        <v>0</v>
      </c>
      <c r="S129" s="210">
        <v>0</v>
      </c>
      <c r="T129" s="211">
        <v>0</v>
      </c>
      <c r="U129" s="361"/>
      <c r="V129" s="209">
        <v>0</v>
      </c>
      <c r="W129" s="210">
        <v>0</v>
      </c>
      <c r="X129" s="210">
        <v>0</v>
      </c>
      <c r="Y129" s="210">
        <v>0</v>
      </c>
      <c r="Z129" s="210">
        <v>0</v>
      </c>
      <c r="AA129" s="210">
        <v>0</v>
      </c>
      <c r="AB129" s="211">
        <v>0</v>
      </c>
    </row>
    <row r="130" spans="3:28" ht="12.75" customHeight="1">
      <c r="C130" s="218" t="s">
        <v>298</v>
      </c>
      <c r="D130" s="59"/>
      <c r="E130" s="252" t="s">
        <v>318</v>
      </c>
      <c r="F130" s="212" t="s">
        <v>251</v>
      </c>
      <c r="G130" s="213" t="s">
        <v>251</v>
      </c>
      <c r="H130" s="213" t="s">
        <v>251</v>
      </c>
      <c r="I130" s="213" t="s">
        <v>251</v>
      </c>
      <c r="J130" s="213" t="s">
        <v>251</v>
      </c>
      <c r="K130" s="213" t="s">
        <v>251</v>
      </c>
      <c r="L130" s="214" t="s">
        <v>251</v>
      </c>
      <c r="N130" s="212">
        <v>0</v>
      </c>
      <c r="O130" s="213">
        <v>0</v>
      </c>
      <c r="P130" s="213">
        <v>0</v>
      </c>
      <c r="Q130" s="213">
        <v>0</v>
      </c>
      <c r="R130" s="213">
        <v>0</v>
      </c>
      <c r="S130" s="213">
        <v>0</v>
      </c>
      <c r="T130" s="214">
        <v>0</v>
      </c>
      <c r="V130" s="212">
        <v>0</v>
      </c>
      <c r="W130" s="213">
        <v>0</v>
      </c>
      <c r="X130" s="213">
        <v>0</v>
      </c>
      <c r="Y130" s="213">
        <v>0</v>
      </c>
      <c r="Z130" s="213">
        <v>0</v>
      </c>
      <c r="AA130" s="213">
        <v>0</v>
      </c>
      <c r="AB130" s="214">
        <v>0</v>
      </c>
    </row>
    <row r="131" spans="3:28" ht="12.75" customHeight="1">
      <c r="C131" s="195" t="s">
        <v>138</v>
      </c>
      <c r="D131" s="49"/>
      <c r="E131" s="250" t="s">
        <v>318</v>
      </c>
      <c r="F131" s="48"/>
      <c r="G131" s="49"/>
      <c r="H131" s="49"/>
      <c r="I131" s="49"/>
      <c r="J131" s="49"/>
      <c r="K131" s="49"/>
      <c r="L131" s="50"/>
      <c r="N131" s="48"/>
      <c r="O131" s="49"/>
      <c r="P131" s="49"/>
      <c r="Q131" s="49"/>
      <c r="R131" s="49"/>
      <c r="S131" s="49"/>
      <c r="T131" s="50"/>
      <c r="V131" s="48"/>
      <c r="W131" s="49"/>
      <c r="X131" s="49"/>
      <c r="Y131" s="49"/>
      <c r="Z131" s="49"/>
      <c r="AA131" s="49"/>
      <c r="AB131" s="50"/>
    </row>
    <row r="132" spans="3:28" ht="12.75" customHeight="1">
      <c r="C132" s="51"/>
      <c r="D132" s="217" t="s">
        <v>139</v>
      </c>
      <c r="E132" s="251" t="s">
        <v>318</v>
      </c>
      <c r="F132" s="209" t="s">
        <v>251</v>
      </c>
      <c r="G132" s="210" t="s">
        <v>251</v>
      </c>
      <c r="H132" s="210" t="s">
        <v>251</v>
      </c>
      <c r="I132" s="210" t="s">
        <v>251</v>
      </c>
      <c r="J132" s="210" t="s">
        <v>251</v>
      </c>
      <c r="K132" s="210" t="s">
        <v>251</v>
      </c>
      <c r="L132" s="211" t="s">
        <v>251</v>
      </c>
      <c r="N132" s="209">
        <v>0</v>
      </c>
      <c r="O132" s="210">
        <v>0</v>
      </c>
      <c r="P132" s="210">
        <v>0</v>
      </c>
      <c r="Q132" s="210">
        <v>0</v>
      </c>
      <c r="R132" s="210">
        <v>0</v>
      </c>
      <c r="S132" s="210">
        <v>0</v>
      </c>
      <c r="T132" s="211">
        <v>0</v>
      </c>
      <c r="V132" s="209">
        <v>0</v>
      </c>
      <c r="W132" s="210">
        <v>0</v>
      </c>
      <c r="X132" s="210">
        <v>0</v>
      </c>
      <c r="Y132" s="210">
        <v>0</v>
      </c>
      <c r="Z132" s="210">
        <v>0</v>
      </c>
      <c r="AA132" s="210">
        <v>0</v>
      </c>
      <c r="AB132" s="211">
        <v>0</v>
      </c>
    </row>
    <row r="133" spans="3:28" ht="12.75" customHeight="1">
      <c r="C133" s="51"/>
      <c r="D133" s="217" t="s">
        <v>140</v>
      </c>
      <c r="E133" s="251" t="s">
        <v>318</v>
      </c>
      <c r="F133" s="209" t="s">
        <v>251</v>
      </c>
      <c r="G133" s="210" t="s">
        <v>251</v>
      </c>
      <c r="H133" s="210" t="s">
        <v>251</v>
      </c>
      <c r="I133" s="210" t="s">
        <v>251</v>
      </c>
      <c r="J133" s="210" t="s">
        <v>251</v>
      </c>
      <c r="K133" s="210" t="s">
        <v>251</v>
      </c>
      <c r="L133" s="211" t="s">
        <v>251</v>
      </c>
      <c r="N133" s="209">
        <v>0</v>
      </c>
      <c r="O133" s="210">
        <v>0</v>
      </c>
      <c r="P133" s="210">
        <v>0</v>
      </c>
      <c r="Q133" s="210">
        <v>0</v>
      </c>
      <c r="R133" s="210">
        <v>0</v>
      </c>
      <c r="S133" s="210">
        <v>0</v>
      </c>
      <c r="T133" s="211">
        <v>0</v>
      </c>
      <c r="V133" s="209">
        <v>0</v>
      </c>
      <c r="W133" s="210">
        <v>0</v>
      </c>
      <c r="X133" s="210">
        <v>0</v>
      </c>
      <c r="Y133" s="210">
        <v>0</v>
      </c>
      <c r="Z133" s="210">
        <v>0</v>
      </c>
      <c r="AA133" s="210">
        <v>0</v>
      </c>
      <c r="AB133" s="211">
        <v>0</v>
      </c>
    </row>
    <row r="134" spans="3:28" ht="12.75" customHeight="1">
      <c r="C134" s="51"/>
      <c r="D134" s="217" t="s">
        <v>141</v>
      </c>
      <c r="E134" s="251" t="s">
        <v>318</v>
      </c>
      <c r="F134" s="209" t="s">
        <v>251</v>
      </c>
      <c r="G134" s="210" t="s">
        <v>251</v>
      </c>
      <c r="H134" s="210" t="s">
        <v>251</v>
      </c>
      <c r="I134" s="210" t="s">
        <v>251</v>
      </c>
      <c r="J134" s="210" t="s">
        <v>251</v>
      </c>
      <c r="K134" s="210" t="s">
        <v>251</v>
      </c>
      <c r="L134" s="211" t="s">
        <v>251</v>
      </c>
      <c r="N134" s="209">
        <v>0</v>
      </c>
      <c r="O134" s="210">
        <v>0</v>
      </c>
      <c r="P134" s="210">
        <v>0</v>
      </c>
      <c r="Q134" s="210">
        <v>0</v>
      </c>
      <c r="R134" s="210">
        <v>0</v>
      </c>
      <c r="S134" s="210">
        <v>0</v>
      </c>
      <c r="T134" s="211">
        <v>0</v>
      </c>
      <c r="V134" s="209">
        <v>0</v>
      </c>
      <c r="W134" s="210">
        <v>0</v>
      </c>
      <c r="X134" s="210">
        <v>0</v>
      </c>
      <c r="Y134" s="210">
        <v>0</v>
      </c>
      <c r="Z134" s="210">
        <v>0</v>
      </c>
      <c r="AA134" s="210">
        <v>0</v>
      </c>
      <c r="AB134" s="211">
        <v>0</v>
      </c>
    </row>
    <row r="135" spans="3:28" ht="12.75" customHeight="1">
      <c r="C135" s="51"/>
      <c r="D135" s="217" t="s">
        <v>142</v>
      </c>
      <c r="E135" s="251" t="s">
        <v>318</v>
      </c>
      <c r="F135" s="209" t="s">
        <v>251</v>
      </c>
      <c r="G135" s="210" t="s">
        <v>251</v>
      </c>
      <c r="H135" s="210" t="s">
        <v>251</v>
      </c>
      <c r="I135" s="210" t="s">
        <v>251</v>
      </c>
      <c r="J135" s="210" t="s">
        <v>251</v>
      </c>
      <c r="K135" s="210" t="s">
        <v>251</v>
      </c>
      <c r="L135" s="211" t="s">
        <v>251</v>
      </c>
      <c r="N135" s="209">
        <v>0</v>
      </c>
      <c r="O135" s="210">
        <v>0</v>
      </c>
      <c r="P135" s="210">
        <v>0</v>
      </c>
      <c r="Q135" s="210">
        <v>0</v>
      </c>
      <c r="R135" s="210">
        <v>0</v>
      </c>
      <c r="S135" s="210">
        <v>0</v>
      </c>
      <c r="T135" s="211">
        <v>0</v>
      </c>
      <c r="V135" s="209">
        <v>0</v>
      </c>
      <c r="W135" s="210">
        <v>0</v>
      </c>
      <c r="X135" s="210">
        <v>0</v>
      </c>
      <c r="Y135" s="210">
        <v>0</v>
      </c>
      <c r="Z135" s="210">
        <v>0</v>
      </c>
      <c r="AA135" s="210">
        <v>0</v>
      </c>
      <c r="AB135" s="211">
        <v>0</v>
      </c>
    </row>
    <row r="136" spans="3:28" ht="12.75" customHeight="1">
      <c r="C136" s="58"/>
      <c r="D136" s="27" t="s">
        <v>143</v>
      </c>
      <c r="E136" s="252" t="s">
        <v>318</v>
      </c>
      <c r="F136" s="212" t="s">
        <v>251</v>
      </c>
      <c r="G136" s="213" t="s">
        <v>251</v>
      </c>
      <c r="H136" s="213" t="s">
        <v>251</v>
      </c>
      <c r="I136" s="213" t="s">
        <v>251</v>
      </c>
      <c r="J136" s="213" t="s">
        <v>251</v>
      </c>
      <c r="K136" s="213" t="s">
        <v>251</v>
      </c>
      <c r="L136" s="214" t="s">
        <v>251</v>
      </c>
      <c r="N136" s="212">
        <v>0</v>
      </c>
      <c r="O136" s="213">
        <v>0</v>
      </c>
      <c r="P136" s="213">
        <v>0</v>
      </c>
      <c r="Q136" s="213">
        <v>0</v>
      </c>
      <c r="R136" s="213">
        <v>0</v>
      </c>
      <c r="S136" s="213">
        <v>0</v>
      </c>
      <c r="T136" s="214">
        <v>0</v>
      </c>
      <c r="V136" s="212">
        <v>0</v>
      </c>
      <c r="W136" s="213">
        <v>0</v>
      </c>
      <c r="X136" s="213">
        <v>0</v>
      </c>
      <c r="Y136" s="213">
        <v>0</v>
      </c>
      <c r="Z136" s="213">
        <v>0</v>
      </c>
      <c r="AA136" s="213">
        <v>0</v>
      </c>
      <c r="AB136" s="214">
        <v>0</v>
      </c>
    </row>
    <row r="137" spans="3:28" ht="12.75" customHeight="1">
      <c r="C137" s="195" t="s">
        <v>144</v>
      </c>
      <c r="D137" s="49"/>
      <c r="E137" s="250" t="s">
        <v>318</v>
      </c>
      <c r="F137" s="48"/>
      <c r="G137" s="49"/>
      <c r="H137" s="49"/>
      <c r="I137" s="49"/>
      <c r="J137" s="49"/>
      <c r="K137" s="49"/>
      <c r="L137" s="50"/>
      <c r="N137" s="48"/>
      <c r="O137" s="49"/>
      <c r="P137" s="49"/>
      <c r="Q137" s="49"/>
      <c r="R137" s="49"/>
      <c r="S137" s="49"/>
      <c r="T137" s="50"/>
      <c r="V137" s="48"/>
      <c r="W137" s="49"/>
      <c r="X137" s="49"/>
      <c r="Y137" s="49"/>
      <c r="Z137" s="49"/>
      <c r="AA137" s="49"/>
      <c r="AB137" s="50"/>
    </row>
    <row r="138" spans="3:28" ht="12.75" customHeight="1">
      <c r="C138" s="51"/>
      <c r="D138" s="217" t="s">
        <v>139</v>
      </c>
      <c r="E138" s="251" t="s">
        <v>318</v>
      </c>
      <c r="F138" s="209" t="s">
        <v>251</v>
      </c>
      <c r="G138" s="210" t="s">
        <v>251</v>
      </c>
      <c r="H138" s="210" t="s">
        <v>251</v>
      </c>
      <c r="I138" s="210" t="s">
        <v>251</v>
      </c>
      <c r="J138" s="210" t="s">
        <v>251</v>
      </c>
      <c r="K138" s="210" t="s">
        <v>251</v>
      </c>
      <c r="L138" s="211" t="s">
        <v>251</v>
      </c>
      <c r="N138" s="209">
        <v>0</v>
      </c>
      <c r="O138" s="210">
        <v>0</v>
      </c>
      <c r="P138" s="210">
        <v>0</v>
      </c>
      <c r="Q138" s="210">
        <v>0</v>
      </c>
      <c r="R138" s="210">
        <v>0</v>
      </c>
      <c r="S138" s="210">
        <v>0</v>
      </c>
      <c r="T138" s="211">
        <v>0</v>
      </c>
      <c r="V138" s="209">
        <v>0</v>
      </c>
      <c r="W138" s="210">
        <v>0</v>
      </c>
      <c r="X138" s="210">
        <v>0</v>
      </c>
      <c r="Y138" s="210">
        <v>0</v>
      </c>
      <c r="Z138" s="210">
        <v>0</v>
      </c>
      <c r="AA138" s="210">
        <v>0</v>
      </c>
      <c r="AB138" s="211">
        <v>0</v>
      </c>
    </row>
    <row r="139" spans="3:28" ht="12.75" customHeight="1">
      <c r="C139" s="51"/>
      <c r="D139" s="217" t="s">
        <v>140</v>
      </c>
      <c r="E139" s="251" t="s">
        <v>318</v>
      </c>
      <c r="F139" s="209" t="s">
        <v>251</v>
      </c>
      <c r="G139" s="210" t="s">
        <v>251</v>
      </c>
      <c r="H139" s="210" t="s">
        <v>251</v>
      </c>
      <c r="I139" s="210" t="s">
        <v>251</v>
      </c>
      <c r="J139" s="210" t="s">
        <v>251</v>
      </c>
      <c r="K139" s="210" t="s">
        <v>251</v>
      </c>
      <c r="L139" s="211" t="s">
        <v>251</v>
      </c>
      <c r="N139" s="209">
        <v>0</v>
      </c>
      <c r="O139" s="210">
        <v>0</v>
      </c>
      <c r="P139" s="210">
        <v>0</v>
      </c>
      <c r="Q139" s="210">
        <v>0</v>
      </c>
      <c r="R139" s="210">
        <v>0</v>
      </c>
      <c r="S139" s="210">
        <v>0</v>
      </c>
      <c r="T139" s="211">
        <v>0</v>
      </c>
      <c r="V139" s="209">
        <v>0</v>
      </c>
      <c r="W139" s="210">
        <v>0</v>
      </c>
      <c r="X139" s="210">
        <v>0</v>
      </c>
      <c r="Y139" s="210">
        <v>0</v>
      </c>
      <c r="Z139" s="210">
        <v>0</v>
      </c>
      <c r="AA139" s="210">
        <v>0</v>
      </c>
      <c r="AB139" s="211">
        <v>0</v>
      </c>
    </row>
    <row r="140" spans="3:28" ht="12.75" customHeight="1">
      <c r="C140" s="51"/>
      <c r="D140" s="217" t="s">
        <v>141</v>
      </c>
      <c r="E140" s="251" t="s">
        <v>318</v>
      </c>
      <c r="F140" s="209" t="s">
        <v>251</v>
      </c>
      <c r="G140" s="210" t="s">
        <v>251</v>
      </c>
      <c r="H140" s="210" t="s">
        <v>251</v>
      </c>
      <c r="I140" s="210" t="s">
        <v>251</v>
      </c>
      <c r="J140" s="210" t="s">
        <v>251</v>
      </c>
      <c r="K140" s="210" t="s">
        <v>251</v>
      </c>
      <c r="L140" s="211" t="s">
        <v>251</v>
      </c>
      <c r="N140" s="209">
        <v>0</v>
      </c>
      <c r="O140" s="210">
        <v>0</v>
      </c>
      <c r="P140" s="210">
        <v>0</v>
      </c>
      <c r="Q140" s="210">
        <v>0</v>
      </c>
      <c r="R140" s="210">
        <v>0</v>
      </c>
      <c r="S140" s="210">
        <v>0</v>
      </c>
      <c r="T140" s="211">
        <v>0</v>
      </c>
      <c r="V140" s="209">
        <v>0</v>
      </c>
      <c r="W140" s="210">
        <v>0</v>
      </c>
      <c r="X140" s="210">
        <v>0</v>
      </c>
      <c r="Y140" s="210">
        <v>0</v>
      </c>
      <c r="Z140" s="210">
        <v>0</v>
      </c>
      <c r="AA140" s="210">
        <v>0</v>
      </c>
      <c r="AB140" s="211">
        <v>0</v>
      </c>
    </row>
    <row r="141" spans="3:28" ht="12.75" customHeight="1">
      <c r="C141" s="51"/>
      <c r="D141" s="217" t="s">
        <v>142</v>
      </c>
      <c r="E141" s="251" t="s">
        <v>318</v>
      </c>
      <c r="F141" s="209" t="s">
        <v>251</v>
      </c>
      <c r="G141" s="210" t="s">
        <v>251</v>
      </c>
      <c r="H141" s="210" t="s">
        <v>251</v>
      </c>
      <c r="I141" s="210" t="s">
        <v>251</v>
      </c>
      <c r="J141" s="210" t="s">
        <v>251</v>
      </c>
      <c r="K141" s="210" t="s">
        <v>251</v>
      </c>
      <c r="L141" s="211" t="s">
        <v>251</v>
      </c>
      <c r="N141" s="209">
        <v>0</v>
      </c>
      <c r="O141" s="210">
        <v>0</v>
      </c>
      <c r="P141" s="210">
        <v>0</v>
      </c>
      <c r="Q141" s="210">
        <v>0</v>
      </c>
      <c r="R141" s="210">
        <v>0</v>
      </c>
      <c r="S141" s="210">
        <v>0</v>
      </c>
      <c r="T141" s="211">
        <v>0</v>
      </c>
      <c r="V141" s="209">
        <v>0</v>
      </c>
      <c r="W141" s="210">
        <v>0</v>
      </c>
      <c r="X141" s="210">
        <v>0</v>
      </c>
      <c r="Y141" s="210">
        <v>0</v>
      </c>
      <c r="Z141" s="210">
        <v>0</v>
      </c>
      <c r="AA141" s="210">
        <v>0</v>
      </c>
      <c r="AB141" s="211">
        <v>0</v>
      </c>
    </row>
    <row r="142" spans="3:28" ht="12.75" customHeight="1">
      <c r="C142" s="58"/>
      <c r="D142" s="27" t="s">
        <v>143</v>
      </c>
      <c r="E142" s="252" t="s">
        <v>318</v>
      </c>
      <c r="F142" s="212" t="s">
        <v>251</v>
      </c>
      <c r="G142" s="213" t="s">
        <v>251</v>
      </c>
      <c r="H142" s="213" t="s">
        <v>251</v>
      </c>
      <c r="I142" s="213" t="s">
        <v>251</v>
      </c>
      <c r="J142" s="213" t="s">
        <v>251</v>
      </c>
      <c r="K142" s="213" t="s">
        <v>251</v>
      </c>
      <c r="L142" s="214" t="s">
        <v>251</v>
      </c>
      <c r="N142" s="212">
        <v>0</v>
      </c>
      <c r="O142" s="213">
        <v>0</v>
      </c>
      <c r="P142" s="213">
        <v>0</v>
      </c>
      <c r="Q142" s="213">
        <v>0</v>
      </c>
      <c r="R142" s="213">
        <v>0</v>
      </c>
      <c r="S142" s="213">
        <v>0</v>
      </c>
      <c r="T142" s="214">
        <v>0</v>
      </c>
      <c r="V142" s="212">
        <v>0</v>
      </c>
      <c r="W142" s="213">
        <v>0</v>
      </c>
      <c r="X142" s="213">
        <v>0</v>
      </c>
      <c r="Y142" s="213">
        <v>0</v>
      </c>
      <c r="Z142" s="213">
        <v>0</v>
      </c>
      <c r="AA142" s="213">
        <v>0</v>
      </c>
      <c r="AB142" s="214">
        <v>0</v>
      </c>
    </row>
    <row r="143" spans="3:28" ht="12.75" customHeight="1">
      <c r="C143" s="195" t="s">
        <v>145</v>
      </c>
      <c r="D143" s="49"/>
      <c r="E143" s="250" t="s">
        <v>318</v>
      </c>
      <c r="F143" s="48"/>
      <c r="G143" s="49"/>
      <c r="H143" s="49"/>
      <c r="I143" s="49"/>
      <c r="J143" s="49"/>
      <c r="K143" s="49"/>
      <c r="L143" s="50"/>
      <c r="N143" s="48"/>
      <c r="O143" s="49"/>
      <c r="P143" s="49"/>
      <c r="Q143" s="49"/>
      <c r="R143" s="49"/>
      <c r="S143" s="49"/>
      <c r="T143" s="50"/>
      <c r="V143" s="48"/>
      <c r="W143" s="49"/>
      <c r="X143" s="49"/>
      <c r="Y143" s="49"/>
      <c r="Z143" s="49"/>
      <c r="AA143" s="49"/>
      <c r="AB143" s="50"/>
    </row>
    <row r="144" spans="3:28" ht="12.75" customHeight="1">
      <c r="C144" s="51"/>
      <c r="D144" s="217" t="s">
        <v>139</v>
      </c>
      <c r="E144" s="251" t="s">
        <v>318</v>
      </c>
      <c r="F144" s="209" t="s">
        <v>251</v>
      </c>
      <c r="G144" s="210" t="s">
        <v>251</v>
      </c>
      <c r="H144" s="210" t="s">
        <v>251</v>
      </c>
      <c r="I144" s="210" t="s">
        <v>251</v>
      </c>
      <c r="J144" s="210" t="s">
        <v>251</v>
      </c>
      <c r="K144" s="210" t="s">
        <v>251</v>
      </c>
      <c r="L144" s="211" t="s">
        <v>251</v>
      </c>
      <c r="N144" s="209">
        <v>0</v>
      </c>
      <c r="O144" s="210">
        <v>0</v>
      </c>
      <c r="P144" s="210">
        <v>0</v>
      </c>
      <c r="Q144" s="210">
        <v>0</v>
      </c>
      <c r="R144" s="210">
        <v>0</v>
      </c>
      <c r="S144" s="210">
        <v>0</v>
      </c>
      <c r="T144" s="211">
        <v>0</v>
      </c>
      <c r="V144" s="209">
        <v>0</v>
      </c>
      <c r="W144" s="210">
        <v>0</v>
      </c>
      <c r="X144" s="210">
        <v>0</v>
      </c>
      <c r="Y144" s="210">
        <v>0</v>
      </c>
      <c r="Z144" s="210">
        <v>0</v>
      </c>
      <c r="AA144" s="210">
        <v>0</v>
      </c>
      <c r="AB144" s="211">
        <v>0</v>
      </c>
    </row>
    <row r="145" spans="3:28" ht="12.75" customHeight="1">
      <c r="C145" s="51"/>
      <c r="D145" s="217" t="s">
        <v>140</v>
      </c>
      <c r="E145" s="251" t="s">
        <v>318</v>
      </c>
      <c r="F145" s="209" t="s">
        <v>251</v>
      </c>
      <c r="G145" s="210" t="s">
        <v>251</v>
      </c>
      <c r="H145" s="210" t="s">
        <v>251</v>
      </c>
      <c r="I145" s="210" t="s">
        <v>251</v>
      </c>
      <c r="J145" s="210" t="s">
        <v>251</v>
      </c>
      <c r="K145" s="210" t="s">
        <v>251</v>
      </c>
      <c r="L145" s="211" t="s">
        <v>251</v>
      </c>
      <c r="N145" s="209">
        <v>0</v>
      </c>
      <c r="O145" s="210">
        <v>0</v>
      </c>
      <c r="P145" s="210">
        <v>0</v>
      </c>
      <c r="Q145" s="210">
        <v>0</v>
      </c>
      <c r="R145" s="210">
        <v>0</v>
      </c>
      <c r="S145" s="210">
        <v>0</v>
      </c>
      <c r="T145" s="211">
        <v>0</v>
      </c>
      <c r="V145" s="209">
        <v>0</v>
      </c>
      <c r="W145" s="210">
        <v>0</v>
      </c>
      <c r="X145" s="210">
        <v>0</v>
      </c>
      <c r="Y145" s="210">
        <v>0</v>
      </c>
      <c r="Z145" s="210">
        <v>0</v>
      </c>
      <c r="AA145" s="210">
        <v>0</v>
      </c>
      <c r="AB145" s="211">
        <v>0</v>
      </c>
    </row>
    <row r="146" spans="3:28" ht="12.75" customHeight="1">
      <c r="C146" s="51"/>
      <c r="D146" s="217" t="s">
        <v>141</v>
      </c>
      <c r="E146" s="251" t="s">
        <v>318</v>
      </c>
      <c r="F146" s="209" t="s">
        <v>251</v>
      </c>
      <c r="G146" s="210" t="s">
        <v>251</v>
      </c>
      <c r="H146" s="210" t="s">
        <v>251</v>
      </c>
      <c r="I146" s="210" t="s">
        <v>251</v>
      </c>
      <c r="J146" s="210" t="s">
        <v>251</v>
      </c>
      <c r="K146" s="210" t="s">
        <v>251</v>
      </c>
      <c r="L146" s="211" t="s">
        <v>251</v>
      </c>
      <c r="N146" s="209">
        <v>0</v>
      </c>
      <c r="O146" s="210">
        <v>0</v>
      </c>
      <c r="P146" s="210">
        <v>0</v>
      </c>
      <c r="Q146" s="210">
        <v>0</v>
      </c>
      <c r="R146" s="210">
        <v>0</v>
      </c>
      <c r="S146" s="210">
        <v>0</v>
      </c>
      <c r="T146" s="211">
        <v>0</v>
      </c>
      <c r="V146" s="209">
        <v>0</v>
      </c>
      <c r="W146" s="210">
        <v>0</v>
      </c>
      <c r="X146" s="210">
        <v>0</v>
      </c>
      <c r="Y146" s="210">
        <v>0</v>
      </c>
      <c r="Z146" s="210">
        <v>0</v>
      </c>
      <c r="AA146" s="210">
        <v>0</v>
      </c>
      <c r="AB146" s="211">
        <v>0</v>
      </c>
    </row>
    <row r="147" spans="3:28" ht="12.75" customHeight="1">
      <c r="C147" s="51"/>
      <c r="D147" s="217" t="s">
        <v>142</v>
      </c>
      <c r="E147" s="251" t="s">
        <v>318</v>
      </c>
      <c r="F147" s="209" t="s">
        <v>251</v>
      </c>
      <c r="G147" s="210" t="s">
        <v>251</v>
      </c>
      <c r="H147" s="210" t="s">
        <v>251</v>
      </c>
      <c r="I147" s="210" t="s">
        <v>251</v>
      </c>
      <c r="J147" s="210" t="s">
        <v>251</v>
      </c>
      <c r="K147" s="210" t="s">
        <v>251</v>
      </c>
      <c r="L147" s="211" t="s">
        <v>251</v>
      </c>
      <c r="N147" s="209">
        <v>0</v>
      </c>
      <c r="O147" s="210">
        <v>0</v>
      </c>
      <c r="P147" s="210">
        <v>0</v>
      </c>
      <c r="Q147" s="210">
        <v>0</v>
      </c>
      <c r="R147" s="210">
        <v>0</v>
      </c>
      <c r="S147" s="210">
        <v>0</v>
      </c>
      <c r="T147" s="211">
        <v>0</v>
      </c>
      <c r="V147" s="209">
        <v>0</v>
      </c>
      <c r="W147" s="210">
        <v>0</v>
      </c>
      <c r="X147" s="210">
        <v>0</v>
      </c>
      <c r="Y147" s="210">
        <v>0</v>
      </c>
      <c r="Z147" s="210">
        <v>0</v>
      </c>
      <c r="AA147" s="210">
        <v>0</v>
      </c>
      <c r="AB147" s="211">
        <v>0</v>
      </c>
    </row>
    <row r="148" spans="3:28" ht="12.75" customHeight="1">
      <c r="C148" s="58"/>
      <c r="D148" s="27" t="s">
        <v>143</v>
      </c>
      <c r="E148" s="252" t="s">
        <v>318</v>
      </c>
      <c r="F148" s="212" t="s">
        <v>251</v>
      </c>
      <c r="G148" s="213" t="s">
        <v>251</v>
      </c>
      <c r="H148" s="213" t="s">
        <v>251</v>
      </c>
      <c r="I148" s="213" t="s">
        <v>251</v>
      </c>
      <c r="J148" s="213" t="s">
        <v>251</v>
      </c>
      <c r="K148" s="213" t="s">
        <v>251</v>
      </c>
      <c r="L148" s="214" t="s">
        <v>251</v>
      </c>
      <c r="N148" s="212">
        <v>0</v>
      </c>
      <c r="O148" s="213">
        <v>0</v>
      </c>
      <c r="P148" s="213">
        <v>0</v>
      </c>
      <c r="Q148" s="213">
        <v>0</v>
      </c>
      <c r="R148" s="213">
        <v>0</v>
      </c>
      <c r="S148" s="213">
        <v>0</v>
      </c>
      <c r="T148" s="214">
        <v>0</v>
      </c>
      <c r="V148" s="212">
        <v>0</v>
      </c>
      <c r="W148" s="213">
        <v>0</v>
      </c>
      <c r="X148" s="213">
        <v>0</v>
      </c>
      <c r="Y148" s="213">
        <v>0</v>
      </c>
      <c r="Z148" s="213">
        <v>0</v>
      </c>
      <c r="AA148" s="213">
        <v>0</v>
      </c>
      <c r="AB148" s="214">
        <v>0</v>
      </c>
    </row>
    <row r="149" spans="3:28" ht="12.75" customHeight="1">
      <c r="C149" s="195" t="s">
        <v>146</v>
      </c>
      <c r="D149" s="49"/>
      <c r="E149" s="250" t="s">
        <v>318</v>
      </c>
      <c r="F149" s="48"/>
      <c r="G149" s="49"/>
      <c r="H149" s="49"/>
      <c r="I149" s="49"/>
      <c r="J149" s="49"/>
      <c r="K149" s="49"/>
      <c r="L149" s="50"/>
      <c r="N149" s="48"/>
      <c r="O149" s="49"/>
      <c r="P149" s="49"/>
      <c r="Q149" s="49"/>
      <c r="R149" s="49"/>
      <c r="S149" s="49"/>
      <c r="T149" s="50"/>
      <c r="V149" s="48"/>
      <c r="W149" s="49"/>
      <c r="X149" s="49"/>
      <c r="Y149" s="49"/>
      <c r="Z149" s="49"/>
      <c r="AA149" s="49"/>
      <c r="AB149" s="50"/>
    </row>
    <row r="150" spans="3:28" ht="12.75" customHeight="1">
      <c r="C150" s="51"/>
      <c r="D150" s="217" t="s">
        <v>139</v>
      </c>
      <c r="E150" s="251" t="s">
        <v>318</v>
      </c>
      <c r="F150" s="209" t="s">
        <v>251</v>
      </c>
      <c r="G150" s="210" t="s">
        <v>251</v>
      </c>
      <c r="H150" s="210" t="s">
        <v>251</v>
      </c>
      <c r="I150" s="210" t="s">
        <v>251</v>
      </c>
      <c r="J150" s="210" t="s">
        <v>251</v>
      </c>
      <c r="K150" s="210" t="s">
        <v>251</v>
      </c>
      <c r="L150" s="211" t="s">
        <v>251</v>
      </c>
      <c r="N150" s="209">
        <v>0</v>
      </c>
      <c r="O150" s="210">
        <v>0</v>
      </c>
      <c r="P150" s="210">
        <v>0</v>
      </c>
      <c r="Q150" s="210">
        <v>0</v>
      </c>
      <c r="R150" s="210">
        <v>0</v>
      </c>
      <c r="S150" s="210">
        <v>0</v>
      </c>
      <c r="T150" s="211">
        <v>0</v>
      </c>
      <c r="V150" s="209">
        <v>0</v>
      </c>
      <c r="W150" s="210">
        <v>0</v>
      </c>
      <c r="X150" s="210">
        <v>0</v>
      </c>
      <c r="Y150" s="210">
        <v>0</v>
      </c>
      <c r="Z150" s="210">
        <v>0</v>
      </c>
      <c r="AA150" s="210">
        <v>0</v>
      </c>
      <c r="AB150" s="211">
        <v>0</v>
      </c>
    </row>
    <row r="151" spans="3:28" ht="12.75" customHeight="1">
      <c r="C151" s="51"/>
      <c r="D151" s="217" t="s">
        <v>140</v>
      </c>
      <c r="E151" s="251" t="s">
        <v>318</v>
      </c>
      <c r="F151" s="209" t="s">
        <v>251</v>
      </c>
      <c r="G151" s="210" t="s">
        <v>251</v>
      </c>
      <c r="H151" s="210" t="s">
        <v>251</v>
      </c>
      <c r="I151" s="210" t="s">
        <v>251</v>
      </c>
      <c r="J151" s="210" t="s">
        <v>251</v>
      </c>
      <c r="K151" s="210" t="s">
        <v>251</v>
      </c>
      <c r="L151" s="211" t="s">
        <v>251</v>
      </c>
      <c r="N151" s="209">
        <v>0</v>
      </c>
      <c r="O151" s="210">
        <v>0</v>
      </c>
      <c r="P151" s="210">
        <v>0</v>
      </c>
      <c r="Q151" s="210">
        <v>0</v>
      </c>
      <c r="R151" s="210">
        <v>0</v>
      </c>
      <c r="S151" s="210">
        <v>0</v>
      </c>
      <c r="T151" s="211">
        <v>0</v>
      </c>
      <c r="V151" s="209">
        <v>0</v>
      </c>
      <c r="W151" s="210">
        <v>0</v>
      </c>
      <c r="X151" s="210">
        <v>0</v>
      </c>
      <c r="Y151" s="210">
        <v>0</v>
      </c>
      <c r="Z151" s="210">
        <v>0</v>
      </c>
      <c r="AA151" s="210">
        <v>0</v>
      </c>
      <c r="AB151" s="211">
        <v>0</v>
      </c>
    </row>
    <row r="152" spans="3:28" ht="12.75" customHeight="1">
      <c r="C152" s="51"/>
      <c r="D152" s="217" t="s">
        <v>141</v>
      </c>
      <c r="E152" s="251" t="s">
        <v>318</v>
      </c>
      <c r="F152" s="209" t="s">
        <v>251</v>
      </c>
      <c r="G152" s="210" t="s">
        <v>251</v>
      </c>
      <c r="H152" s="210" t="s">
        <v>251</v>
      </c>
      <c r="I152" s="210" t="s">
        <v>251</v>
      </c>
      <c r="J152" s="210" t="s">
        <v>251</v>
      </c>
      <c r="K152" s="210" t="s">
        <v>251</v>
      </c>
      <c r="L152" s="211" t="s">
        <v>251</v>
      </c>
      <c r="N152" s="209">
        <v>0</v>
      </c>
      <c r="O152" s="210">
        <v>0</v>
      </c>
      <c r="P152" s="210">
        <v>0</v>
      </c>
      <c r="Q152" s="210">
        <v>0</v>
      </c>
      <c r="R152" s="210">
        <v>0</v>
      </c>
      <c r="S152" s="210">
        <v>0</v>
      </c>
      <c r="T152" s="211">
        <v>0</v>
      </c>
      <c r="V152" s="209">
        <v>0</v>
      </c>
      <c r="W152" s="210">
        <v>0</v>
      </c>
      <c r="X152" s="210">
        <v>0</v>
      </c>
      <c r="Y152" s="210">
        <v>0</v>
      </c>
      <c r="Z152" s="210">
        <v>0</v>
      </c>
      <c r="AA152" s="210">
        <v>0</v>
      </c>
      <c r="AB152" s="211">
        <v>0</v>
      </c>
    </row>
    <row r="153" spans="3:28" ht="12.75" customHeight="1">
      <c r="C153" s="51"/>
      <c r="D153" s="217" t="s">
        <v>142</v>
      </c>
      <c r="E153" s="251" t="s">
        <v>318</v>
      </c>
      <c r="F153" s="209" t="s">
        <v>251</v>
      </c>
      <c r="G153" s="210" t="s">
        <v>251</v>
      </c>
      <c r="H153" s="210" t="s">
        <v>251</v>
      </c>
      <c r="I153" s="210" t="s">
        <v>251</v>
      </c>
      <c r="J153" s="210" t="s">
        <v>251</v>
      </c>
      <c r="K153" s="210" t="s">
        <v>251</v>
      </c>
      <c r="L153" s="211" t="s">
        <v>251</v>
      </c>
      <c r="N153" s="209">
        <v>0</v>
      </c>
      <c r="O153" s="210">
        <v>0</v>
      </c>
      <c r="P153" s="210">
        <v>0</v>
      </c>
      <c r="Q153" s="210">
        <v>0</v>
      </c>
      <c r="R153" s="210">
        <v>0</v>
      </c>
      <c r="S153" s="210">
        <v>0</v>
      </c>
      <c r="T153" s="211">
        <v>0</v>
      </c>
      <c r="V153" s="209">
        <v>0</v>
      </c>
      <c r="W153" s="210">
        <v>0</v>
      </c>
      <c r="X153" s="210">
        <v>0</v>
      </c>
      <c r="Y153" s="210">
        <v>0</v>
      </c>
      <c r="Z153" s="210">
        <v>0</v>
      </c>
      <c r="AA153" s="210">
        <v>0</v>
      </c>
      <c r="AB153" s="211">
        <v>0</v>
      </c>
    </row>
    <row r="154" spans="3:28" ht="12.75" customHeight="1">
      <c r="C154" s="58"/>
      <c r="D154" s="27" t="s">
        <v>143</v>
      </c>
      <c r="E154" s="252" t="s">
        <v>318</v>
      </c>
      <c r="F154" s="212" t="s">
        <v>251</v>
      </c>
      <c r="G154" s="213" t="s">
        <v>251</v>
      </c>
      <c r="H154" s="213" t="s">
        <v>251</v>
      </c>
      <c r="I154" s="213" t="s">
        <v>251</v>
      </c>
      <c r="J154" s="213" t="s">
        <v>251</v>
      </c>
      <c r="K154" s="213" t="s">
        <v>251</v>
      </c>
      <c r="L154" s="214" t="s">
        <v>251</v>
      </c>
      <c r="N154" s="212">
        <v>0</v>
      </c>
      <c r="O154" s="213">
        <v>0</v>
      </c>
      <c r="P154" s="213">
        <v>0</v>
      </c>
      <c r="Q154" s="213">
        <v>0</v>
      </c>
      <c r="R154" s="213">
        <v>0</v>
      </c>
      <c r="S154" s="213">
        <v>0</v>
      </c>
      <c r="T154" s="214">
        <v>0</v>
      </c>
      <c r="V154" s="212">
        <v>0</v>
      </c>
      <c r="W154" s="213">
        <v>0</v>
      </c>
      <c r="X154" s="213">
        <v>0</v>
      </c>
      <c r="Y154" s="213">
        <v>0</v>
      </c>
      <c r="Z154" s="213">
        <v>0</v>
      </c>
      <c r="AA154" s="213">
        <v>0</v>
      </c>
      <c r="AB154" s="214">
        <v>0</v>
      </c>
    </row>
    <row r="155" spans="3:28" ht="12.75" customHeight="1">
      <c r="C155" s="15" t="s">
        <v>73</v>
      </c>
      <c r="E155" s="49"/>
      <c r="F155" s="207">
        <v>0</v>
      </c>
      <c r="G155" s="207">
        <v>0</v>
      </c>
      <c r="H155" s="207">
        <v>0</v>
      </c>
      <c r="I155" s="207">
        <v>0</v>
      </c>
      <c r="J155" s="207">
        <v>0</v>
      </c>
      <c r="K155" s="207">
        <v>0</v>
      </c>
      <c r="L155" s="207">
        <v>0</v>
      </c>
      <c r="N155" s="207">
        <v>80522.461592071573</v>
      </c>
      <c r="O155" s="207">
        <v>21917.70839234455</v>
      </c>
      <c r="P155" s="207">
        <v>928.60474430110878</v>
      </c>
      <c r="Q155" s="207">
        <v>111.62523700945781</v>
      </c>
      <c r="R155" s="207">
        <v>27216.467167397917</v>
      </c>
      <c r="S155" s="207">
        <v>0</v>
      </c>
      <c r="T155" s="207">
        <v>148.13011445234784</v>
      </c>
      <c r="V155" s="207">
        <v>80522.461592071573</v>
      </c>
      <c r="W155" s="207">
        <v>21917.70839234455</v>
      </c>
      <c r="X155" s="207">
        <v>928.60474430110878</v>
      </c>
      <c r="Y155" s="207">
        <v>111.62523700945781</v>
      </c>
      <c r="Z155" s="207">
        <v>27216.467167397917</v>
      </c>
      <c r="AA155" s="207">
        <v>0</v>
      </c>
      <c r="AB155" s="207">
        <v>148.13011445234784</v>
      </c>
    </row>
    <row r="156" spans="3:28" ht="12.75" customHeight="1">
      <c r="C156" s="172" t="s">
        <v>320</v>
      </c>
      <c r="E156" s="52"/>
      <c r="F156" s="52"/>
      <c r="L156" s="253">
        <v>0</v>
      </c>
      <c r="N156" s="52"/>
      <c r="T156" s="253">
        <v>130844.99724757695</v>
      </c>
      <c r="V156" s="52"/>
      <c r="AB156" s="253">
        <v>130844.99724757695</v>
      </c>
    </row>
  </sheetData>
  <mergeCells count="6">
    <mergeCell ref="F6:L6"/>
    <mergeCell ref="N6:T6"/>
    <mergeCell ref="V6:AB6"/>
    <mergeCell ref="F7:L7"/>
    <mergeCell ref="N7:T7"/>
    <mergeCell ref="V7:AB7"/>
  </mergeCells>
  <conditionalFormatting sqref="B2">
    <cfRule type="cellIs" dxfId="24" priority="8" operator="notEqual">
      <formula>"No Errors Found"</formula>
    </cfRule>
  </conditionalFormatting>
  <dataValidations count="1">
    <dataValidation type="list" allowBlank="1" showInputMessage="1" showErrorMessage="1" sqref="H4" xr:uid="{00000000-0002-0000-0500-000000000000}">
      <formula1>Tariff_Type</formula1>
    </dataValidation>
  </dataValidations>
  <hyperlinks>
    <hyperlink ref="B4" location="'ToC'!$A$1" tooltip="Go To Table of Contents" display="='ToC'!B1" xr:uid="{00000000-0004-0000-0500-000000000000}"/>
  </hyperlinks>
  <pageMargins left="0.7" right="0.7" top="0.75" bottom="0.75" header="0.3" footer="0.3"/>
  <pageSetup paperSize="9" scale="77"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37"/>
  <sheetViews>
    <sheetView showGridLines="0" zoomScaleNormal="100" workbookViewId="0">
      <pane xSplit="1" ySplit="5" topLeftCell="B6" activePane="bottomRight" state="frozen"/>
      <selection activeCell="E4" sqref="E4"/>
      <selection pane="topRight" activeCell="E4" sqref="E4"/>
      <selection pane="bottomLeft" activeCell="E4" sqref="E4"/>
      <selection pane="bottomRight" activeCell="B6" sqref="B6"/>
    </sheetView>
  </sheetViews>
  <sheetFormatPr defaultColWidth="0" defaultRowHeight="12.75" customHeight="1" zeroHeight="1"/>
  <cols>
    <col min="1" max="3" width="2.703125" style="13" customWidth="1"/>
    <col min="4" max="4" width="5.703125" style="13" customWidth="1"/>
    <col min="5" max="5" width="24.29296875" style="13" customWidth="1"/>
    <col min="6" max="6" width="15.5859375" style="13" customWidth="1"/>
    <col min="7" max="7" width="15.5859375" style="13" bestFit="1" customWidth="1"/>
    <col min="8" max="8" width="13.5859375" style="13" bestFit="1" customWidth="1"/>
    <col min="9" max="9" width="13.1171875" style="13" customWidth="1"/>
    <col min="10" max="10" width="7" style="13" customWidth="1"/>
    <col min="11" max="11" width="2.703125" style="13" customWidth="1"/>
    <col min="12" max="12" width="5.703125" style="13" customWidth="1"/>
    <col min="13" max="13" width="25.5859375" style="13" customWidth="1"/>
    <col min="14" max="14" width="15.5859375" style="13" customWidth="1"/>
    <col min="15" max="15" width="15.5859375" style="13" bestFit="1" customWidth="1"/>
    <col min="16" max="16" width="13.5859375" style="13" bestFit="1" customWidth="1"/>
    <col min="17" max="17" width="13.1171875" style="13" bestFit="1" customWidth="1"/>
    <col min="18" max="18" width="6.5859375" style="13" customWidth="1"/>
    <col min="19" max="19" width="10.703125" style="13" customWidth="1"/>
    <col min="20" max="39" width="10.703125" style="13" hidden="1" customWidth="1"/>
    <col min="40" max="16384" width="9.1171875" style="13" hidden="1"/>
  </cols>
  <sheetData>
    <row r="1" spans="2:18" ht="20.399999999999999">
      <c r="B1" s="8" t="s">
        <v>449</v>
      </c>
    </row>
    <row r="2" spans="2:18" ht="11.25" customHeight="1">
      <c r="B2" s="72" t="s">
        <v>565</v>
      </c>
    </row>
    <row r="3" spans="2:18" ht="12.9">
      <c r="B3" s="71" t="s">
        <v>547</v>
      </c>
    </row>
    <row r="4" spans="2:18" ht="12.9">
      <c r="B4" s="337" t="s">
        <v>96</v>
      </c>
    </row>
    <row r="5" spans="2:18" ht="12.75" customHeight="1"/>
    <row r="6" spans="2:18" ht="12.75" customHeight="1"/>
    <row r="7" spans="2:18" ht="12.75" customHeight="1">
      <c r="D7" s="7" t="s">
        <v>391</v>
      </c>
      <c r="E7" s="7"/>
      <c r="F7" s="7"/>
      <c r="G7" s="7"/>
      <c r="H7" s="7"/>
      <c r="I7" s="7"/>
      <c r="J7" s="7"/>
      <c r="L7" s="7" t="s">
        <v>392</v>
      </c>
      <c r="M7" s="7"/>
      <c r="N7" s="7"/>
      <c r="O7" s="7"/>
      <c r="P7" s="7"/>
      <c r="Q7" s="7"/>
      <c r="R7" s="7"/>
    </row>
    <row r="8" spans="2:18" ht="12.75" customHeight="1"/>
    <row r="9" spans="2:18" ht="12.75" customHeight="1">
      <c r="E9" s="282" t="s">
        <v>179</v>
      </c>
      <c r="F9" s="282"/>
      <c r="G9" s="282"/>
      <c r="H9" s="282"/>
      <c r="I9" s="282"/>
      <c r="J9" s="282"/>
      <c r="M9" s="282" t="s">
        <v>188</v>
      </c>
      <c r="N9" s="282"/>
      <c r="O9" s="282"/>
      <c r="P9" s="282"/>
      <c r="Q9" s="282"/>
      <c r="R9" s="282"/>
    </row>
    <row r="10" spans="2:18" ht="12.75" customHeight="1"/>
    <row r="11" spans="2:18" ht="12.75" customHeight="1">
      <c r="E11" s="172" t="s">
        <v>180</v>
      </c>
      <c r="F11" s="113" t="s">
        <v>403</v>
      </c>
      <c r="G11" s="113" t="s">
        <v>181</v>
      </c>
      <c r="H11" s="113" t="s">
        <v>314</v>
      </c>
      <c r="I11" s="30" t="s">
        <v>393</v>
      </c>
      <c r="M11" s="172" t="s">
        <v>180</v>
      </c>
      <c r="N11" s="113" t="s">
        <v>403</v>
      </c>
      <c r="O11" s="113" t="s">
        <v>181</v>
      </c>
      <c r="P11" s="113" t="s">
        <v>314</v>
      </c>
      <c r="Q11" s="30" t="s">
        <v>393</v>
      </c>
    </row>
    <row r="12" spans="2:18" ht="12.75" customHeight="1">
      <c r="E12" s="215" t="s">
        <v>182</v>
      </c>
      <c r="F12" s="280">
        <v>0.05</v>
      </c>
      <c r="G12" s="280">
        <v>0.05</v>
      </c>
      <c r="H12" s="280">
        <v>0.03</v>
      </c>
      <c r="I12" s="339">
        <v>22987.103397099636</v>
      </c>
      <c r="M12" s="215" t="s">
        <v>182</v>
      </c>
      <c r="N12" s="280">
        <v>0.98</v>
      </c>
      <c r="O12" s="280">
        <v>0.65</v>
      </c>
      <c r="P12" s="280">
        <v>0.98</v>
      </c>
      <c r="Q12" s="339">
        <v>22987.103397099636</v>
      </c>
    </row>
    <row r="13" spans="2:18" ht="12.75" customHeight="1">
      <c r="E13" s="216" t="s">
        <v>183</v>
      </c>
      <c r="F13" s="273">
        <v>0.05</v>
      </c>
      <c r="G13" s="273">
        <v>0.05</v>
      </c>
      <c r="H13" s="273">
        <v>0.05</v>
      </c>
      <c r="I13" s="162">
        <v>36886.231513688639</v>
      </c>
      <c r="M13" s="216" t="s">
        <v>183</v>
      </c>
      <c r="N13" s="273">
        <v>0.95</v>
      </c>
      <c r="O13" s="273">
        <v>0.3</v>
      </c>
      <c r="P13" s="273">
        <v>0.9</v>
      </c>
      <c r="Q13" s="162">
        <v>36886.231513688639</v>
      </c>
    </row>
    <row r="14" spans="2:18" ht="12.75" customHeight="1">
      <c r="E14" s="216" t="s">
        <v>184</v>
      </c>
      <c r="F14" s="273">
        <v>0.05</v>
      </c>
      <c r="G14" s="273">
        <v>0.05</v>
      </c>
      <c r="H14" s="273">
        <v>0.1</v>
      </c>
      <c r="I14" s="162">
        <v>25156.540777629722</v>
      </c>
      <c r="M14" s="216" t="s">
        <v>184</v>
      </c>
      <c r="N14" s="273">
        <v>0.95</v>
      </c>
      <c r="O14" s="273">
        <v>0.1</v>
      </c>
      <c r="P14" s="273">
        <v>0.8</v>
      </c>
      <c r="Q14" s="162">
        <v>25156.540777629722</v>
      </c>
    </row>
    <row r="15" spans="2:18" ht="12.75" customHeight="1">
      <c r="E15" s="216" t="s">
        <v>185</v>
      </c>
      <c r="F15" s="273">
        <v>0.3</v>
      </c>
      <c r="G15" s="273">
        <v>0</v>
      </c>
      <c r="H15" s="273">
        <v>0.1</v>
      </c>
      <c r="I15" s="162">
        <v>22924.282077724522</v>
      </c>
      <c r="M15" s="216" t="s">
        <v>185</v>
      </c>
      <c r="N15" s="273">
        <v>0.8</v>
      </c>
      <c r="O15" s="273">
        <v>0</v>
      </c>
      <c r="P15" s="273">
        <v>0.8</v>
      </c>
      <c r="Q15" s="162">
        <v>22924.282077724522</v>
      </c>
    </row>
    <row r="16" spans="2:18" ht="12.75" customHeight="1">
      <c r="E16" s="216" t="s">
        <v>186</v>
      </c>
      <c r="F16" s="273">
        <v>0.5</v>
      </c>
      <c r="G16" s="273">
        <v>0</v>
      </c>
      <c r="H16" s="273">
        <v>0.15</v>
      </c>
      <c r="I16" s="162">
        <v>9806.3397566767162</v>
      </c>
      <c r="M16" s="216" t="s">
        <v>186</v>
      </c>
      <c r="N16" s="273">
        <v>0.9</v>
      </c>
      <c r="O16" s="273">
        <v>0</v>
      </c>
      <c r="P16" s="273">
        <v>0.4</v>
      </c>
      <c r="Q16" s="162">
        <v>9806.3397566767162</v>
      </c>
    </row>
    <row r="17" spans="5:18" ht="12.75" customHeight="1">
      <c r="E17" s="218" t="s">
        <v>353</v>
      </c>
      <c r="F17" s="342">
        <v>0</v>
      </c>
      <c r="G17" s="342">
        <v>0</v>
      </c>
      <c r="H17" s="342">
        <v>0</v>
      </c>
      <c r="I17" s="341">
        <v>13084.499724757696</v>
      </c>
      <c r="M17" s="218" t="s">
        <v>353</v>
      </c>
      <c r="N17" s="342">
        <v>1</v>
      </c>
      <c r="O17" s="342">
        <v>1</v>
      </c>
      <c r="P17" s="342">
        <v>1</v>
      </c>
      <c r="Q17" s="341">
        <v>13084.499724757696</v>
      </c>
    </row>
    <row r="18" spans="5:18" ht="12.75" customHeight="1">
      <c r="E18" s="340" t="s">
        <v>73</v>
      </c>
      <c r="F18" s="59"/>
      <c r="G18" s="59"/>
      <c r="H18" s="59"/>
      <c r="I18" s="343">
        <v>130844.99724757693</v>
      </c>
      <c r="M18" s="340" t="s">
        <v>73</v>
      </c>
      <c r="N18" s="59"/>
      <c r="O18" s="59"/>
      <c r="P18" s="59"/>
      <c r="Q18" s="343">
        <v>130844.99724757693</v>
      </c>
    </row>
    <row r="19" spans="5:18" ht="12.75" customHeight="1"/>
    <row r="20" spans="5:18" ht="27.75" customHeight="1">
      <c r="E20" s="499" t="s">
        <v>394</v>
      </c>
      <c r="F20" s="500"/>
      <c r="G20" s="500"/>
      <c r="H20" s="500"/>
      <c r="I20" s="501"/>
      <c r="M20" s="499" t="s">
        <v>395</v>
      </c>
      <c r="N20" s="500"/>
      <c r="O20" s="500"/>
      <c r="P20" s="500"/>
      <c r="Q20" s="501"/>
    </row>
    <row r="21" spans="5:18" ht="12.75" customHeight="1">
      <c r="E21" s="51"/>
      <c r="F21" s="52"/>
      <c r="G21" s="52"/>
      <c r="H21" s="52"/>
      <c r="I21" s="53"/>
      <c r="M21" s="51"/>
      <c r="N21" s="52"/>
      <c r="O21" s="52"/>
      <c r="P21" s="52"/>
      <c r="Q21" s="53"/>
    </row>
    <row r="22" spans="5:18" ht="58.5" customHeight="1">
      <c r="E22" s="502" t="s">
        <v>396</v>
      </c>
      <c r="F22" s="503"/>
      <c r="G22" s="503"/>
      <c r="H22" s="503"/>
      <c r="I22" s="504"/>
      <c r="M22" s="502" t="s">
        <v>397</v>
      </c>
      <c r="N22" s="503"/>
      <c r="O22" s="503"/>
      <c r="P22" s="503"/>
      <c r="Q22" s="504"/>
    </row>
    <row r="23" spans="5:18" ht="12.75" customHeight="1"/>
    <row r="24" spans="5:18" ht="12.75" customHeight="1">
      <c r="E24" s="282" t="s">
        <v>398</v>
      </c>
      <c r="F24" s="282"/>
      <c r="G24" s="282"/>
      <c r="H24" s="282"/>
      <c r="I24" s="282"/>
      <c r="J24" s="282"/>
      <c r="M24" s="282" t="s">
        <v>399</v>
      </c>
      <c r="N24" s="282"/>
      <c r="O24" s="282"/>
      <c r="P24" s="282"/>
      <c r="Q24" s="282"/>
      <c r="R24" s="282"/>
    </row>
    <row r="25" spans="5:18" ht="12.75" customHeight="1"/>
    <row r="26" spans="5:18" ht="12.75" customHeight="1">
      <c r="E26" s="172" t="s">
        <v>180</v>
      </c>
      <c r="F26" s="113" t="s">
        <v>403</v>
      </c>
      <c r="G26" s="113" t="s">
        <v>181</v>
      </c>
      <c r="H26" s="113" t="s">
        <v>314</v>
      </c>
      <c r="M26" s="172" t="s">
        <v>180</v>
      </c>
      <c r="N26" s="113" t="s">
        <v>403</v>
      </c>
      <c r="O26" s="113" t="s">
        <v>181</v>
      </c>
      <c r="P26" s="113" t="s">
        <v>314</v>
      </c>
    </row>
    <row r="27" spans="5:18" ht="12.75" customHeight="1">
      <c r="E27" s="215" t="s">
        <v>182</v>
      </c>
      <c r="F27" s="189">
        <v>1149.3551698549818</v>
      </c>
      <c r="G27" s="115">
        <v>1149.3551698549818</v>
      </c>
      <c r="H27" s="339">
        <v>689.61310191298901</v>
      </c>
      <c r="M27" s="215" t="s">
        <v>182</v>
      </c>
      <c r="N27" s="189">
        <v>22527.361329157644</v>
      </c>
      <c r="O27" s="115">
        <v>14941.617208114763</v>
      </c>
      <c r="P27" s="339">
        <v>22527.361329157644</v>
      </c>
    </row>
    <row r="28" spans="5:18" ht="12.75" customHeight="1">
      <c r="E28" s="216" t="s">
        <v>183</v>
      </c>
      <c r="F28" s="176">
        <v>1844.311575684432</v>
      </c>
      <c r="G28" s="161">
        <v>1844.311575684432</v>
      </c>
      <c r="H28" s="162">
        <v>1844.311575684432</v>
      </c>
      <c r="M28" s="216" t="s">
        <v>183</v>
      </c>
      <c r="N28" s="176">
        <v>35041.919938004205</v>
      </c>
      <c r="O28" s="161">
        <v>11065.869454106591</v>
      </c>
      <c r="P28" s="162">
        <v>33197.608362319777</v>
      </c>
    </row>
    <row r="29" spans="5:18" ht="12.75" customHeight="1">
      <c r="E29" s="216" t="s">
        <v>184</v>
      </c>
      <c r="F29" s="176">
        <v>1257.8270388814863</v>
      </c>
      <c r="G29" s="161">
        <v>1257.8270388814863</v>
      </c>
      <c r="H29" s="162">
        <v>2515.6540777629725</v>
      </c>
      <c r="M29" s="216" t="s">
        <v>184</v>
      </c>
      <c r="N29" s="176">
        <v>23898.713738748233</v>
      </c>
      <c r="O29" s="161">
        <v>2515.6540777629725</v>
      </c>
      <c r="P29" s="162">
        <v>20125.23262210378</v>
      </c>
    </row>
    <row r="30" spans="5:18" ht="12.75" customHeight="1">
      <c r="E30" s="216" t="s">
        <v>185</v>
      </c>
      <c r="F30" s="176">
        <v>6877.2846233173559</v>
      </c>
      <c r="G30" s="161">
        <v>0</v>
      </c>
      <c r="H30" s="162">
        <v>2292.4282077724524</v>
      </c>
      <c r="M30" s="216" t="s">
        <v>185</v>
      </c>
      <c r="N30" s="176">
        <v>18339.425662179619</v>
      </c>
      <c r="O30" s="161">
        <v>0</v>
      </c>
      <c r="P30" s="162">
        <v>18339.425662179619</v>
      </c>
    </row>
    <row r="31" spans="5:18" ht="12.75" customHeight="1">
      <c r="E31" s="216" t="s">
        <v>186</v>
      </c>
      <c r="F31" s="176">
        <v>4903.1698783383581</v>
      </c>
      <c r="G31" s="161">
        <v>0</v>
      </c>
      <c r="H31" s="162">
        <v>1470.9509635015074</v>
      </c>
      <c r="M31" s="216" t="s">
        <v>186</v>
      </c>
      <c r="N31" s="176">
        <v>8825.7057810090446</v>
      </c>
      <c r="O31" s="161">
        <v>0</v>
      </c>
      <c r="P31" s="162">
        <v>3922.5359026706865</v>
      </c>
    </row>
    <row r="32" spans="5:18" ht="12.75" customHeight="1">
      <c r="E32" s="218" t="s">
        <v>353</v>
      </c>
      <c r="F32" s="176">
        <v>0</v>
      </c>
      <c r="G32" s="161">
        <v>0</v>
      </c>
      <c r="H32" s="162">
        <v>0</v>
      </c>
      <c r="M32" s="218" t="s">
        <v>353</v>
      </c>
      <c r="N32" s="176">
        <v>13084.499724757696</v>
      </c>
      <c r="O32" s="161">
        <v>13084.499724757696</v>
      </c>
      <c r="P32" s="162">
        <v>13084.499724757696</v>
      </c>
    </row>
    <row r="33" spans="5:16" ht="12.75" customHeight="1">
      <c r="E33" s="344" t="s">
        <v>73</v>
      </c>
      <c r="F33" s="345">
        <v>16031.948286076615</v>
      </c>
      <c r="G33" s="346">
        <v>4251.4937844208998</v>
      </c>
      <c r="H33" s="347">
        <v>8812.9579266343535</v>
      </c>
      <c r="M33" s="344" t="s">
        <v>73</v>
      </c>
      <c r="N33" s="345">
        <v>121717.62617385645</v>
      </c>
      <c r="O33" s="346">
        <v>41607.64046474202</v>
      </c>
      <c r="P33" s="347">
        <v>111196.66360318921</v>
      </c>
    </row>
    <row r="34" spans="5:16" ht="12.75" customHeight="1"/>
    <row r="35" spans="5:16" ht="12.75" customHeight="1"/>
    <row r="36" spans="5:16" ht="12.75" customHeight="1"/>
    <row r="37" spans="5:16" ht="12.75" customHeight="1"/>
  </sheetData>
  <mergeCells count="4">
    <mergeCell ref="E20:I20"/>
    <mergeCell ref="M20:Q20"/>
    <mergeCell ref="E22:I22"/>
    <mergeCell ref="M22:Q22"/>
  </mergeCells>
  <conditionalFormatting sqref="B2">
    <cfRule type="cellIs" dxfId="23" priority="4" operator="notEqual">
      <formula>"No Errors Found"</formula>
    </cfRule>
  </conditionalFormatting>
  <hyperlinks>
    <hyperlink ref="B4" location="'ToC'!$A$1" tooltip="Go To Table of Contents" display="='ToC'!B1" xr:uid="{00000000-0004-0000-0600-000000000000}"/>
  </hyperlinks>
  <pageMargins left="0.7" right="0.7" top="0.75" bottom="0.75" header="0.3" footer="0.3"/>
  <pageSetup paperSize="9" scale="72"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C81"/>
  <sheetViews>
    <sheetView showGridLines="0" zoomScaleNormal="100" workbookViewId="0">
      <pane xSplit="1" ySplit="5" topLeftCell="B6" activePane="bottomRight" state="frozen"/>
      <selection activeCell="E4" sqref="E4"/>
      <selection pane="topRight" activeCell="E4" sqref="E4"/>
      <selection pane="bottomLeft" activeCell="E4" sqref="E4"/>
      <selection pane="bottomRight" activeCell="B6" sqref="B6"/>
    </sheetView>
  </sheetViews>
  <sheetFormatPr defaultColWidth="9.1171875" defaultRowHeight="12.75" customHeight="1"/>
  <cols>
    <col min="1" max="3" width="2.703125" style="13" customWidth="1"/>
    <col min="4" max="4" width="5.703125" style="13" customWidth="1"/>
    <col min="5" max="5" width="24.29296875" style="13" customWidth="1"/>
    <col min="6" max="41" width="10.703125" style="13" customWidth="1"/>
    <col min="42" max="16384" width="9.1171875" style="13"/>
  </cols>
  <sheetData>
    <row r="1" spans="2:29" ht="20.399999999999999">
      <c r="B1" s="8" t="s">
        <v>443</v>
      </c>
    </row>
    <row r="2" spans="2:29" ht="11.25" customHeight="1">
      <c r="B2" s="72" t="s">
        <v>565</v>
      </c>
    </row>
    <row r="3" spans="2:29" ht="12.9">
      <c r="B3" s="71" t="s">
        <v>547</v>
      </c>
    </row>
    <row r="4" spans="2:29" ht="12.9">
      <c r="B4" s="337" t="s">
        <v>96</v>
      </c>
    </row>
    <row r="5" spans="2:29" ht="12.75" customHeight="1">
      <c r="I5" s="113"/>
      <c r="J5" s="113" t="s">
        <v>159</v>
      </c>
      <c r="K5" s="113" t="s">
        <v>566</v>
      </c>
      <c r="L5" s="113" t="s">
        <v>567</v>
      </c>
      <c r="M5" s="113" t="s">
        <v>568</v>
      </c>
      <c r="N5" s="113" t="s">
        <v>569</v>
      </c>
      <c r="O5" s="113" t="s">
        <v>570</v>
      </c>
      <c r="P5" s="113" t="s">
        <v>571</v>
      </c>
      <c r="Q5" s="113" t="s">
        <v>572</v>
      </c>
      <c r="R5" s="113" t="s">
        <v>573</v>
      </c>
      <c r="S5" s="113" t="s">
        <v>574</v>
      </c>
      <c r="T5" s="113" t="s">
        <v>575</v>
      </c>
      <c r="U5" s="113" t="s">
        <v>576</v>
      </c>
      <c r="V5" s="113" t="s">
        <v>577</v>
      </c>
      <c r="W5" s="113" t="s">
        <v>578</v>
      </c>
      <c r="X5" s="113" t="s">
        <v>579</v>
      </c>
      <c r="Y5" s="113" t="s">
        <v>580</v>
      </c>
      <c r="Z5" s="113" t="s">
        <v>581</v>
      </c>
      <c r="AA5" s="113" t="s">
        <v>582</v>
      </c>
      <c r="AB5" s="113" t="s">
        <v>583</v>
      </c>
      <c r="AC5" s="113" t="s">
        <v>584</v>
      </c>
    </row>
    <row r="7" spans="2:29" s="7" customFormat="1" ht="15.6">
      <c r="B7" s="7" t="s">
        <v>455</v>
      </c>
    </row>
    <row r="9" spans="2:29" ht="12.75" customHeight="1">
      <c r="C9" s="283" t="s">
        <v>408</v>
      </c>
      <c r="F9" s="55" t="s">
        <v>135</v>
      </c>
      <c r="G9" s="55" t="s">
        <v>136</v>
      </c>
    </row>
    <row r="10" spans="2:29" ht="12.75" customHeight="1">
      <c r="D10" s="14" t="s">
        <v>531</v>
      </c>
      <c r="F10" s="42" t="s">
        <v>277</v>
      </c>
      <c r="G10" s="42" t="s">
        <v>164</v>
      </c>
      <c r="H10" s="148">
        <v>4.0981331106355823E-2</v>
      </c>
    </row>
    <row r="11" spans="2:29" ht="12.75" customHeight="1">
      <c r="D11" s="14" t="s">
        <v>409</v>
      </c>
      <c r="F11" s="42" t="s">
        <v>277</v>
      </c>
      <c r="G11" s="42" t="s">
        <v>164</v>
      </c>
      <c r="H11" s="151">
        <v>40</v>
      </c>
    </row>
    <row r="12" spans="2:29" ht="12.75" customHeight="1">
      <c r="D12" s="14" t="s">
        <v>410</v>
      </c>
      <c r="F12" s="42" t="s">
        <v>277</v>
      </c>
      <c r="G12" s="42" t="s">
        <v>164</v>
      </c>
      <c r="H12" s="148">
        <v>5.1263674204776982E-2</v>
      </c>
    </row>
    <row r="13" spans="2:29" ht="12.75" customHeight="1">
      <c r="D13" s="14" t="s">
        <v>411</v>
      </c>
      <c r="F13" s="42" t="s">
        <v>277</v>
      </c>
      <c r="G13" s="42" t="s">
        <v>164</v>
      </c>
      <c r="H13" s="148">
        <v>2.1389261313176436E-2</v>
      </c>
    </row>
    <row r="14" spans="2:29" ht="12.75" customHeight="1">
      <c r="D14" s="14" t="s">
        <v>412</v>
      </c>
      <c r="F14" s="42" t="s">
        <v>277</v>
      </c>
      <c r="G14" s="42" t="s">
        <v>164</v>
      </c>
      <c r="H14" s="148">
        <v>2.5000000000000001E-2</v>
      </c>
    </row>
    <row r="16" spans="2:29" ht="12.75" customHeight="1">
      <c r="C16" s="283" t="s">
        <v>425</v>
      </c>
      <c r="F16" s="55" t="s">
        <v>135</v>
      </c>
      <c r="G16" s="55" t="s">
        <v>136</v>
      </c>
    </row>
    <row r="17" spans="2:29" ht="12.75" customHeight="1">
      <c r="D17" s="14" t="s">
        <v>240</v>
      </c>
      <c r="F17" s="42" t="s">
        <v>277</v>
      </c>
      <c r="G17" s="42" t="s">
        <v>164</v>
      </c>
      <c r="H17" s="148">
        <v>2.4248746575396662E-2</v>
      </c>
    </row>
    <row r="18" spans="2:29" ht="12.75" customHeight="1">
      <c r="D18" s="14" t="s">
        <v>426</v>
      </c>
      <c r="F18" s="42" t="s">
        <v>277</v>
      </c>
      <c r="G18" s="42" t="s">
        <v>430</v>
      </c>
      <c r="H18" s="169" t="s">
        <v>159</v>
      </c>
    </row>
    <row r="19" spans="2:29" ht="12.75" customHeight="1">
      <c r="D19" s="14" t="s">
        <v>427</v>
      </c>
      <c r="F19" s="42" t="s">
        <v>277</v>
      </c>
      <c r="G19" s="108" t="s">
        <v>430</v>
      </c>
      <c r="H19" s="151">
        <v>1</v>
      </c>
    </row>
    <row r="21" spans="2:29" s="7" customFormat="1" ht="15.6">
      <c r="B21" s="7" t="s">
        <v>456</v>
      </c>
    </row>
    <row r="23" spans="2:29" ht="12.75" customHeight="1">
      <c r="C23" s="283" t="s">
        <v>413</v>
      </c>
      <c r="F23" s="55" t="s">
        <v>135</v>
      </c>
      <c r="G23" s="55" t="s">
        <v>136</v>
      </c>
    </row>
    <row r="24" spans="2:29" ht="12.75" customHeight="1">
      <c r="D24" s="14" t="s">
        <v>415</v>
      </c>
      <c r="F24" s="42" t="s">
        <v>277</v>
      </c>
      <c r="G24" s="42" t="s">
        <v>318</v>
      </c>
      <c r="K24" s="151">
        <v>1824.1911250000001</v>
      </c>
      <c r="L24" s="151">
        <v>9461.0902500000011</v>
      </c>
      <c r="M24" s="151">
        <v>11346.426874999997</v>
      </c>
      <c r="N24" s="151">
        <v>8329.7451249999995</v>
      </c>
      <c r="O24" s="151">
        <v>6885.2900500000005</v>
      </c>
      <c r="P24" s="151">
        <v>6885.2900500000005</v>
      </c>
      <c r="Q24" s="151">
        <v>6885.2900500000005</v>
      </c>
      <c r="R24" s="151">
        <v>6885.2900500000005</v>
      </c>
      <c r="S24" s="151">
        <v>6885.2900500000005</v>
      </c>
      <c r="T24" s="151">
        <v>6885.2900500000005</v>
      </c>
      <c r="U24" s="151">
        <v>6885.2900500000005</v>
      </c>
      <c r="V24" s="151">
        <v>6885.2900500000005</v>
      </c>
      <c r="W24" s="151">
        <v>6885.2900500000005</v>
      </c>
      <c r="X24" s="151">
        <v>6885.2900500000005</v>
      </c>
      <c r="Y24" s="151">
        <v>6885.2900500000005</v>
      </c>
      <c r="Z24" s="151">
        <v>6885.2900500000005</v>
      </c>
      <c r="AA24" s="151">
        <v>6885.2900500000005</v>
      </c>
      <c r="AB24" s="151">
        <v>6885.2900500000005</v>
      </c>
      <c r="AC24" s="151">
        <v>6885.2900500000005</v>
      </c>
    </row>
    <row r="25" spans="2:29" ht="12.75" customHeight="1">
      <c r="D25" s="14" t="s">
        <v>416</v>
      </c>
      <c r="F25" s="42" t="s">
        <v>277</v>
      </c>
      <c r="G25" s="42" t="s">
        <v>318</v>
      </c>
      <c r="K25" s="151">
        <v>5721.4932469958885</v>
      </c>
      <c r="L25" s="151">
        <v>7244.5187441254775</v>
      </c>
      <c r="M25" s="151">
        <v>6737.2731551696788</v>
      </c>
      <c r="N25" s="151">
        <v>6461.1712746945441</v>
      </c>
      <c r="O25" s="151">
        <v>6346.4418993000636</v>
      </c>
      <c r="P25" s="151">
        <v>6346.4418993000636</v>
      </c>
      <c r="Q25" s="151">
        <v>6346.4418993000636</v>
      </c>
      <c r="R25" s="151">
        <v>6346.4418993000636</v>
      </c>
      <c r="S25" s="151">
        <v>6346.4418993000636</v>
      </c>
      <c r="T25" s="151">
        <v>6346.4418993000636</v>
      </c>
      <c r="U25" s="151">
        <v>6346.4418993000636</v>
      </c>
      <c r="V25" s="151">
        <v>6346.4418993000636</v>
      </c>
      <c r="W25" s="151">
        <v>6346.4418993000636</v>
      </c>
      <c r="X25" s="151">
        <v>6346.4418993000636</v>
      </c>
      <c r="Y25" s="151">
        <v>6346.4418993000636</v>
      </c>
      <c r="Z25" s="151">
        <v>6346.4418993000636</v>
      </c>
      <c r="AA25" s="151">
        <v>6346.4418993000636</v>
      </c>
      <c r="AB25" s="151">
        <v>6346.4418993000636</v>
      </c>
      <c r="AC25" s="151">
        <v>6346.4418993000636</v>
      </c>
    </row>
    <row r="26" spans="2:29" ht="12.75" customHeight="1">
      <c r="D26" s="14" t="s">
        <v>73</v>
      </c>
      <c r="F26" s="42" t="s">
        <v>277</v>
      </c>
      <c r="G26" s="42" t="s">
        <v>318</v>
      </c>
      <c r="K26" s="115">
        <v>7545.6843719958888</v>
      </c>
      <c r="L26" s="115">
        <v>16705.60899412548</v>
      </c>
      <c r="M26" s="115">
        <v>18083.700030169675</v>
      </c>
      <c r="N26" s="115">
        <v>14790.916399694543</v>
      </c>
      <c r="O26" s="115">
        <v>13231.731949300065</v>
      </c>
      <c r="P26" s="115">
        <v>13231.731949300065</v>
      </c>
      <c r="Q26" s="115">
        <v>13231.731949300065</v>
      </c>
      <c r="R26" s="115">
        <v>13231.731949300065</v>
      </c>
      <c r="S26" s="115">
        <v>13231.731949300065</v>
      </c>
      <c r="T26" s="115">
        <v>13231.731949300065</v>
      </c>
      <c r="U26" s="115">
        <v>13231.731949300065</v>
      </c>
      <c r="V26" s="115">
        <v>13231.731949300065</v>
      </c>
      <c r="W26" s="115">
        <v>13231.731949300065</v>
      </c>
      <c r="X26" s="115">
        <v>13231.731949300065</v>
      </c>
      <c r="Y26" s="115">
        <v>13231.731949300065</v>
      </c>
      <c r="Z26" s="115">
        <v>13231.731949300065</v>
      </c>
      <c r="AA26" s="115">
        <v>13231.731949300065</v>
      </c>
      <c r="AB26" s="115">
        <v>13231.731949300065</v>
      </c>
      <c r="AC26" s="115">
        <v>13231.731949300065</v>
      </c>
    </row>
    <row r="28" spans="2:29" ht="12.75" customHeight="1">
      <c r="C28" s="283" t="s">
        <v>417</v>
      </c>
      <c r="F28" s="55" t="s">
        <v>135</v>
      </c>
      <c r="G28" s="55" t="s">
        <v>136</v>
      </c>
    </row>
    <row r="29" spans="2:29" ht="12.75" customHeight="1">
      <c r="D29" s="14" t="s">
        <v>415</v>
      </c>
      <c r="F29" s="42" t="s">
        <v>277</v>
      </c>
      <c r="G29" s="42" t="s">
        <v>318</v>
      </c>
      <c r="K29" s="151">
        <v>39.0181006578023</v>
      </c>
      <c r="L29" s="151">
        <v>202.36573166479579</v>
      </c>
      <c r="M29" s="151">
        <v>242.69168940022286</v>
      </c>
      <c r="N29" s="151">
        <v>178.1670951507825</v>
      </c>
      <c r="O29" s="151">
        <v>147.27126809646367</v>
      </c>
      <c r="P29" s="151">
        <v>147.27126809646367</v>
      </c>
      <c r="Q29" s="151">
        <v>147.27126809646367</v>
      </c>
      <c r="R29" s="151">
        <v>147.27126809646367</v>
      </c>
      <c r="S29" s="151">
        <v>147.27126809646367</v>
      </c>
      <c r="T29" s="151">
        <v>147.27126809646367</v>
      </c>
      <c r="U29" s="151">
        <v>147.27126809646367</v>
      </c>
      <c r="V29" s="151">
        <v>147.27126809646367</v>
      </c>
      <c r="W29" s="151">
        <v>147.27126809646367</v>
      </c>
      <c r="X29" s="151">
        <v>147.27126809646367</v>
      </c>
      <c r="Y29" s="151">
        <v>147.27126809646367</v>
      </c>
      <c r="Z29" s="151">
        <v>147.27126809646367</v>
      </c>
      <c r="AA29" s="151">
        <v>147.27126809646367</v>
      </c>
      <c r="AB29" s="151">
        <v>147.27126809646367</v>
      </c>
      <c r="AC29" s="151">
        <v>147.27126809646367</v>
      </c>
    </row>
    <row r="30" spans="2:29" ht="12.75" customHeight="1">
      <c r="D30" s="14" t="s">
        <v>416</v>
      </c>
      <c r="F30" s="42" t="s">
        <v>277</v>
      </c>
      <c r="G30" s="42" t="s">
        <v>318</v>
      </c>
      <c r="K30" s="151">
        <v>143.03733117489722</v>
      </c>
      <c r="L30" s="151">
        <v>181.11296860313695</v>
      </c>
      <c r="M30" s="151">
        <v>168.43182887924198</v>
      </c>
      <c r="N30" s="151">
        <v>161.52928186736361</v>
      </c>
      <c r="O30" s="151">
        <v>158.6610474825016</v>
      </c>
      <c r="P30" s="151">
        <v>158.6610474825016</v>
      </c>
      <c r="Q30" s="151">
        <v>158.6610474825016</v>
      </c>
      <c r="R30" s="151">
        <v>158.6610474825016</v>
      </c>
      <c r="S30" s="151">
        <v>158.6610474825016</v>
      </c>
      <c r="T30" s="151">
        <v>158.6610474825016</v>
      </c>
      <c r="U30" s="151">
        <v>158.6610474825016</v>
      </c>
      <c r="V30" s="151">
        <v>158.6610474825016</v>
      </c>
      <c r="W30" s="151">
        <v>158.6610474825016</v>
      </c>
      <c r="X30" s="151">
        <v>158.6610474825016</v>
      </c>
      <c r="Y30" s="151">
        <v>158.6610474825016</v>
      </c>
      <c r="Z30" s="151">
        <v>158.6610474825016</v>
      </c>
      <c r="AA30" s="151">
        <v>158.6610474825016</v>
      </c>
      <c r="AB30" s="151">
        <v>158.6610474825016</v>
      </c>
      <c r="AC30" s="151">
        <v>158.6610474825016</v>
      </c>
    </row>
    <row r="31" spans="2:29" ht="12.75" customHeight="1">
      <c r="D31" s="14" t="s">
        <v>73</v>
      </c>
      <c r="F31" s="42" t="s">
        <v>277</v>
      </c>
      <c r="G31" s="42" t="s">
        <v>318</v>
      </c>
      <c r="K31" s="115">
        <v>182.05543183269953</v>
      </c>
      <c r="L31" s="115">
        <v>383.47870026793271</v>
      </c>
      <c r="M31" s="115">
        <v>411.12351827946486</v>
      </c>
      <c r="N31" s="115">
        <v>339.69637701814611</v>
      </c>
      <c r="O31" s="115">
        <v>305.93231557896524</v>
      </c>
      <c r="P31" s="115">
        <v>305.93231557896524</v>
      </c>
      <c r="Q31" s="115">
        <v>305.93231557896524</v>
      </c>
      <c r="R31" s="115">
        <v>305.93231557896524</v>
      </c>
      <c r="S31" s="115">
        <v>305.93231557896524</v>
      </c>
      <c r="T31" s="115">
        <v>305.93231557896524</v>
      </c>
      <c r="U31" s="115">
        <v>305.93231557896524</v>
      </c>
      <c r="V31" s="115">
        <v>305.93231557896524</v>
      </c>
      <c r="W31" s="115">
        <v>305.93231557896524</v>
      </c>
      <c r="X31" s="115">
        <v>305.93231557896524</v>
      </c>
      <c r="Y31" s="115">
        <v>305.93231557896524</v>
      </c>
      <c r="Z31" s="115">
        <v>305.93231557896524</v>
      </c>
      <c r="AA31" s="115">
        <v>305.93231557896524</v>
      </c>
      <c r="AB31" s="115">
        <v>305.93231557896524</v>
      </c>
      <c r="AC31" s="115">
        <v>305.93231557896524</v>
      </c>
    </row>
    <row r="33" spans="2:29" s="7" customFormat="1" ht="15.6">
      <c r="B33" s="7" t="s">
        <v>458</v>
      </c>
    </row>
    <row r="35" spans="2:29" ht="12.75" customHeight="1">
      <c r="C35" s="283" t="s">
        <v>165</v>
      </c>
      <c r="F35" s="55" t="s">
        <v>135</v>
      </c>
      <c r="G35" s="55" t="s">
        <v>136</v>
      </c>
    </row>
    <row r="36" spans="2:29" ht="12.75" customHeight="1">
      <c r="D36" s="15" t="s">
        <v>169</v>
      </c>
      <c r="F36" s="42" t="s">
        <v>277</v>
      </c>
      <c r="G36" s="42" t="s">
        <v>164</v>
      </c>
      <c r="I36" s="148"/>
      <c r="J36" s="148">
        <v>-1.7386892633311835E-2</v>
      </c>
      <c r="K36" s="148">
        <v>4.7207801079449663E-3</v>
      </c>
      <c r="L36" s="148">
        <v>-6.3860634750690926E-3</v>
      </c>
      <c r="M36" s="148">
        <v>-2.4220590878288872E-3</v>
      </c>
      <c r="N36" s="148">
        <v>1.8436305058011637E-3</v>
      </c>
      <c r="O36" s="148">
        <v>-5.2669974230445948E-4</v>
      </c>
      <c r="P36" s="148">
        <v>1.2557475372148019E-3</v>
      </c>
      <c r="Q36" s="148">
        <v>2.9197778171878852E-3</v>
      </c>
      <c r="R36" s="148">
        <v>1.2999999999999999E-2</v>
      </c>
      <c r="S36" s="148">
        <v>1.2999999999999999E-2</v>
      </c>
      <c r="T36" s="148">
        <v>1.2999999999999999E-2</v>
      </c>
      <c r="U36" s="148">
        <v>1.2999999999999999E-2</v>
      </c>
      <c r="V36" s="148">
        <v>1.2999999999999999E-2</v>
      </c>
      <c r="W36" s="148">
        <v>1.2999999999999999E-2</v>
      </c>
      <c r="X36" s="148">
        <v>1.2999999999999999E-2</v>
      </c>
      <c r="Y36" s="148">
        <v>1.2999999999999999E-2</v>
      </c>
      <c r="Z36" s="148">
        <v>1.2999999999999999E-2</v>
      </c>
      <c r="AA36" s="148">
        <v>1.2999999999999999E-2</v>
      </c>
      <c r="AB36" s="148">
        <v>1.2999999999999999E-2</v>
      </c>
      <c r="AC36" s="148">
        <v>1.2999999999999999E-2</v>
      </c>
    </row>
    <row r="37" spans="2:29" ht="12.75" customHeight="1">
      <c r="D37" s="15" t="s">
        <v>170</v>
      </c>
      <c r="F37" s="42" t="s">
        <v>277</v>
      </c>
      <c r="G37" s="42" t="s">
        <v>164</v>
      </c>
      <c r="I37" s="148"/>
      <c r="J37" s="148">
        <v>-1.1539270214841912E-2</v>
      </c>
      <c r="K37" s="148">
        <v>-2.0833543279044853E-2</v>
      </c>
      <c r="L37" s="148">
        <v>-1.5187449331586667E-2</v>
      </c>
      <c r="M37" s="148">
        <v>-2.3286365813036669E-3</v>
      </c>
      <c r="N37" s="148">
        <v>-1.8123558254113381E-2</v>
      </c>
      <c r="O37" s="148">
        <v>-6.3121109190745761E-3</v>
      </c>
      <c r="P37" s="148">
        <v>-1.134296318860073E-2</v>
      </c>
      <c r="Q37" s="148">
        <v>-1.8887839929708772E-3</v>
      </c>
      <c r="R37" s="148">
        <v>1.2999999999999999E-2</v>
      </c>
      <c r="S37" s="148">
        <v>1.2999999999999999E-2</v>
      </c>
      <c r="T37" s="148">
        <v>1.2999999999999999E-2</v>
      </c>
      <c r="U37" s="148">
        <v>1.2999999999999999E-2</v>
      </c>
      <c r="V37" s="148">
        <v>1.2999999999999999E-2</v>
      </c>
      <c r="W37" s="148">
        <v>1.2999999999999999E-2</v>
      </c>
      <c r="X37" s="148">
        <v>1.2999999999999999E-2</v>
      </c>
      <c r="Y37" s="148">
        <v>1.2999999999999999E-2</v>
      </c>
      <c r="Z37" s="148">
        <v>1.2999999999999999E-2</v>
      </c>
      <c r="AA37" s="148">
        <v>1.2999999999999999E-2</v>
      </c>
      <c r="AB37" s="148">
        <v>1.2999999999999999E-2</v>
      </c>
      <c r="AC37" s="148">
        <v>1.2999999999999999E-2</v>
      </c>
    </row>
    <row r="38" spans="2:29" ht="12.75" customHeight="1">
      <c r="D38" s="15" t="s">
        <v>171</v>
      </c>
      <c r="F38" s="42" t="s">
        <v>277</v>
      </c>
      <c r="G38" s="42" t="s">
        <v>164</v>
      </c>
      <c r="I38" s="148"/>
      <c r="J38" s="148">
        <v>-3.7460697073343763E-4</v>
      </c>
      <c r="K38" s="148">
        <v>-3.9261348246958372E-3</v>
      </c>
      <c r="L38" s="148">
        <v>1.0428068580238703E-2</v>
      </c>
      <c r="M38" s="148">
        <v>-5.0621381108115759E-3</v>
      </c>
      <c r="N38" s="148">
        <v>-1.9676255840583856E-4</v>
      </c>
      <c r="O38" s="148">
        <v>1.6926810366053591E-3</v>
      </c>
      <c r="P38" s="148">
        <v>-3.7073198282430164E-3</v>
      </c>
      <c r="Q38" s="148">
        <v>1.2406789863868006E-3</v>
      </c>
      <c r="R38" s="148">
        <v>1.2999999999999999E-2</v>
      </c>
      <c r="S38" s="148">
        <v>1.2999999999999999E-2</v>
      </c>
      <c r="T38" s="148">
        <v>1.2999999999999999E-2</v>
      </c>
      <c r="U38" s="148">
        <v>1.2999999999999999E-2</v>
      </c>
      <c r="V38" s="148">
        <v>1.2999999999999999E-2</v>
      </c>
      <c r="W38" s="148">
        <v>1.2999999999999999E-2</v>
      </c>
      <c r="X38" s="148">
        <v>1.2999999999999999E-2</v>
      </c>
      <c r="Y38" s="148">
        <v>1.2999999999999999E-2</v>
      </c>
      <c r="Z38" s="148">
        <v>1.2999999999999999E-2</v>
      </c>
      <c r="AA38" s="148">
        <v>1.2999999999999999E-2</v>
      </c>
      <c r="AB38" s="148">
        <v>1.2999999999999999E-2</v>
      </c>
      <c r="AC38" s="148">
        <v>1.2999999999999999E-2</v>
      </c>
    </row>
    <row r="40" spans="2:29" ht="12.75" customHeight="1">
      <c r="C40" s="283" t="s">
        <v>404</v>
      </c>
      <c r="F40" s="55" t="s">
        <v>135</v>
      </c>
      <c r="G40" s="55" t="s">
        <v>136</v>
      </c>
    </row>
    <row r="41" spans="2:29" ht="12.75" customHeight="1">
      <c r="D41" s="15" t="s">
        <v>169</v>
      </c>
      <c r="F41" s="42" t="s">
        <v>277</v>
      </c>
      <c r="G41" s="42" t="s">
        <v>177</v>
      </c>
      <c r="I41" s="151"/>
      <c r="J41" s="151">
        <v>279822.31109999999</v>
      </c>
      <c r="K41" s="151">
        <v>281143.29070000007</v>
      </c>
      <c r="L41" s="151">
        <v>279347.89180000004</v>
      </c>
      <c r="M41" s="151">
        <v>278671.29470000003</v>
      </c>
      <c r="N41" s="151">
        <v>279185.06160000007</v>
      </c>
      <c r="O41" s="151">
        <v>279038.01490000013</v>
      </c>
      <c r="P41" s="151">
        <v>279388.41620000009</v>
      </c>
      <c r="Q41" s="151">
        <v>280204.16830000014</v>
      </c>
      <c r="R41" s="151">
        <v>283846.82248790009</v>
      </c>
      <c r="S41" s="151">
        <v>287536.83118024276</v>
      </c>
      <c r="T41" s="151">
        <v>291274.80998558592</v>
      </c>
      <c r="U41" s="151">
        <v>295061.38251539849</v>
      </c>
      <c r="V41" s="151">
        <v>298897.18048809865</v>
      </c>
      <c r="W41" s="151">
        <v>302782.84383444389</v>
      </c>
      <c r="X41" s="151">
        <v>306719.02080429165</v>
      </c>
      <c r="Y41" s="151">
        <v>310706.36807474738</v>
      </c>
      <c r="Z41" s="151">
        <v>314745.55085971905</v>
      </c>
      <c r="AA41" s="151">
        <v>318837.24302089534</v>
      </c>
      <c r="AB41" s="151">
        <v>322982.12718016695</v>
      </c>
      <c r="AC41" s="151">
        <v>327180.89483350911</v>
      </c>
    </row>
    <row r="42" spans="2:29" ht="12.75" customHeight="1">
      <c r="D42" s="15" t="s">
        <v>170</v>
      </c>
      <c r="F42" s="42" t="s">
        <v>277</v>
      </c>
      <c r="G42" s="42" t="s">
        <v>177</v>
      </c>
      <c r="I42" s="151"/>
      <c r="J42" s="151">
        <v>50087.353170000002</v>
      </c>
      <c r="K42" s="151">
        <v>49043.85613</v>
      </c>
      <c r="L42" s="151">
        <v>48299.00505</v>
      </c>
      <c r="M42" s="151">
        <v>48186.534220000001</v>
      </c>
      <c r="N42" s="151">
        <v>47313.222760000004</v>
      </c>
      <c r="O42" s="151">
        <v>47014.57645</v>
      </c>
      <c r="P42" s="151">
        <v>46481.291839999998</v>
      </c>
      <c r="Q42" s="151">
        <v>46393.498719999996</v>
      </c>
      <c r="R42" s="151">
        <v>46996.61420335999</v>
      </c>
      <c r="S42" s="151">
        <v>47607.570188003665</v>
      </c>
      <c r="T42" s="151">
        <v>48226.468600447704</v>
      </c>
      <c r="U42" s="151">
        <v>48853.412692253522</v>
      </c>
      <c r="V42" s="151">
        <v>49488.507057252813</v>
      </c>
      <c r="W42" s="151">
        <v>50131.857648997095</v>
      </c>
      <c r="X42" s="151">
        <v>50783.571798434052</v>
      </c>
      <c r="Y42" s="151">
        <v>51443.758231813692</v>
      </c>
      <c r="Z42" s="151">
        <v>52112.527088827264</v>
      </c>
      <c r="AA42" s="151">
        <v>52789.989940982014</v>
      </c>
      <c r="AB42" s="151">
        <v>53476.259810214775</v>
      </c>
      <c r="AC42" s="151">
        <v>54171.45118774756</v>
      </c>
    </row>
    <row r="43" spans="2:29" ht="12.75" customHeight="1">
      <c r="D43" s="15" t="s">
        <v>171</v>
      </c>
      <c r="F43" s="42" t="s">
        <v>277</v>
      </c>
      <c r="G43" s="42" t="s">
        <v>177</v>
      </c>
      <c r="I43" s="151"/>
      <c r="J43" s="151">
        <v>9169.5857650000016</v>
      </c>
      <c r="K43" s="151">
        <v>9133.5847350000004</v>
      </c>
      <c r="L43" s="151">
        <v>9228.8303830000023</v>
      </c>
      <c r="M43" s="151">
        <v>9182.112769000003</v>
      </c>
      <c r="N43" s="151">
        <v>9180.3060730000034</v>
      </c>
      <c r="O43" s="151">
        <v>9195.845403000003</v>
      </c>
      <c r="P43" s="151">
        <v>9161.7534630000046</v>
      </c>
      <c r="Q43" s="151">
        <v>9173.1202580000045</v>
      </c>
      <c r="R43" s="151">
        <v>9292.3708213540031</v>
      </c>
      <c r="S43" s="151">
        <v>9413.1716420316043</v>
      </c>
      <c r="T43" s="151">
        <v>9535.5428733780136</v>
      </c>
      <c r="U43" s="151">
        <v>9659.5049307319277</v>
      </c>
      <c r="V43" s="151">
        <v>9785.0784948314413</v>
      </c>
      <c r="W43" s="151">
        <v>9912.2845152642494</v>
      </c>
      <c r="X43" s="151">
        <v>10041.144213962683</v>
      </c>
      <c r="Y43" s="151">
        <v>10171.679088744197</v>
      </c>
      <c r="Z43" s="151">
        <v>10303.91091689787</v>
      </c>
      <c r="AA43" s="151">
        <v>10437.861758817542</v>
      </c>
      <c r="AB43" s="151">
        <v>10573.55396168217</v>
      </c>
      <c r="AC43" s="151">
        <v>10711.010163184037</v>
      </c>
    </row>
    <row r="44" spans="2:29" ht="12.75" customHeight="1">
      <c r="D44" s="110" t="s">
        <v>73</v>
      </c>
      <c r="E44" s="49"/>
      <c r="F44" s="111" t="s">
        <v>277</v>
      </c>
      <c r="G44" s="111" t="s">
        <v>177</v>
      </c>
      <c r="H44" s="49"/>
      <c r="I44" s="115"/>
      <c r="J44" s="115">
        <v>339079.25003500003</v>
      </c>
      <c r="K44" s="115">
        <v>339320.73156500008</v>
      </c>
      <c r="L44" s="115">
        <v>336875.72723300004</v>
      </c>
      <c r="M44" s="115">
        <v>336039.941689</v>
      </c>
      <c r="N44" s="115">
        <v>335678.59043300006</v>
      </c>
      <c r="O44" s="115">
        <v>335248.43675300013</v>
      </c>
      <c r="P44" s="115">
        <v>335031.46150300012</v>
      </c>
      <c r="Q44" s="115">
        <v>335770.78727800009</v>
      </c>
      <c r="R44" s="115">
        <v>340135.80751261406</v>
      </c>
      <c r="S44" s="115">
        <v>344557.57301027799</v>
      </c>
      <c r="T44" s="115">
        <v>349036.82145941164</v>
      </c>
      <c r="U44" s="115">
        <v>353574.30013838399</v>
      </c>
      <c r="V44" s="115">
        <v>358170.76604018291</v>
      </c>
      <c r="W44" s="115">
        <v>362826.98599870526</v>
      </c>
      <c r="X44" s="115">
        <v>367543.73681668838</v>
      </c>
      <c r="Y44" s="115">
        <v>372321.80539530527</v>
      </c>
      <c r="Z44" s="115">
        <v>377161.9888654442</v>
      </c>
      <c r="AA44" s="115">
        <v>382065.09472069493</v>
      </c>
      <c r="AB44" s="115">
        <v>387031.94095206395</v>
      </c>
      <c r="AC44" s="115">
        <v>392063.35618444066</v>
      </c>
    </row>
    <row r="46" spans="2:29" ht="12.75" customHeight="1">
      <c r="C46" s="283" t="s">
        <v>405</v>
      </c>
      <c r="F46" s="55" t="s">
        <v>135</v>
      </c>
      <c r="G46" s="55" t="s">
        <v>136</v>
      </c>
    </row>
    <row r="47" spans="2:29" ht="12.75" customHeight="1">
      <c r="D47" s="14" t="s">
        <v>406</v>
      </c>
      <c r="F47" s="42" t="s">
        <v>277</v>
      </c>
      <c r="G47" s="42" t="s">
        <v>152</v>
      </c>
      <c r="I47" s="151"/>
      <c r="J47" s="151">
        <v>392746.59469214262</v>
      </c>
      <c r="K47" s="151">
        <v>393026.2964095989</v>
      </c>
      <c r="L47" s="151">
        <v>390194.31207171496</v>
      </c>
      <c r="M47" s="151">
        <v>389226.24361496023</v>
      </c>
      <c r="N47" s="151">
        <v>388807.69994038547</v>
      </c>
      <c r="O47" s="151">
        <v>388309.46422411315</v>
      </c>
      <c r="P47" s="151">
        <v>388058.14748750604</v>
      </c>
      <c r="Q47" s="151">
        <v>388914.48912583804</v>
      </c>
      <c r="R47" s="151">
        <v>393970.37748447392</v>
      </c>
      <c r="S47" s="151">
        <v>399091.99239177204</v>
      </c>
      <c r="T47" s="151">
        <v>404280.18829286518</v>
      </c>
      <c r="U47" s="151">
        <v>409535.83074067242</v>
      </c>
      <c r="V47" s="151">
        <v>414859.79654030112</v>
      </c>
      <c r="W47" s="151">
        <v>420252.97389532498</v>
      </c>
      <c r="X47" s="151">
        <v>425716.26255596412</v>
      </c>
      <c r="Y47" s="151">
        <v>431250.57396919158</v>
      </c>
      <c r="Z47" s="151">
        <v>436856.831430791</v>
      </c>
      <c r="AA47" s="151">
        <v>442535.97023939126</v>
      </c>
      <c r="AB47" s="151">
        <v>448288.93785250332</v>
      </c>
      <c r="AC47" s="151">
        <v>454116.69404458575</v>
      </c>
    </row>
    <row r="48" spans="2:29" ht="12.75" customHeight="1">
      <c r="D48" s="14" t="s">
        <v>407</v>
      </c>
      <c r="F48" s="42" t="s">
        <v>277</v>
      </c>
      <c r="G48" s="42" t="s">
        <v>152</v>
      </c>
      <c r="I48" s="151"/>
      <c r="J48" s="151">
        <v>0</v>
      </c>
      <c r="K48" s="151">
        <v>0</v>
      </c>
      <c r="L48" s="151">
        <v>0</v>
      </c>
      <c r="M48" s="151">
        <v>0</v>
      </c>
      <c r="N48" s="151">
        <v>0</v>
      </c>
      <c r="O48" s="151">
        <v>0</v>
      </c>
      <c r="P48" s="151">
        <v>0</v>
      </c>
      <c r="Q48" s="151">
        <v>0</v>
      </c>
      <c r="R48" s="151">
        <v>0</v>
      </c>
      <c r="S48" s="151">
        <v>0</v>
      </c>
      <c r="T48" s="151">
        <v>0</v>
      </c>
      <c r="U48" s="151">
        <v>0</v>
      </c>
      <c r="V48" s="151">
        <v>0</v>
      </c>
      <c r="W48" s="151">
        <v>0</v>
      </c>
      <c r="X48" s="151">
        <v>0</v>
      </c>
      <c r="Y48" s="151">
        <v>0</v>
      </c>
      <c r="Z48" s="151">
        <v>0</v>
      </c>
      <c r="AA48" s="151">
        <v>0</v>
      </c>
      <c r="AB48" s="151">
        <v>0</v>
      </c>
      <c r="AC48" s="151">
        <v>0</v>
      </c>
    </row>
    <row r="49" spans="2:29" ht="12.75" customHeight="1">
      <c r="D49" s="14" t="s">
        <v>181</v>
      </c>
      <c r="F49" s="42" t="s">
        <v>277</v>
      </c>
      <c r="G49" s="42" t="s">
        <v>152</v>
      </c>
      <c r="I49" s="151"/>
      <c r="J49" s="151">
        <v>1740.7771756530678</v>
      </c>
      <c r="K49" s="151">
        <v>1742.0169021645618</v>
      </c>
      <c r="L49" s="151">
        <v>1729.4646515179086</v>
      </c>
      <c r="M49" s="151">
        <v>1725.1738658134284</v>
      </c>
      <c r="N49" s="151">
        <v>1723.3187478173452</v>
      </c>
      <c r="O49" s="151">
        <v>1721.110409477297</v>
      </c>
      <c r="P49" s="151">
        <v>1719.9964941821481</v>
      </c>
      <c r="Q49" s="151">
        <v>1723.7920712761729</v>
      </c>
      <c r="R49" s="151">
        <v>1746.2013682027632</v>
      </c>
      <c r="S49" s="151">
        <v>1768.9019859893988</v>
      </c>
      <c r="T49" s="151">
        <v>1791.8977118072612</v>
      </c>
      <c r="U49" s="151">
        <v>1815.1923820607553</v>
      </c>
      <c r="V49" s="151">
        <v>1838.7898830275449</v>
      </c>
      <c r="W49" s="151">
        <v>1862.6941515069029</v>
      </c>
      <c r="X49" s="151">
        <v>1886.9091754764925</v>
      </c>
      <c r="Y49" s="151">
        <v>1911.4389947576867</v>
      </c>
      <c r="Z49" s="151">
        <v>1936.2877016895363</v>
      </c>
      <c r="AA49" s="151">
        <v>1961.4594418115</v>
      </c>
      <c r="AB49" s="151">
        <v>1986.9584145550493</v>
      </c>
      <c r="AC49" s="151">
        <v>2012.7888739442644</v>
      </c>
    </row>
    <row r="50" spans="2:29" ht="12.75" customHeight="1">
      <c r="D50" s="110" t="s">
        <v>73</v>
      </c>
      <c r="E50" s="49"/>
      <c r="F50" s="111" t="s">
        <v>277</v>
      </c>
      <c r="G50" s="111" t="s">
        <v>152</v>
      </c>
      <c r="H50" s="49"/>
      <c r="I50" s="115"/>
      <c r="J50" s="115">
        <v>394487.37186779571</v>
      </c>
      <c r="K50" s="115">
        <v>394768.31331176346</v>
      </c>
      <c r="L50" s="115">
        <v>391923.77672323288</v>
      </c>
      <c r="M50" s="115">
        <v>390951.41748077364</v>
      </c>
      <c r="N50" s="115">
        <v>390531.01868820278</v>
      </c>
      <c r="O50" s="115">
        <v>390030.57463359041</v>
      </c>
      <c r="P50" s="115">
        <v>389778.14398168813</v>
      </c>
      <c r="Q50" s="115">
        <v>390638.28119711415</v>
      </c>
      <c r="R50" s="115">
        <v>395716.57885267661</v>
      </c>
      <c r="S50" s="115">
        <v>400860.89437776135</v>
      </c>
      <c r="T50" s="115">
        <v>406072.08600467228</v>
      </c>
      <c r="U50" s="115">
        <v>411351.02312273299</v>
      </c>
      <c r="V50" s="115">
        <v>416698.58642332838</v>
      </c>
      <c r="W50" s="115">
        <v>422115.66804683162</v>
      </c>
      <c r="X50" s="115">
        <v>427603.17173144035</v>
      </c>
      <c r="Y50" s="115">
        <v>433162.012963949</v>
      </c>
      <c r="Z50" s="115">
        <v>438793.11913248029</v>
      </c>
      <c r="AA50" s="115">
        <v>444497.42968120245</v>
      </c>
      <c r="AB50" s="115">
        <v>450275.89626705804</v>
      </c>
      <c r="AC50" s="115">
        <v>456129.48291852965</v>
      </c>
    </row>
    <row r="52" spans="2:29" s="7" customFormat="1" ht="15.6">
      <c r="B52" s="7" t="s">
        <v>585</v>
      </c>
    </row>
    <row r="54" spans="2:29" ht="12.75" customHeight="1">
      <c r="C54" s="365" t="s">
        <v>418</v>
      </c>
      <c r="F54" s="55" t="s">
        <v>135</v>
      </c>
      <c r="G54" s="55" t="s">
        <v>136</v>
      </c>
      <c r="H54" s="30" t="s">
        <v>414</v>
      </c>
    </row>
    <row r="55" spans="2:29" ht="12.75" customHeight="1">
      <c r="D55" s="14" t="s">
        <v>415</v>
      </c>
      <c r="F55" s="42" t="s">
        <v>277</v>
      </c>
      <c r="G55" s="42" t="s">
        <v>318</v>
      </c>
      <c r="H55" s="151">
        <v>42008.965556402705</v>
      </c>
      <c r="I55" s="151"/>
      <c r="K55" s="151">
        <v>93.514739519245609</v>
      </c>
      <c r="L55" s="151">
        <v>578.52498771723765</v>
      </c>
      <c r="M55" s="151">
        <v>1160.1845184255633</v>
      </c>
      <c r="N55" s="151">
        <v>1587.1978587223925</v>
      </c>
      <c r="O55" s="151">
        <v>1940.1631246509851</v>
      </c>
      <c r="P55" s="151">
        <v>2293.1283905795776</v>
      </c>
      <c r="Q55" s="151">
        <v>2646.0936565081702</v>
      </c>
      <c r="R55" s="151">
        <v>2999.0589224367627</v>
      </c>
      <c r="S55" s="151">
        <v>3352.0241883653553</v>
      </c>
      <c r="T55" s="151">
        <v>3704.9894542939478</v>
      </c>
      <c r="U55" s="151">
        <v>4057.9547202225403</v>
      </c>
      <c r="V55" s="151">
        <v>4410.9199861511333</v>
      </c>
      <c r="W55" s="151">
        <v>4763.8852520797263</v>
      </c>
      <c r="X55" s="151">
        <v>5116.8505180083193</v>
      </c>
      <c r="Y55" s="151">
        <v>5469.8157839369123</v>
      </c>
      <c r="Z55" s="151">
        <v>5822.7810498655053</v>
      </c>
      <c r="AA55" s="151">
        <v>6175.7463157940983</v>
      </c>
      <c r="AB55" s="151">
        <v>6528.7115817226913</v>
      </c>
      <c r="AC55" s="151">
        <v>6881.6768476512843</v>
      </c>
    </row>
    <row r="56" spans="2:29" ht="12.75" customHeight="1">
      <c r="D56" s="14" t="s">
        <v>416</v>
      </c>
      <c r="F56" s="42" t="s">
        <v>277</v>
      </c>
      <c r="G56" s="42" t="s">
        <v>318</v>
      </c>
      <c r="H56" s="151">
        <v>37740.946366983277</v>
      </c>
      <c r="I56" s="151"/>
      <c r="K56" s="151">
        <v>293.30476577882882</v>
      </c>
      <c r="L56" s="151">
        <v>664.68541444807738</v>
      </c>
      <c r="M56" s="151">
        <v>1010.0627905032857</v>
      </c>
      <c r="N56" s="151">
        <v>1341.2861697104904</v>
      </c>
      <c r="O56" s="151">
        <v>1666.628099595755</v>
      </c>
      <c r="P56" s="151">
        <v>1991.9700294810195</v>
      </c>
      <c r="Q56" s="151">
        <v>2317.3119593662841</v>
      </c>
      <c r="R56" s="151">
        <v>2642.6538892515487</v>
      </c>
      <c r="S56" s="151">
        <v>2967.9958191368132</v>
      </c>
      <c r="T56" s="151">
        <v>3293.3377490220778</v>
      </c>
      <c r="U56" s="151">
        <v>3618.6796789073423</v>
      </c>
      <c r="V56" s="151">
        <v>3944.0216087926069</v>
      </c>
      <c r="W56" s="151">
        <v>4269.3635386778715</v>
      </c>
      <c r="X56" s="151">
        <v>4594.7054685631356</v>
      </c>
      <c r="Y56" s="151">
        <v>4920.0473984483997</v>
      </c>
      <c r="Z56" s="151">
        <v>5245.3893283336638</v>
      </c>
      <c r="AA56" s="151">
        <v>5570.7312582189279</v>
      </c>
      <c r="AB56" s="151">
        <v>5896.073188104192</v>
      </c>
      <c r="AC56" s="151">
        <v>6221.4151179894561</v>
      </c>
    </row>
    <row r="58" spans="2:29" ht="12.75" customHeight="1">
      <c r="C58" s="365" t="s">
        <v>457</v>
      </c>
      <c r="F58" s="55" t="s">
        <v>135</v>
      </c>
      <c r="G58" s="55" t="s">
        <v>136</v>
      </c>
      <c r="H58" s="30" t="s">
        <v>414</v>
      </c>
    </row>
    <row r="59" spans="2:29" ht="12.75" customHeight="1">
      <c r="D59" s="14" t="s">
        <v>415</v>
      </c>
      <c r="F59" s="42" t="s">
        <v>277</v>
      </c>
      <c r="G59" s="42" t="s">
        <v>318</v>
      </c>
      <c r="H59" s="151">
        <v>17527.825613763667</v>
      </c>
      <c r="K59" s="151">
        <v>39.0181006578023</v>
      </c>
      <c r="L59" s="151">
        <v>241.3838323225981</v>
      </c>
      <c r="M59" s="151">
        <v>484.07552172282095</v>
      </c>
      <c r="N59" s="151">
        <v>662.24261687360342</v>
      </c>
      <c r="O59" s="151">
        <v>809.51388497006712</v>
      </c>
      <c r="P59" s="151">
        <v>956.78515306653082</v>
      </c>
      <c r="Q59" s="151">
        <v>1104.0564211629944</v>
      </c>
      <c r="R59" s="151">
        <v>1251.3276892594581</v>
      </c>
      <c r="S59" s="151">
        <v>1398.5989573559218</v>
      </c>
      <c r="T59" s="151">
        <v>1545.8702254523855</v>
      </c>
      <c r="U59" s="151">
        <v>1693.1414935488492</v>
      </c>
      <c r="V59" s="151">
        <v>1840.4127616453129</v>
      </c>
      <c r="W59" s="151">
        <v>1987.6840297417766</v>
      </c>
      <c r="X59" s="151">
        <v>2134.9552978382403</v>
      </c>
      <c r="Y59" s="151">
        <v>2282.226565934704</v>
      </c>
      <c r="Z59" s="151">
        <v>2429.4978340311677</v>
      </c>
      <c r="AA59" s="151">
        <v>2576.7691021276314</v>
      </c>
      <c r="AB59" s="151">
        <v>2724.0403702240951</v>
      </c>
      <c r="AC59" s="151">
        <v>2871.3116383205588</v>
      </c>
    </row>
    <row r="60" spans="2:29" ht="12.75" customHeight="1">
      <c r="D60" s="14" t="s">
        <v>416</v>
      </c>
      <c r="F60" s="42" t="s">
        <v>277</v>
      </c>
      <c r="G60" s="42" t="s">
        <v>318</v>
      </c>
      <c r="H60" s="151">
        <v>18405.306950992206</v>
      </c>
      <c r="K60" s="151">
        <v>143.03733117489722</v>
      </c>
      <c r="L60" s="151">
        <v>324.1502997780342</v>
      </c>
      <c r="M60" s="151">
        <v>492.58212865727614</v>
      </c>
      <c r="N60" s="151">
        <v>654.11141052463972</v>
      </c>
      <c r="O60" s="151">
        <v>812.77245800714127</v>
      </c>
      <c r="P60" s="151">
        <v>971.43350548964281</v>
      </c>
      <c r="Q60" s="151">
        <v>1130.0945529721444</v>
      </c>
      <c r="R60" s="151">
        <v>1288.7556004546459</v>
      </c>
      <c r="S60" s="151">
        <v>1447.4166479371474</v>
      </c>
      <c r="T60" s="151">
        <v>1606.077695419649</v>
      </c>
      <c r="U60" s="151">
        <v>1764.7387429021505</v>
      </c>
      <c r="V60" s="151">
        <v>1923.3997903846521</v>
      </c>
      <c r="W60" s="151">
        <v>2082.0608378671536</v>
      </c>
      <c r="X60" s="151">
        <v>2240.7218853496552</v>
      </c>
      <c r="Y60" s="151">
        <v>2399.3829328321567</v>
      </c>
      <c r="Z60" s="151">
        <v>2558.0439803146583</v>
      </c>
      <c r="AA60" s="151">
        <v>2716.7050277971598</v>
      </c>
      <c r="AB60" s="151">
        <v>2875.3660752796613</v>
      </c>
      <c r="AC60" s="151">
        <v>3034.0271227621629</v>
      </c>
    </row>
    <row r="62" spans="2:29" ht="12.75" customHeight="1">
      <c r="C62" s="365" t="s">
        <v>419</v>
      </c>
      <c r="F62" s="55" t="s">
        <v>135</v>
      </c>
      <c r="G62" s="55" t="s">
        <v>136</v>
      </c>
      <c r="H62" s="30" t="s">
        <v>414</v>
      </c>
    </row>
    <row r="63" spans="2:29" ht="12.75" customHeight="1">
      <c r="D63" s="14" t="s">
        <v>415</v>
      </c>
      <c r="F63" s="42" t="s">
        <v>277</v>
      </c>
      <c r="G63" s="42" t="s">
        <v>318</v>
      </c>
      <c r="H63" s="151">
        <v>59536.791170166362</v>
      </c>
      <c r="K63" s="151">
        <v>132.53284017704792</v>
      </c>
      <c r="L63" s="151">
        <v>819.90882003983575</v>
      </c>
      <c r="M63" s="151">
        <v>1644.2600401483842</v>
      </c>
      <c r="N63" s="151">
        <v>2249.4404755959958</v>
      </c>
      <c r="O63" s="151">
        <v>2749.6770096210521</v>
      </c>
      <c r="P63" s="151">
        <v>3249.9135436461083</v>
      </c>
      <c r="Q63" s="151">
        <v>3750.1500776711646</v>
      </c>
      <c r="R63" s="151">
        <v>4250.3866116962208</v>
      </c>
      <c r="S63" s="151">
        <v>4750.6231457212771</v>
      </c>
      <c r="T63" s="151">
        <v>5250.8596797463333</v>
      </c>
      <c r="U63" s="151">
        <v>5751.0962137713896</v>
      </c>
      <c r="V63" s="151">
        <v>6251.3327477964467</v>
      </c>
      <c r="W63" s="151">
        <v>6751.569281821503</v>
      </c>
      <c r="X63" s="151">
        <v>7251.8058158465592</v>
      </c>
      <c r="Y63" s="151">
        <v>7752.0423498716164</v>
      </c>
      <c r="Z63" s="151">
        <v>8252.2788838966735</v>
      </c>
      <c r="AA63" s="151">
        <v>8752.5154179217297</v>
      </c>
      <c r="AB63" s="151">
        <v>9252.751951946786</v>
      </c>
      <c r="AC63" s="151">
        <v>9752.9884859718441</v>
      </c>
    </row>
    <row r="64" spans="2:29" ht="12.75" customHeight="1">
      <c r="D64" s="14" t="s">
        <v>416</v>
      </c>
      <c r="F64" s="42" t="s">
        <v>277</v>
      </c>
      <c r="G64" s="42" t="s">
        <v>318</v>
      </c>
      <c r="H64" s="151">
        <v>56146.25331797549</v>
      </c>
      <c r="K64" s="151">
        <v>436.34209695372601</v>
      </c>
      <c r="L64" s="151">
        <v>988.83571422611158</v>
      </c>
      <c r="M64" s="151">
        <v>1502.6449191605618</v>
      </c>
      <c r="N64" s="151">
        <v>1995.3975802351301</v>
      </c>
      <c r="O64" s="151">
        <v>2479.4005576028962</v>
      </c>
      <c r="P64" s="151">
        <v>2963.4035349706623</v>
      </c>
      <c r="Q64" s="151">
        <v>3447.4065123384285</v>
      </c>
      <c r="R64" s="151">
        <v>3931.4094897061946</v>
      </c>
      <c r="S64" s="151">
        <v>4415.4124670739602</v>
      </c>
      <c r="T64" s="151">
        <v>4899.4154444417272</v>
      </c>
      <c r="U64" s="151">
        <v>5383.4184218094924</v>
      </c>
      <c r="V64" s="151">
        <v>5867.4213991772594</v>
      </c>
      <c r="W64" s="151">
        <v>6351.4243765450246</v>
      </c>
      <c r="X64" s="151">
        <v>6835.4273539127907</v>
      </c>
      <c r="Y64" s="151">
        <v>7319.4303312805569</v>
      </c>
      <c r="Z64" s="151">
        <v>7803.4333086483221</v>
      </c>
      <c r="AA64" s="151">
        <v>8287.4362860160873</v>
      </c>
      <c r="AB64" s="151">
        <v>8771.4392633838543</v>
      </c>
      <c r="AC64" s="151">
        <v>9255.4422407516195</v>
      </c>
    </row>
    <row r="66" spans="3:29" ht="12.75" customHeight="1">
      <c r="C66" s="283" t="s">
        <v>420</v>
      </c>
      <c r="F66" s="55" t="s">
        <v>135</v>
      </c>
      <c r="G66" s="55" t="s">
        <v>136</v>
      </c>
      <c r="H66" s="30" t="s">
        <v>414</v>
      </c>
    </row>
    <row r="67" spans="3:29" ht="12.75" customHeight="1">
      <c r="D67" s="14" t="s">
        <v>406</v>
      </c>
      <c r="F67" s="42" t="s">
        <v>277</v>
      </c>
      <c r="G67" s="42" t="s">
        <v>429</v>
      </c>
      <c r="H67" s="151">
        <v>5294.3906571414191</v>
      </c>
      <c r="J67" s="151">
        <v>392.74659469214259</v>
      </c>
      <c r="K67" s="151">
        <v>393.0262964095989</v>
      </c>
      <c r="L67" s="151">
        <v>390.19431207171493</v>
      </c>
      <c r="M67" s="151">
        <v>389.22624361496025</v>
      </c>
      <c r="N67" s="151">
        <v>388.80769994038548</v>
      </c>
      <c r="O67" s="151">
        <v>388.30946422411313</v>
      </c>
      <c r="P67" s="151">
        <v>388.05814748750606</v>
      </c>
      <c r="Q67" s="151">
        <v>388.91448912583803</v>
      </c>
      <c r="R67" s="151">
        <v>393.97037748447394</v>
      </c>
      <c r="S67" s="151">
        <v>399.09199239177207</v>
      </c>
      <c r="T67" s="151">
        <v>404.28018829286515</v>
      </c>
      <c r="U67" s="151">
        <v>409.5358307406724</v>
      </c>
      <c r="V67" s="151">
        <v>414.85979654030109</v>
      </c>
      <c r="W67" s="151">
        <v>420.252973895325</v>
      </c>
      <c r="X67" s="151">
        <v>425.71626255596414</v>
      </c>
      <c r="Y67" s="151">
        <v>431.25057396919158</v>
      </c>
      <c r="Z67" s="151">
        <v>436.85683143079098</v>
      </c>
      <c r="AA67" s="151">
        <v>442.53597023939125</v>
      </c>
      <c r="AB67" s="151">
        <v>448.28893785250335</v>
      </c>
      <c r="AC67" s="151">
        <v>454.11669404458576</v>
      </c>
    </row>
    <row r="68" spans="3:29" ht="12.75" customHeight="1">
      <c r="D68" s="14" t="s">
        <v>407</v>
      </c>
      <c r="F68" s="42" t="s">
        <v>277</v>
      </c>
      <c r="G68" s="42" t="s">
        <v>429</v>
      </c>
      <c r="H68" s="151">
        <v>0</v>
      </c>
      <c r="J68" s="151">
        <v>0</v>
      </c>
      <c r="K68" s="151">
        <v>0</v>
      </c>
      <c r="L68" s="151">
        <v>0</v>
      </c>
      <c r="M68" s="151">
        <v>0</v>
      </c>
      <c r="N68" s="151">
        <v>0</v>
      </c>
      <c r="O68" s="151">
        <v>0</v>
      </c>
      <c r="P68" s="151">
        <v>0</v>
      </c>
      <c r="Q68" s="151">
        <v>0</v>
      </c>
      <c r="R68" s="151">
        <v>0</v>
      </c>
      <c r="S68" s="151">
        <v>0</v>
      </c>
      <c r="T68" s="151">
        <v>0</v>
      </c>
      <c r="U68" s="151">
        <v>0</v>
      </c>
      <c r="V68" s="151">
        <v>0</v>
      </c>
      <c r="W68" s="151">
        <v>0</v>
      </c>
      <c r="X68" s="151">
        <v>0</v>
      </c>
      <c r="Y68" s="151">
        <v>0</v>
      </c>
      <c r="Z68" s="151">
        <v>0</v>
      </c>
      <c r="AA68" s="151">
        <v>0</v>
      </c>
      <c r="AB68" s="151">
        <v>0</v>
      </c>
      <c r="AC68" s="151">
        <v>0</v>
      </c>
    </row>
    <row r="69" spans="3:29" ht="12.75" customHeight="1">
      <c r="D69" s="14" t="s">
        <v>181</v>
      </c>
      <c r="F69" s="42" t="s">
        <v>277</v>
      </c>
      <c r="G69" s="42" t="s">
        <v>429</v>
      </c>
      <c r="H69" s="151">
        <v>23.466414577488411</v>
      </c>
      <c r="J69" s="151">
        <v>1.7407771756530679</v>
      </c>
      <c r="K69" s="151">
        <v>1.7420169021645617</v>
      </c>
      <c r="L69" s="151">
        <v>1.7294646515179086</v>
      </c>
      <c r="M69" s="151">
        <v>1.7251738658134284</v>
      </c>
      <c r="N69" s="151">
        <v>1.7233187478173453</v>
      </c>
      <c r="O69" s="151">
        <v>1.7211104094772971</v>
      </c>
      <c r="P69" s="151">
        <v>1.7199964941821482</v>
      </c>
      <c r="Q69" s="151">
        <v>1.723792071276173</v>
      </c>
      <c r="R69" s="151">
        <v>1.7462013682027633</v>
      </c>
      <c r="S69" s="151">
        <v>1.7689019859893989</v>
      </c>
      <c r="T69" s="151">
        <v>1.7918977118072612</v>
      </c>
      <c r="U69" s="151">
        <v>1.8151923820607554</v>
      </c>
      <c r="V69" s="151">
        <v>1.8387898830275449</v>
      </c>
      <c r="W69" s="151">
        <v>1.8626941515069029</v>
      </c>
      <c r="X69" s="151">
        <v>1.8869091754764924</v>
      </c>
      <c r="Y69" s="151">
        <v>1.9114389947576866</v>
      </c>
      <c r="Z69" s="151">
        <v>1.9362877016895363</v>
      </c>
      <c r="AA69" s="151">
        <v>1.9614594418115001</v>
      </c>
      <c r="AB69" s="151">
        <v>1.9869584145550494</v>
      </c>
      <c r="AC69" s="151">
        <v>2.0127888739442645</v>
      </c>
    </row>
    <row r="71" spans="3:29" ht="12.75" customHeight="1">
      <c r="C71" s="365" t="s">
        <v>421</v>
      </c>
      <c r="F71" s="55" t="s">
        <v>135</v>
      </c>
      <c r="G71" s="55" t="s">
        <v>136</v>
      </c>
      <c r="H71" s="30" t="s">
        <v>414</v>
      </c>
    </row>
    <row r="72" spans="3:29" ht="12.75" customHeight="1">
      <c r="D72" s="14" t="s">
        <v>422</v>
      </c>
      <c r="F72" s="42" t="s">
        <v>277</v>
      </c>
      <c r="G72" s="42" t="s">
        <v>429</v>
      </c>
      <c r="H72" s="151">
        <v>198.72860344758925</v>
      </c>
      <c r="K72" s="151">
        <v>0.28094144396777665</v>
      </c>
      <c r="L72" s="151">
        <v>0</v>
      </c>
      <c r="M72" s="151">
        <v>0</v>
      </c>
      <c r="N72" s="151">
        <v>0</v>
      </c>
      <c r="O72" s="151">
        <v>0</v>
      </c>
      <c r="P72" s="151">
        <v>0</v>
      </c>
      <c r="Q72" s="151">
        <v>0</v>
      </c>
      <c r="R72" s="151">
        <v>1.2292069848810456</v>
      </c>
      <c r="S72" s="151">
        <v>6.3735225099657669</v>
      </c>
      <c r="T72" s="151">
        <v>11.584714136876755</v>
      </c>
      <c r="U72" s="151">
        <v>16.863651254937452</v>
      </c>
      <c r="V72" s="151">
        <v>22.21121455553299</v>
      </c>
      <c r="W72" s="151">
        <v>27.628296179036226</v>
      </c>
      <c r="X72" s="151">
        <v>33.115799863644952</v>
      </c>
      <c r="Y72" s="151">
        <v>38.674641096153607</v>
      </c>
      <c r="Z72" s="151">
        <v>44.30574726468484</v>
      </c>
      <c r="AA72" s="151">
        <v>50.010057813407059</v>
      </c>
      <c r="AB72" s="151">
        <v>55.788524399262712</v>
      </c>
      <c r="AC72" s="151">
        <v>61.642111050734343</v>
      </c>
    </row>
    <row r="73" spans="3:29" ht="12.75" customHeight="1">
      <c r="D73" s="14" t="s">
        <v>423</v>
      </c>
      <c r="F73" s="42" t="s">
        <v>277</v>
      </c>
      <c r="G73" s="42" t="s">
        <v>429</v>
      </c>
      <c r="H73" s="151">
        <v>197.85166227861598</v>
      </c>
      <c r="K73" s="151">
        <v>0.27970171745630523</v>
      </c>
      <c r="L73" s="151">
        <v>0</v>
      </c>
      <c r="M73" s="151">
        <v>0</v>
      </c>
      <c r="N73" s="151">
        <v>0</v>
      </c>
      <c r="O73" s="151">
        <v>0</v>
      </c>
      <c r="P73" s="151">
        <v>0</v>
      </c>
      <c r="Q73" s="151">
        <v>0</v>
      </c>
      <c r="R73" s="151">
        <v>1.2237827923313489</v>
      </c>
      <c r="S73" s="151">
        <v>6.3453976996294728</v>
      </c>
      <c r="T73" s="151">
        <v>11.533593600722554</v>
      </c>
      <c r="U73" s="151">
        <v>16.789236048529801</v>
      </c>
      <c r="V73" s="151">
        <v>22.113201848158496</v>
      </c>
      <c r="W73" s="151">
        <v>27.506379203182405</v>
      </c>
      <c r="X73" s="151">
        <v>32.969667863821542</v>
      </c>
      <c r="Y73" s="151">
        <v>38.503979277048984</v>
      </c>
      <c r="Z73" s="151">
        <v>44.110236738648382</v>
      </c>
      <c r="AA73" s="151">
        <v>49.789375547248653</v>
      </c>
      <c r="AB73" s="151">
        <v>55.542343160360758</v>
      </c>
      <c r="AC73" s="151">
        <v>61.370099352443162</v>
      </c>
    </row>
    <row r="75" spans="3:29" ht="12.75" customHeight="1">
      <c r="C75" s="365" t="s">
        <v>424</v>
      </c>
      <c r="F75" s="55" t="s">
        <v>135</v>
      </c>
      <c r="G75" s="55" t="s">
        <v>136</v>
      </c>
      <c r="H75" s="30" t="s">
        <v>414</v>
      </c>
    </row>
    <row r="76" spans="3:29" ht="12.75" customHeight="1">
      <c r="D76" s="14" t="s">
        <v>422</v>
      </c>
      <c r="F76" s="42" t="s">
        <v>277</v>
      </c>
      <c r="G76" s="42" t="s">
        <v>151</v>
      </c>
      <c r="H76" s="151">
        <v>299.58843436379311</v>
      </c>
    </row>
    <row r="77" spans="3:29" ht="12.75" customHeight="1">
      <c r="D77" s="14" t="s">
        <v>423</v>
      </c>
      <c r="F77" s="42" t="s">
        <v>277</v>
      </c>
      <c r="G77" s="42" t="s">
        <v>151</v>
      </c>
      <c r="H77" s="151">
        <v>283.77953802030726</v>
      </c>
    </row>
    <row r="79" spans="3:29" ht="12.9">
      <c r="C79" s="365" t="s">
        <v>459</v>
      </c>
      <c r="F79" s="55" t="s">
        <v>135</v>
      </c>
      <c r="G79" s="55" t="s">
        <v>136</v>
      </c>
      <c r="K79" s="113" t="s">
        <v>403</v>
      </c>
      <c r="L79" s="113" t="s">
        <v>314</v>
      </c>
      <c r="M79" s="113" t="s">
        <v>181</v>
      </c>
    </row>
    <row r="80" spans="3:29" ht="12.75" customHeight="1">
      <c r="C80" s="14" t="s">
        <v>428</v>
      </c>
      <c r="F80" s="42" t="s">
        <v>277</v>
      </c>
      <c r="G80" s="42" t="s">
        <v>431</v>
      </c>
      <c r="K80" s="349">
        <v>597.51391450664539</v>
      </c>
      <c r="L80" s="349">
        <v>597.51391450664539</v>
      </c>
      <c r="M80" s="349">
        <v>306.85307838560061</v>
      </c>
    </row>
    <row r="81" spans="12:13" ht="12.75" customHeight="1">
      <c r="L81" s="349">
        <v>49.792826208887114</v>
      </c>
      <c r="M81" s="349">
        <v>25.571089865466718</v>
      </c>
    </row>
  </sheetData>
  <conditionalFormatting sqref="B2">
    <cfRule type="cellIs" dxfId="22" priority="1" operator="notEqual">
      <formula>"No Errors Found"</formula>
    </cfRule>
  </conditionalFormatting>
  <hyperlinks>
    <hyperlink ref="B4" location="'ToC'!$A$1" tooltip="Go To Table of Contents" display="='ToC'!B1" xr:uid="{00000000-0004-0000-0700-000000000000}"/>
  </hyperlinks>
  <pageMargins left="0.7" right="0.7" top="0.75" bottom="0.75" header="0.3" footer="0.3"/>
  <pageSetup paperSize="9" scale="3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106"/>
  <sheetViews>
    <sheetView showGridLines="0" zoomScaleNormal="100" workbookViewId="0">
      <pane xSplit="1" ySplit="5" topLeftCell="B6" activePane="bottomRight" state="frozen"/>
      <selection activeCell="E4" sqref="E4"/>
      <selection pane="topRight" activeCell="E4" sqref="E4"/>
      <selection pane="bottomLeft" activeCell="E4" sqref="E4"/>
      <selection pane="bottomRight" activeCell="B6" sqref="B6"/>
    </sheetView>
  </sheetViews>
  <sheetFormatPr defaultColWidth="9.1171875" defaultRowHeight="12.75" customHeight="1"/>
  <cols>
    <col min="1" max="3" width="2.703125" style="13" customWidth="1"/>
    <col min="4" max="5" width="20.703125" style="13" customWidth="1"/>
    <col min="6" max="7" width="10.703125" style="13" customWidth="1"/>
    <col min="8" max="14" width="15.703125" style="13" customWidth="1"/>
    <col min="15" max="42" width="10.703125" style="13" customWidth="1"/>
    <col min="43" max="16384" width="9.1171875" style="13"/>
  </cols>
  <sheetData>
    <row r="1" spans="2:11" ht="20.399999999999999">
      <c r="B1" s="8" t="s">
        <v>444</v>
      </c>
    </row>
    <row r="2" spans="2:11" ht="11.25" customHeight="1">
      <c r="B2" s="72" t="s">
        <v>565</v>
      </c>
    </row>
    <row r="3" spans="2:11" ht="12.9">
      <c r="B3" s="71" t="s">
        <v>547</v>
      </c>
    </row>
    <row r="4" spans="2:11" ht="12.9">
      <c r="B4" s="337" t="s">
        <v>96</v>
      </c>
    </row>
    <row r="7" spans="2:11" s="7" customFormat="1" ht="15.6">
      <c r="B7" s="7" t="s">
        <v>438</v>
      </c>
    </row>
    <row r="9" spans="2:11" s="364" customFormat="1" ht="12.75" customHeight="1">
      <c r="B9" s="364" t="s">
        <v>439</v>
      </c>
    </row>
    <row r="10" spans="2:11" ht="38.700000000000003">
      <c r="C10" s="261" t="s">
        <v>221</v>
      </c>
      <c r="D10" s="52"/>
      <c r="E10" s="257"/>
      <c r="F10" s="55" t="s">
        <v>135</v>
      </c>
      <c r="G10" s="55" t="s">
        <v>136</v>
      </c>
      <c r="H10" s="258" t="s">
        <v>222</v>
      </c>
      <c r="I10" s="257" t="s">
        <v>328</v>
      </c>
      <c r="J10" s="265" t="s">
        <v>341</v>
      </c>
      <c r="K10" s="265" t="s">
        <v>342</v>
      </c>
    </row>
    <row r="11" spans="2:11" ht="12.75" customHeight="1">
      <c r="C11" s="52"/>
      <c r="D11" s="217" t="s">
        <v>190</v>
      </c>
      <c r="E11" s="217"/>
      <c r="F11" s="173" t="s">
        <v>481</v>
      </c>
      <c r="G11" s="173" t="s">
        <v>521</v>
      </c>
      <c r="H11" s="256">
        <v>268.24601667949491</v>
      </c>
      <c r="I11" s="54" t="s">
        <v>230</v>
      </c>
      <c r="J11" s="15" t="s">
        <v>338</v>
      </c>
      <c r="K11" s="15" t="s">
        <v>190</v>
      </c>
    </row>
    <row r="12" spans="2:11" ht="12.75" customHeight="1">
      <c r="C12" s="52"/>
      <c r="D12" s="217" t="s">
        <v>191</v>
      </c>
      <c r="E12" s="217"/>
      <c r="F12" s="173" t="s">
        <v>481</v>
      </c>
      <c r="G12" s="173" t="s">
        <v>521</v>
      </c>
      <c r="H12" s="256">
        <v>243.79090173519486</v>
      </c>
      <c r="I12" s="54" t="s">
        <v>329</v>
      </c>
      <c r="J12" s="15" t="s">
        <v>338</v>
      </c>
      <c r="K12" s="15" t="s">
        <v>191</v>
      </c>
    </row>
    <row r="13" spans="2:11" ht="12.75" customHeight="1">
      <c r="C13" s="52"/>
      <c r="D13" s="217" t="s">
        <v>192</v>
      </c>
      <c r="E13" s="217"/>
      <c r="F13" s="173" t="s">
        <v>481</v>
      </c>
      <c r="G13" s="173" t="s">
        <v>521</v>
      </c>
      <c r="H13" s="256">
        <v>180.53440799429359</v>
      </c>
      <c r="I13" s="54" t="s">
        <v>182</v>
      </c>
      <c r="J13" s="15" t="s">
        <v>338</v>
      </c>
      <c r="K13" s="15" t="s">
        <v>192</v>
      </c>
    </row>
    <row r="14" spans="2:11" ht="12.75" customHeight="1">
      <c r="C14" s="52"/>
      <c r="D14" s="217" t="s">
        <v>193</v>
      </c>
      <c r="E14" s="217"/>
      <c r="F14" s="173" t="s">
        <v>481</v>
      </c>
      <c r="G14" s="173" t="s">
        <v>521</v>
      </c>
      <c r="H14" s="256">
        <v>7.6600899739675867</v>
      </c>
      <c r="I14" s="54" t="s">
        <v>186</v>
      </c>
      <c r="J14" s="15" t="s">
        <v>338</v>
      </c>
      <c r="K14" s="15" t="s">
        <v>193</v>
      </c>
    </row>
    <row r="15" spans="2:11" ht="12.75" customHeight="1">
      <c r="C15" s="52"/>
      <c r="D15" s="217" t="s">
        <v>185</v>
      </c>
      <c r="E15" s="217"/>
      <c r="F15" s="173" t="s">
        <v>481</v>
      </c>
      <c r="G15" s="173" t="s">
        <v>521</v>
      </c>
      <c r="H15" s="256">
        <v>99.608956662973966</v>
      </c>
      <c r="I15" s="54" t="s">
        <v>231</v>
      </c>
      <c r="J15" s="15" t="s">
        <v>338</v>
      </c>
      <c r="K15" s="15" t="s">
        <v>185</v>
      </c>
    </row>
    <row r="16" spans="2:11" ht="12.75" customHeight="1">
      <c r="C16" s="52"/>
      <c r="D16" s="217" t="s">
        <v>194</v>
      </c>
      <c r="E16" s="217"/>
      <c r="F16" s="173" t="s">
        <v>481</v>
      </c>
      <c r="G16" s="173" t="s">
        <v>521</v>
      </c>
      <c r="H16" s="256">
        <v>43.812806131127651</v>
      </c>
      <c r="I16" s="54" t="s">
        <v>231</v>
      </c>
      <c r="J16" s="15" t="s">
        <v>338</v>
      </c>
      <c r="K16" s="15" t="s">
        <v>194</v>
      </c>
    </row>
    <row r="17" spans="2:11" ht="12.75" customHeight="1">
      <c r="C17" s="52"/>
      <c r="D17" s="217" t="s">
        <v>195</v>
      </c>
      <c r="E17" s="217"/>
      <c r="F17" s="173" t="s">
        <v>481</v>
      </c>
      <c r="G17" s="173" t="s">
        <v>521</v>
      </c>
      <c r="H17" s="256">
        <v>33.116638375029275</v>
      </c>
      <c r="I17" s="54" t="s">
        <v>330</v>
      </c>
      <c r="J17" s="15" t="s">
        <v>330</v>
      </c>
      <c r="K17" s="15" t="s">
        <v>251</v>
      </c>
    </row>
    <row r="18" spans="2:11" ht="12.75" customHeight="1">
      <c r="C18" s="52"/>
      <c r="D18" s="217" t="s">
        <v>196</v>
      </c>
      <c r="E18" s="217"/>
      <c r="F18" s="173" t="s">
        <v>481</v>
      </c>
      <c r="G18" s="173" t="s">
        <v>521</v>
      </c>
      <c r="H18" s="256">
        <v>9.4940274448363784</v>
      </c>
      <c r="I18" s="54" t="s">
        <v>330</v>
      </c>
      <c r="J18" s="15" t="s">
        <v>330</v>
      </c>
      <c r="K18" s="15" t="s">
        <v>251</v>
      </c>
    </row>
    <row r="19" spans="2:11" ht="12.75" customHeight="1">
      <c r="C19" s="52"/>
      <c r="D19" s="217" t="s">
        <v>197</v>
      </c>
      <c r="E19" s="217"/>
      <c r="F19" s="173" t="s">
        <v>481</v>
      </c>
      <c r="G19" s="173" t="s">
        <v>521</v>
      </c>
      <c r="H19" s="256">
        <v>15.044125562886432</v>
      </c>
      <c r="I19" s="54" t="s">
        <v>330</v>
      </c>
      <c r="J19" s="15" t="s">
        <v>330</v>
      </c>
      <c r="K19" s="15" t="s">
        <v>251</v>
      </c>
    </row>
    <row r="20" spans="2:11" ht="12.75" customHeight="1">
      <c r="C20" s="52"/>
      <c r="D20" s="217" t="s">
        <v>198</v>
      </c>
      <c r="E20" s="217"/>
      <c r="F20" s="173" t="s">
        <v>481</v>
      </c>
      <c r="G20" s="173" t="s">
        <v>521</v>
      </c>
      <c r="H20" s="256">
        <v>46.354917721396681</v>
      </c>
      <c r="I20" s="54" t="s">
        <v>329</v>
      </c>
      <c r="J20" s="15" t="s">
        <v>339</v>
      </c>
      <c r="K20" s="15" t="s">
        <v>251</v>
      </c>
    </row>
    <row r="21" spans="2:11" ht="12.75" customHeight="1">
      <c r="C21" s="52"/>
      <c r="D21" s="217" t="s">
        <v>199</v>
      </c>
      <c r="E21" s="217"/>
      <c r="F21" s="173" t="s">
        <v>481</v>
      </c>
      <c r="G21" s="173" t="s">
        <v>521</v>
      </c>
      <c r="H21" s="256">
        <v>10.359004210140208</v>
      </c>
      <c r="I21" s="54" t="s">
        <v>330</v>
      </c>
      <c r="J21" s="15" t="s">
        <v>330</v>
      </c>
      <c r="K21" s="15" t="s">
        <v>251</v>
      </c>
    </row>
    <row r="22" spans="2:11" ht="12.75" customHeight="1">
      <c r="C22" s="52"/>
      <c r="D22" s="217" t="s">
        <v>200</v>
      </c>
      <c r="E22" s="217"/>
      <c r="F22" s="173" t="s">
        <v>481</v>
      </c>
      <c r="G22" s="173" t="s">
        <v>521</v>
      </c>
      <c r="H22" s="256">
        <v>14.722412528496614</v>
      </c>
      <c r="I22" s="54" t="s">
        <v>331</v>
      </c>
      <c r="J22" s="15" t="s">
        <v>331</v>
      </c>
      <c r="K22" s="15" t="s">
        <v>251</v>
      </c>
    </row>
    <row r="23" spans="2:11" ht="12.75" customHeight="1">
      <c r="C23" s="52"/>
      <c r="D23" s="217" t="s">
        <v>201</v>
      </c>
      <c r="E23" s="217"/>
      <c r="F23" s="173" t="s">
        <v>481</v>
      </c>
      <c r="G23" s="173" t="s">
        <v>521</v>
      </c>
      <c r="H23" s="256">
        <v>0.31276830796123112</v>
      </c>
      <c r="I23" s="54" t="s">
        <v>331</v>
      </c>
      <c r="J23" s="15" t="s">
        <v>331</v>
      </c>
      <c r="K23" s="15" t="s">
        <v>251</v>
      </c>
    </row>
    <row r="24" spans="2:11" ht="12.75" customHeight="1">
      <c r="C24" s="52"/>
      <c r="D24" s="217" t="s">
        <v>202</v>
      </c>
      <c r="E24" s="217"/>
      <c r="F24" s="173" t="s">
        <v>481</v>
      </c>
      <c r="G24" s="173" t="s">
        <v>521</v>
      </c>
      <c r="H24" s="256">
        <v>0.44612408791803038</v>
      </c>
      <c r="I24" s="54" t="s">
        <v>331</v>
      </c>
      <c r="J24" s="15" t="s">
        <v>331</v>
      </c>
      <c r="K24" s="15" t="s">
        <v>251</v>
      </c>
    </row>
    <row r="25" spans="2:11" ht="12.75" customHeight="1">
      <c r="C25" s="52"/>
      <c r="D25" s="262" t="s">
        <v>523</v>
      </c>
      <c r="E25" s="262"/>
      <c r="F25" s="353" t="s">
        <v>481</v>
      </c>
      <c r="G25" s="353" t="s">
        <v>521</v>
      </c>
      <c r="H25" s="263">
        <v>973.50319741571764</v>
      </c>
      <c r="I25" s="52"/>
    </row>
    <row r="27" spans="2:11" s="364" customFormat="1" ht="12.75" customHeight="1">
      <c r="B27" s="364" t="s">
        <v>337</v>
      </c>
    </row>
    <row r="29" spans="2:11" ht="12.75" customHeight="1">
      <c r="C29" s="73" t="s">
        <v>337</v>
      </c>
      <c r="F29" s="55" t="s">
        <v>135</v>
      </c>
      <c r="G29" s="55" t="s">
        <v>136</v>
      </c>
      <c r="H29" s="172" t="s">
        <v>222</v>
      </c>
    </row>
    <row r="30" spans="2:11" ht="12.75" customHeight="1">
      <c r="D30" s="15" t="s">
        <v>330</v>
      </c>
      <c r="F30" s="42" t="s">
        <v>277</v>
      </c>
      <c r="G30" s="42" t="s">
        <v>224</v>
      </c>
      <c r="H30" s="256">
        <v>68.013795592892293</v>
      </c>
    </row>
    <row r="31" spans="2:11" ht="12.75" customHeight="1">
      <c r="D31" s="15" t="s">
        <v>331</v>
      </c>
      <c r="F31" s="42" t="s">
        <v>277</v>
      </c>
      <c r="G31" s="42" t="s">
        <v>224</v>
      </c>
      <c r="H31" s="256">
        <v>15.481304924375877</v>
      </c>
      <c r="I31" s="267"/>
    </row>
    <row r="32" spans="2:11" ht="12.75" customHeight="1">
      <c r="D32" s="15" t="s">
        <v>338</v>
      </c>
      <c r="F32" s="42" t="s">
        <v>277</v>
      </c>
      <c r="G32" s="42" t="s">
        <v>224</v>
      </c>
      <c r="H32" s="256">
        <v>843.65317917705261</v>
      </c>
      <c r="I32" s="266"/>
    </row>
    <row r="33" spans="2:10" ht="12.75" customHeight="1">
      <c r="D33" s="15" t="s">
        <v>339</v>
      </c>
      <c r="F33" s="42" t="s">
        <v>277</v>
      </c>
      <c r="G33" s="42" t="s">
        <v>224</v>
      </c>
      <c r="H33" s="256">
        <v>46.354917721396681</v>
      </c>
      <c r="I33" s="267"/>
    </row>
    <row r="34" spans="2:10" ht="12.75" customHeight="1">
      <c r="D34" s="143" t="s">
        <v>73</v>
      </c>
      <c r="E34" s="49"/>
      <c r="F34" s="111" t="s">
        <v>277</v>
      </c>
      <c r="G34" s="111" t="s">
        <v>224</v>
      </c>
      <c r="H34" s="259">
        <v>973.50319741571741</v>
      </c>
    </row>
    <row r="36" spans="2:10" ht="12.75" customHeight="1">
      <c r="D36" s="15" t="s">
        <v>586</v>
      </c>
      <c r="H36" s="260" t="s">
        <v>27</v>
      </c>
    </row>
    <row r="38" spans="2:10" s="364" customFormat="1" ht="12.75" customHeight="1">
      <c r="B38" s="364" t="s">
        <v>343</v>
      </c>
    </row>
    <row r="40" spans="2:10" ht="12.75" customHeight="1">
      <c r="C40" s="73" t="s">
        <v>339</v>
      </c>
      <c r="F40" s="55" t="s">
        <v>135</v>
      </c>
      <c r="G40" s="55" t="s">
        <v>136</v>
      </c>
      <c r="H40" s="172" t="s">
        <v>222</v>
      </c>
      <c r="J40" s="172" t="s">
        <v>342</v>
      </c>
    </row>
    <row r="41" spans="2:10" ht="12.75" customHeight="1">
      <c r="D41" s="15" t="s">
        <v>344</v>
      </c>
      <c r="F41" s="42" t="s">
        <v>277</v>
      </c>
      <c r="G41" s="42" t="s">
        <v>224</v>
      </c>
      <c r="H41" s="256">
        <v>23.177458860698341</v>
      </c>
      <c r="J41" s="15" t="s">
        <v>190</v>
      </c>
    </row>
    <row r="42" spans="2:10" ht="12.75" customHeight="1">
      <c r="D42" s="15" t="s">
        <v>345</v>
      </c>
      <c r="F42" s="42" t="s">
        <v>277</v>
      </c>
      <c r="G42" s="42" t="s">
        <v>224</v>
      </c>
      <c r="H42" s="256">
        <v>23.177458860698341</v>
      </c>
      <c r="J42" s="15" t="s">
        <v>185</v>
      </c>
    </row>
    <row r="43" spans="2:10" ht="12.75" customHeight="1">
      <c r="D43" s="143" t="s">
        <v>73</v>
      </c>
      <c r="E43" s="49"/>
      <c r="F43" s="111" t="s">
        <v>277</v>
      </c>
      <c r="G43" s="111" t="s">
        <v>224</v>
      </c>
      <c r="H43" s="259">
        <v>46.354917721396681</v>
      </c>
    </row>
    <row r="45" spans="2:10" ht="12.75" customHeight="1">
      <c r="D45" s="15" t="s">
        <v>587</v>
      </c>
      <c r="H45" s="260" t="s">
        <v>27</v>
      </c>
    </row>
    <row r="47" spans="2:10" s="364" customFormat="1" ht="12.75" customHeight="1">
      <c r="B47" s="364" t="s">
        <v>335</v>
      </c>
    </row>
    <row r="49" spans="2:9" ht="38.700000000000003">
      <c r="C49" s="73" t="s">
        <v>221</v>
      </c>
      <c r="F49" s="55" t="s">
        <v>135</v>
      </c>
      <c r="G49" s="55" t="s">
        <v>136</v>
      </c>
      <c r="H49" s="264" t="s">
        <v>222</v>
      </c>
      <c r="I49" s="73" t="s">
        <v>336</v>
      </c>
    </row>
    <row r="50" spans="2:9" ht="12.75" customHeight="1">
      <c r="D50" s="15" t="s">
        <v>190</v>
      </c>
      <c r="E50" s="14"/>
      <c r="F50" s="42" t="s">
        <v>277</v>
      </c>
      <c r="G50" s="42" t="s">
        <v>224</v>
      </c>
      <c r="H50" s="256">
        <v>313.04898492883018</v>
      </c>
      <c r="I50" s="14" t="s">
        <v>183</v>
      </c>
    </row>
    <row r="51" spans="2:9" ht="12.75" customHeight="1">
      <c r="D51" s="15" t="s">
        <v>191</v>
      </c>
      <c r="E51" s="14"/>
      <c r="F51" s="42" t="s">
        <v>277</v>
      </c>
      <c r="G51" s="42" t="s">
        <v>224</v>
      </c>
      <c r="H51" s="256">
        <v>263.44488392512585</v>
      </c>
      <c r="I51" s="14" t="s">
        <v>329</v>
      </c>
    </row>
    <row r="52" spans="2:9" ht="12.75" customHeight="1">
      <c r="D52" s="15" t="s">
        <v>192</v>
      </c>
      <c r="E52" s="14"/>
      <c r="F52" s="42" t="s">
        <v>277</v>
      </c>
      <c r="G52" s="42" t="s">
        <v>224</v>
      </c>
      <c r="H52" s="256">
        <v>195.08876590566325</v>
      </c>
      <c r="I52" s="14" t="s">
        <v>182</v>
      </c>
    </row>
    <row r="53" spans="2:9" ht="12.75" customHeight="1">
      <c r="D53" s="15" t="s">
        <v>193</v>
      </c>
      <c r="E53" s="14"/>
      <c r="F53" s="42" t="s">
        <v>277</v>
      </c>
      <c r="G53" s="42" t="s">
        <v>224</v>
      </c>
      <c r="H53" s="256">
        <v>8.2776325928679277</v>
      </c>
      <c r="I53" s="14" t="s">
        <v>186</v>
      </c>
    </row>
    <row r="54" spans="2:9" ht="12.75" customHeight="1">
      <c r="D54" s="15" t="s">
        <v>185</v>
      </c>
      <c r="E54" s="14"/>
      <c r="F54" s="42" t="s">
        <v>277</v>
      </c>
      <c r="G54" s="42" t="s">
        <v>224</v>
      </c>
      <c r="H54" s="256">
        <v>130.81670970724343</v>
      </c>
      <c r="I54" s="14" t="s">
        <v>185</v>
      </c>
    </row>
    <row r="55" spans="2:9" ht="12.75" customHeight="1">
      <c r="D55" s="15" t="s">
        <v>194</v>
      </c>
      <c r="E55" s="14"/>
      <c r="F55" s="42" t="s">
        <v>277</v>
      </c>
      <c r="G55" s="42" t="s">
        <v>224</v>
      </c>
      <c r="H55" s="256">
        <v>47.344915431610907</v>
      </c>
      <c r="I55" s="14" t="s">
        <v>185</v>
      </c>
    </row>
    <row r="56" spans="2:9" ht="12.75" customHeight="1">
      <c r="D56" s="110" t="s">
        <v>223</v>
      </c>
      <c r="E56" s="49"/>
      <c r="F56" s="111" t="s">
        <v>277</v>
      </c>
      <c r="G56" s="111" t="s">
        <v>224</v>
      </c>
      <c r="H56" s="255">
        <v>958.02189249134142</v>
      </c>
    </row>
    <row r="58" spans="2:9" ht="12.75" customHeight="1">
      <c r="D58" s="15" t="s">
        <v>588</v>
      </c>
      <c r="H58" s="260" t="s">
        <v>27</v>
      </c>
    </row>
    <row r="60" spans="2:9" s="364" customFormat="1" ht="12.75" customHeight="1">
      <c r="B60" s="364" t="s">
        <v>225</v>
      </c>
    </row>
    <row r="62" spans="2:9" ht="12.75" customHeight="1">
      <c r="I62" s="73" t="s">
        <v>336</v>
      </c>
    </row>
    <row r="63" spans="2:9" ht="12.75" customHeight="1">
      <c r="D63" s="14" t="s">
        <v>191</v>
      </c>
      <c r="E63" s="113" t="s">
        <v>228</v>
      </c>
      <c r="F63" s="55" t="s">
        <v>135</v>
      </c>
      <c r="G63" s="55" t="s">
        <v>136</v>
      </c>
      <c r="H63" s="256">
        <v>263.44488392512585</v>
      </c>
    </row>
    <row r="64" spans="2:9" ht="12.75" customHeight="1">
      <c r="D64" s="15" t="s">
        <v>226</v>
      </c>
      <c r="E64" s="146">
        <v>0.74212929398260641</v>
      </c>
      <c r="F64" s="42" t="s">
        <v>277</v>
      </c>
      <c r="G64" s="42" t="s">
        <v>224</v>
      </c>
      <c r="H64" s="269">
        <v>195.51016571068334</v>
      </c>
      <c r="I64" s="14" t="s">
        <v>184</v>
      </c>
    </row>
    <row r="65" spans="2:14" ht="12.75" customHeight="1">
      <c r="D65" s="15" t="s">
        <v>227</v>
      </c>
      <c r="E65" s="146">
        <v>0.25787070601739359</v>
      </c>
      <c r="F65" s="42" t="s">
        <v>277</v>
      </c>
      <c r="G65" s="42" t="s">
        <v>224</v>
      </c>
      <c r="H65" s="270">
        <v>67.934718214442512</v>
      </c>
      <c r="I65" s="14" t="s">
        <v>186</v>
      </c>
    </row>
    <row r="67" spans="2:14" s="364" customFormat="1" ht="12.75" customHeight="1">
      <c r="B67" s="364" t="s">
        <v>558</v>
      </c>
    </row>
    <row r="69" spans="2:14" ht="25.8">
      <c r="F69" s="55" t="s">
        <v>135</v>
      </c>
      <c r="G69" s="55" t="s">
        <v>136</v>
      </c>
      <c r="H69" s="55"/>
      <c r="I69" s="338" t="s">
        <v>182</v>
      </c>
      <c r="J69" s="338" t="s">
        <v>183</v>
      </c>
      <c r="K69" s="338" t="s">
        <v>184</v>
      </c>
      <c r="L69" s="338" t="s">
        <v>185</v>
      </c>
      <c r="M69" s="338" t="s">
        <v>186</v>
      </c>
      <c r="N69" s="276" t="s">
        <v>73</v>
      </c>
    </row>
    <row r="70" spans="2:14" ht="12.75" customHeight="1">
      <c r="D70" s="14" t="s">
        <v>346</v>
      </c>
      <c r="F70" s="42" t="s">
        <v>277</v>
      </c>
      <c r="G70" s="42" t="s">
        <v>224</v>
      </c>
      <c r="H70" s="42"/>
      <c r="I70" s="256">
        <v>195.08876590566325</v>
      </c>
      <c r="J70" s="256">
        <v>313.04898492883018</v>
      </c>
      <c r="K70" s="256">
        <v>195.51016571068334</v>
      </c>
      <c r="L70" s="256">
        <v>178.16162513885433</v>
      </c>
      <c r="M70" s="256">
        <v>76.212350807310443</v>
      </c>
      <c r="N70" s="271">
        <v>958.02189249134153</v>
      </c>
    </row>
    <row r="71" spans="2:14" ht="12.75" customHeight="1">
      <c r="D71" s="14" t="s">
        <v>228</v>
      </c>
      <c r="F71" s="42" t="s">
        <v>277</v>
      </c>
      <c r="G71" s="42" t="s">
        <v>164</v>
      </c>
      <c r="I71" s="273">
        <v>0.20363706449164098</v>
      </c>
      <c r="J71" s="273">
        <v>0.32676600334752731</v>
      </c>
      <c r="K71" s="273">
        <v>0.20407692897524293</v>
      </c>
      <c r="L71" s="273">
        <v>0.18596821903051086</v>
      </c>
      <c r="M71" s="273">
        <v>7.9551784155077895E-2</v>
      </c>
      <c r="N71" s="274">
        <v>0.99999999999999989</v>
      </c>
    </row>
    <row r="73" spans="2:14" ht="12.75" customHeight="1">
      <c r="D73" s="15" t="s">
        <v>589</v>
      </c>
      <c r="I73" s="260" t="s">
        <v>27</v>
      </c>
    </row>
    <row r="75" spans="2:14" s="7" customFormat="1" ht="15.6">
      <c r="B75" s="7" t="s">
        <v>440</v>
      </c>
    </row>
    <row r="77" spans="2:14" s="364" customFormat="1" ht="12.75" customHeight="1">
      <c r="B77" s="364" t="s">
        <v>234</v>
      </c>
    </row>
    <row r="79" spans="2:14" ht="12.75" customHeight="1">
      <c r="F79" s="56" t="s">
        <v>135</v>
      </c>
      <c r="G79" s="56" t="s">
        <v>136</v>
      </c>
      <c r="I79" s="275" t="s">
        <v>528</v>
      </c>
      <c r="J79" s="275" t="s">
        <v>238</v>
      </c>
    </row>
    <row r="80" spans="2:14" ht="12.75" customHeight="1">
      <c r="D80" s="15" t="s">
        <v>235</v>
      </c>
      <c r="F80" s="173" t="s">
        <v>481</v>
      </c>
      <c r="G80" s="173" t="s">
        <v>164</v>
      </c>
      <c r="I80" s="256">
        <v>372.71748852793269</v>
      </c>
      <c r="J80" s="505">
        <v>0.60575473444210115</v>
      </c>
    </row>
    <row r="81" spans="2:14" ht="12.75" customHeight="1">
      <c r="D81" s="15" t="s">
        <v>236</v>
      </c>
      <c r="F81" s="173" t="s">
        <v>481</v>
      </c>
      <c r="G81" s="173" t="s">
        <v>164</v>
      </c>
      <c r="I81" s="256">
        <v>149.11499188477947</v>
      </c>
      <c r="J81" s="506"/>
    </row>
    <row r="82" spans="2:14" ht="12.75" customHeight="1">
      <c r="D82" s="15" t="s">
        <v>237</v>
      </c>
      <c r="F82" s="173" t="s">
        <v>481</v>
      </c>
      <c r="G82" s="173" t="s">
        <v>164</v>
      </c>
      <c r="I82" s="256">
        <v>339.6258801122267</v>
      </c>
      <c r="J82" s="272">
        <v>0.39424526555789885</v>
      </c>
    </row>
    <row r="83" spans="2:14" ht="12.75" customHeight="1">
      <c r="D83" s="110" t="s">
        <v>73</v>
      </c>
      <c r="E83" s="49"/>
      <c r="F83" s="49"/>
      <c r="G83" s="49"/>
      <c r="H83" s="49"/>
      <c r="I83" s="255">
        <v>861.45836052493883</v>
      </c>
      <c r="J83" s="278">
        <v>1</v>
      </c>
    </row>
    <row r="85" spans="2:14" s="364" customFormat="1" ht="12.75" customHeight="1">
      <c r="B85" s="364" t="s">
        <v>347</v>
      </c>
    </row>
    <row r="87" spans="2:14" ht="25.8">
      <c r="F87" s="55" t="s">
        <v>135</v>
      </c>
      <c r="G87" s="55" t="s">
        <v>136</v>
      </c>
      <c r="I87" s="338" t="s">
        <v>182</v>
      </c>
      <c r="J87" s="338" t="s">
        <v>183</v>
      </c>
      <c r="K87" s="338" t="s">
        <v>184</v>
      </c>
      <c r="L87" s="338" t="s">
        <v>185</v>
      </c>
      <c r="M87" s="338" t="s">
        <v>186</v>
      </c>
      <c r="N87" s="276" t="s">
        <v>73</v>
      </c>
    </row>
    <row r="88" spans="2:14" ht="12.75" customHeight="1">
      <c r="D88" s="14" t="s">
        <v>232</v>
      </c>
      <c r="F88" s="42" t="s">
        <v>277</v>
      </c>
      <c r="G88" s="42" t="s">
        <v>164</v>
      </c>
      <c r="I88" s="146">
        <v>0.02</v>
      </c>
      <c r="J88" s="146">
        <v>0.02</v>
      </c>
      <c r="K88" s="146">
        <v>2.5000000000000001E-2</v>
      </c>
      <c r="L88" s="146">
        <v>2.5000000000000001E-2</v>
      </c>
      <c r="M88" s="146">
        <v>2.5000000000000001E-2</v>
      </c>
      <c r="N88" s="51"/>
    </row>
    <row r="89" spans="2:14" ht="12.75" customHeight="1">
      <c r="D89" s="14" t="s">
        <v>348</v>
      </c>
      <c r="F89" s="42" t="s">
        <v>277</v>
      </c>
      <c r="G89" s="42" t="s">
        <v>164</v>
      </c>
      <c r="I89" s="146">
        <v>0.18224199415063802</v>
      </c>
      <c r="J89" s="146">
        <v>0.2924344260184123</v>
      </c>
      <c r="K89" s="146">
        <v>0.22829455549650843</v>
      </c>
      <c r="L89" s="146">
        <v>0.20803690114916507</v>
      </c>
      <c r="M89" s="146">
        <v>8.8992123185276231E-2</v>
      </c>
      <c r="N89" s="274">
        <v>1</v>
      </c>
    </row>
    <row r="91" spans="2:14" s="7" customFormat="1" ht="15.6">
      <c r="B91" s="7" t="s">
        <v>441</v>
      </c>
    </row>
    <row r="93" spans="2:14" s="364" customFormat="1" ht="12.75" customHeight="1">
      <c r="B93" s="364" t="s">
        <v>352</v>
      </c>
    </row>
    <row r="95" spans="2:14" ht="25.8">
      <c r="F95" s="55" t="s">
        <v>135</v>
      </c>
      <c r="G95" s="55" t="s">
        <v>136</v>
      </c>
      <c r="I95" s="338" t="s">
        <v>182</v>
      </c>
      <c r="J95" s="338" t="s">
        <v>183</v>
      </c>
      <c r="K95" s="338" t="s">
        <v>184</v>
      </c>
      <c r="L95" s="338" t="s">
        <v>185</v>
      </c>
      <c r="M95" s="338" t="s">
        <v>186</v>
      </c>
      <c r="N95" s="276" t="s">
        <v>73</v>
      </c>
    </row>
    <row r="96" spans="2:14" ht="12.75" customHeight="1">
      <c r="D96" s="14" t="s">
        <v>349</v>
      </c>
      <c r="F96" s="42" t="s">
        <v>277</v>
      </c>
      <c r="G96" s="42" t="s">
        <v>164</v>
      </c>
      <c r="I96" s="146">
        <v>0.12335411592370302</v>
      </c>
      <c r="J96" s="146">
        <v>0.19794005358248815</v>
      </c>
      <c r="K96" s="146">
        <v>0.12362056591715782</v>
      </c>
      <c r="L96" s="146">
        <v>0.1126511291334976</v>
      </c>
      <c r="M96" s="146">
        <v>4.8188869885254559E-2</v>
      </c>
      <c r="N96" s="279">
        <v>0.60575473444210104</v>
      </c>
    </row>
    <row r="97" spans="2:15" ht="12.75" customHeight="1">
      <c r="D97" s="14" t="s">
        <v>350</v>
      </c>
      <c r="F97" s="42" t="s">
        <v>277</v>
      </c>
      <c r="G97" s="42" t="s">
        <v>164</v>
      </c>
      <c r="I97" s="146">
        <v>7.184804337971934E-2</v>
      </c>
      <c r="J97" s="146">
        <v>0.11529088794390067</v>
      </c>
      <c r="K97" s="146">
        <v>9.0004047657143441E-2</v>
      </c>
      <c r="L97" s="146">
        <v>8.201756333939493E-2</v>
      </c>
      <c r="M97" s="146">
        <v>3.5084723237740478E-2</v>
      </c>
      <c r="N97" s="274">
        <v>0.39424526555789885</v>
      </c>
    </row>
    <row r="98" spans="2:15" ht="12.75" customHeight="1">
      <c r="D98" s="110" t="s">
        <v>73</v>
      </c>
      <c r="E98" s="49"/>
      <c r="F98" s="111" t="s">
        <v>277</v>
      </c>
      <c r="G98" s="111" t="s">
        <v>164</v>
      </c>
      <c r="H98" s="49"/>
      <c r="I98" s="280">
        <v>0.19520215930342236</v>
      </c>
      <c r="J98" s="280">
        <v>0.31323094152638881</v>
      </c>
      <c r="K98" s="280">
        <v>0.21362461357430126</v>
      </c>
      <c r="L98" s="280">
        <v>0.19466869247289253</v>
      </c>
      <c r="M98" s="280">
        <v>8.3273593122995038E-2</v>
      </c>
      <c r="N98" s="279">
        <v>1</v>
      </c>
    </row>
    <row r="100" spans="2:15" ht="12.75" customHeight="1">
      <c r="D100" s="15" t="s">
        <v>590</v>
      </c>
      <c r="I100" s="260" t="s">
        <v>27</v>
      </c>
    </row>
    <row r="102" spans="2:15" s="364" customFormat="1" ht="12.75" customHeight="1">
      <c r="B102" s="364" t="s">
        <v>351</v>
      </c>
    </row>
    <row r="104" spans="2:15" ht="25.8">
      <c r="F104" s="55" t="s">
        <v>135</v>
      </c>
      <c r="G104" s="55" t="s">
        <v>136</v>
      </c>
      <c r="I104" s="338" t="s">
        <v>182</v>
      </c>
      <c r="J104" s="338" t="s">
        <v>183</v>
      </c>
      <c r="K104" s="338" t="s">
        <v>184</v>
      </c>
      <c r="L104" s="338" t="s">
        <v>185</v>
      </c>
      <c r="M104" s="338" t="s">
        <v>186</v>
      </c>
      <c r="N104" s="277" t="s">
        <v>353</v>
      </c>
      <c r="O104" s="276" t="s">
        <v>73</v>
      </c>
    </row>
    <row r="105" spans="2:15" ht="12.75" customHeight="1">
      <c r="D105" s="15" t="s">
        <v>233</v>
      </c>
      <c r="F105" s="169" t="s">
        <v>488</v>
      </c>
      <c r="G105" s="169" t="s">
        <v>164</v>
      </c>
      <c r="H105" s="272">
        <v>0.1</v>
      </c>
      <c r="O105" s="51"/>
    </row>
    <row r="106" spans="2:15" s="52" customFormat="1" ht="12.75" customHeight="1">
      <c r="D106" s="66" t="s">
        <v>73</v>
      </c>
      <c r="F106" s="42" t="s">
        <v>277</v>
      </c>
      <c r="G106" s="42" t="s">
        <v>164</v>
      </c>
      <c r="I106" s="273">
        <v>0.17568194337308013</v>
      </c>
      <c r="J106" s="273">
        <v>0.28190784737374991</v>
      </c>
      <c r="K106" s="273">
        <v>0.19226215221687115</v>
      </c>
      <c r="L106" s="273">
        <v>0.17520182322560329</v>
      </c>
      <c r="M106" s="273">
        <v>7.4946233810695539E-2</v>
      </c>
      <c r="N106" s="273">
        <v>0.1</v>
      </c>
      <c r="O106" s="274">
        <v>1</v>
      </c>
    </row>
  </sheetData>
  <mergeCells count="1">
    <mergeCell ref="J80:J81"/>
  </mergeCells>
  <conditionalFormatting sqref="B2">
    <cfRule type="cellIs" dxfId="21" priority="9" operator="notEqual">
      <formula>"No Errors Found"</formula>
    </cfRule>
  </conditionalFormatting>
  <conditionalFormatting sqref="I73 H36 H45 H58">
    <cfRule type="expression" dxfId="20" priority="5">
      <formula>H36&lt;&gt;Ok</formula>
    </cfRule>
  </conditionalFormatting>
  <conditionalFormatting sqref="I100">
    <cfRule type="expression" dxfId="19" priority="4">
      <formula>I100&lt;&gt;Ok</formula>
    </cfRule>
  </conditionalFormatting>
  <hyperlinks>
    <hyperlink ref="B4" location="'ToC'!$A$1" tooltip="Go To Table of Contents" display="='ToC'!B1" xr:uid="{00000000-0004-0000-0800-000000000000}"/>
  </hyperlinks>
  <pageMargins left="0.7" right="0.7" top="0.75" bottom="0.75" header="0.3" footer="0.3"/>
  <pageSetup paperSize="9"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B1:O76"/>
  <sheetViews>
    <sheetView showGridLines="0" zoomScaleNormal="100" workbookViewId="0">
      <pane xSplit="1" ySplit="5" topLeftCell="B6" activePane="bottomRight" state="frozen"/>
      <selection activeCell="B6" sqref="B6"/>
      <selection pane="topRight" activeCell="B6" sqref="B6"/>
      <selection pane="bottomLeft" activeCell="B6" sqref="B6"/>
      <selection pane="bottomRight" activeCell="B6" sqref="B6"/>
    </sheetView>
  </sheetViews>
  <sheetFormatPr defaultColWidth="9.1171875" defaultRowHeight="12.75" customHeight="1"/>
  <cols>
    <col min="1" max="3" width="2.703125" style="13" customWidth="1"/>
    <col min="4" max="4" width="20.703125" style="13" customWidth="1"/>
    <col min="5" max="6" width="10.703125" style="13" customWidth="1"/>
    <col min="7" max="7" width="15.703125" style="13" customWidth="1"/>
    <col min="8" max="8" width="18.29296875" style="13" bestFit="1" customWidth="1"/>
    <col min="9" max="9" width="5.703125" style="13" customWidth="1"/>
    <col min="10" max="15" width="13.703125" style="13" customWidth="1"/>
    <col min="16" max="30" width="10.703125" style="13" customWidth="1"/>
    <col min="31" max="31" width="20.703125" style="13" customWidth="1"/>
    <col min="32" max="36" width="15.703125" style="13" customWidth="1"/>
    <col min="37" max="16384" width="9.1171875" style="13"/>
  </cols>
  <sheetData>
    <row r="1" spans="2:15" ht="20.399999999999999">
      <c r="B1" s="8" t="s">
        <v>445</v>
      </c>
    </row>
    <row r="2" spans="2:15" ht="11.25" customHeight="1">
      <c r="B2" s="72" t="s">
        <v>565</v>
      </c>
    </row>
    <row r="3" spans="2:15" ht="12.9">
      <c r="B3" s="71" t="s">
        <v>547</v>
      </c>
    </row>
    <row r="4" spans="2:15" ht="12.9">
      <c r="B4" s="337" t="s">
        <v>96</v>
      </c>
      <c r="G4" s="15" t="s">
        <v>167</v>
      </c>
      <c r="H4" s="33" t="s">
        <v>159</v>
      </c>
      <c r="I4" s="173"/>
    </row>
    <row r="7" spans="2:15" s="7" customFormat="1" ht="15.6">
      <c r="B7" s="7" t="s">
        <v>513</v>
      </c>
    </row>
    <row r="9" spans="2:15" ht="12.75" customHeight="1">
      <c r="G9" s="55" t="s">
        <v>135</v>
      </c>
      <c r="H9" s="55" t="s">
        <v>136</v>
      </c>
      <c r="I9" s="55"/>
      <c r="J9" s="168" t="s">
        <v>158</v>
      </c>
      <c r="K9" s="167" t="s">
        <v>159</v>
      </c>
      <c r="L9" s="167" t="s">
        <v>566</v>
      </c>
      <c r="M9" s="167" t="s">
        <v>567</v>
      </c>
      <c r="N9" s="167" t="s">
        <v>568</v>
      </c>
      <c r="O9" s="167" t="s">
        <v>569</v>
      </c>
    </row>
    <row r="10" spans="2:15" ht="12.75" customHeight="1">
      <c r="D10" s="14" t="s">
        <v>253</v>
      </c>
      <c r="G10" s="42" t="s">
        <v>277</v>
      </c>
      <c r="H10" s="42" t="s">
        <v>164</v>
      </c>
      <c r="I10" s="42"/>
      <c r="J10" s="148">
        <v>2.4248746575396662E-2</v>
      </c>
      <c r="K10" s="148">
        <v>2.4248746575396662E-2</v>
      </c>
      <c r="L10" s="148">
        <v>2.4248746575396662E-2</v>
      </c>
      <c r="M10" s="148">
        <v>2.4248746575396662E-2</v>
      </c>
      <c r="N10" s="148">
        <v>2.4248746575396662E-2</v>
      </c>
      <c r="O10" s="148">
        <v>2.4248746575396662E-2</v>
      </c>
    </row>
    <row r="11" spans="2:15" ht="12.75" customHeight="1">
      <c r="D11" s="14" t="s">
        <v>161</v>
      </c>
      <c r="G11" s="42" t="s">
        <v>277</v>
      </c>
      <c r="H11" s="42" t="s">
        <v>164</v>
      </c>
      <c r="I11" s="42"/>
      <c r="J11" s="166"/>
      <c r="K11" s="166">
        <v>9.4182208389897021E-2</v>
      </c>
      <c r="L11" s="166">
        <v>-3.3760666814186872E-2</v>
      </c>
      <c r="M11" s="166">
        <v>-3.3760666814186872E-2</v>
      </c>
      <c r="N11" s="166">
        <v>-3.3760666814186872E-2</v>
      </c>
      <c r="O11" s="166">
        <v>-3.3760666814186872E-2</v>
      </c>
    </row>
    <row r="12" spans="2:15" ht="12.75" customHeight="1">
      <c r="D12" s="14" t="s">
        <v>514</v>
      </c>
      <c r="G12" s="42" t="s">
        <v>277</v>
      </c>
      <c r="H12" s="42" t="s">
        <v>164</v>
      </c>
      <c r="I12" s="42"/>
      <c r="J12" s="148">
        <v>0.02</v>
      </c>
      <c r="K12" s="148">
        <v>0.02</v>
      </c>
      <c r="L12" s="148">
        <v>0.02</v>
      </c>
      <c r="M12" s="148">
        <v>0.02</v>
      </c>
      <c r="N12" s="148">
        <v>0.02</v>
      </c>
      <c r="O12" s="148">
        <v>0.02</v>
      </c>
    </row>
    <row r="13" spans="2:15" s="361" customFormat="1" ht="12.75" customHeight="1">
      <c r="D13" s="21" t="s">
        <v>518</v>
      </c>
      <c r="G13" s="108" t="s">
        <v>277</v>
      </c>
      <c r="H13" s="108" t="s">
        <v>164</v>
      </c>
      <c r="I13" s="108"/>
      <c r="K13" s="438">
        <v>0</v>
      </c>
      <c r="L13" s="438">
        <v>0</v>
      </c>
      <c r="M13" s="438">
        <v>0</v>
      </c>
      <c r="N13" s="438">
        <v>0</v>
      </c>
      <c r="O13" s="438">
        <v>0</v>
      </c>
    </row>
    <row r="14" spans="2:15" ht="12.75" customHeight="1">
      <c r="D14" s="14" t="s">
        <v>517</v>
      </c>
      <c r="G14" s="42" t="s">
        <v>81</v>
      </c>
      <c r="H14" s="42" t="s">
        <v>164</v>
      </c>
      <c r="I14" s="42"/>
      <c r="K14" s="112">
        <v>0</v>
      </c>
      <c r="L14" s="112">
        <v>0</v>
      </c>
      <c r="M14" s="112">
        <v>0</v>
      </c>
      <c r="N14" s="112">
        <v>0</v>
      </c>
      <c r="O14" s="112">
        <v>0</v>
      </c>
    </row>
    <row r="15" spans="2:15" ht="12.75" customHeight="1">
      <c r="D15" s="14"/>
      <c r="G15" s="42"/>
      <c r="H15" s="42"/>
      <c r="I15" s="42"/>
    </row>
    <row r="16" spans="2:15" ht="12.75" customHeight="1">
      <c r="C16" s="476" t="s">
        <v>242</v>
      </c>
    </row>
    <row r="17" spans="2:15" ht="12.75" customHeight="1">
      <c r="D17" s="14" t="s">
        <v>516</v>
      </c>
      <c r="G17" s="42" t="s">
        <v>277</v>
      </c>
      <c r="H17" s="42" t="s">
        <v>278</v>
      </c>
      <c r="I17" s="42"/>
      <c r="J17" s="413">
        <v>177841.86661021638</v>
      </c>
      <c r="K17" s="151">
        <v>164998.61387816441</v>
      </c>
      <c r="L17" s="151">
        <v>174705.16343045305</v>
      </c>
      <c r="M17" s="151">
        <v>184982.73053250491</v>
      </c>
      <c r="N17" s="151">
        <v>195864.90704313459</v>
      </c>
      <c r="O17" s="151">
        <v>207387.26096528588</v>
      </c>
    </row>
    <row r="18" spans="2:15" ht="12.75" customHeight="1">
      <c r="D18" s="14"/>
      <c r="G18" s="42"/>
      <c r="H18" s="42"/>
      <c r="I18" s="42"/>
      <c r="J18" s="161"/>
      <c r="K18" s="151"/>
      <c r="L18" s="151"/>
      <c r="M18" s="151"/>
      <c r="N18" s="151"/>
      <c r="O18" s="151"/>
    </row>
    <row r="19" spans="2:15" ht="12.75" customHeight="1">
      <c r="C19" s="476" t="s">
        <v>254</v>
      </c>
    </row>
    <row r="20" spans="2:15" ht="12.75" customHeight="1">
      <c r="D20" s="14" t="s">
        <v>515</v>
      </c>
      <c r="G20" s="42" t="s">
        <v>277</v>
      </c>
      <c r="H20" s="42" t="s">
        <v>164</v>
      </c>
      <c r="I20" s="42"/>
      <c r="J20" s="166" t="s">
        <v>251</v>
      </c>
      <c r="K20" s="414">
        <v>-5.3661607564011282E-2</v>
      </c>
      <c r="L20" s="166">
        <v>8.0004628588244531E-2</v>
      </c>
      <c r="M20" s="166">
        <v>8.0004628588244531E-2</v>
      </c>
      <c r="N20" s="166">
        <v>8.0004628588244531E-2</v>
      </c>
      <c r="O20" s="166">
        <v>8.0004628588244531E-2</v>
      </c>
    </row>
    <row r="21" spans="2:15" ht="12.75" customHeight="1" thickBot="1"/>
    <row r="22" spans="2:15" s="361" customFormat="1" ht="12.75" customHeight="1">
      <c r="B22" s="439"/>
      <c r="C22" s="440" t="s">
        <v>255</v>
      </c>
      <c r="D22" s="441"/>
      <c r="E22" s="441"/>
      <c r="F22" s="441"/>
      <c r="G22" s="441"/>
      <c r="H22" s="441"/>
      <c r="I22" s="441"/>
      <c r="J22" s="442" t="s">
        <v>591</v>
      </c>
      <c r="K22" s="442" t="s">
        <v>592</v>
      </c>
      <c r="L22" s="442" t="s">
        <v>593</v>
      </c>
      <c r="M22" s="442" t="s">
        <v>593</v>
      </c>
      <c r="N22" s="442" t="s">
        <v>593</v>
      </c>
      <c r="O22" s="443" t="s">
        <v>593</v>
      </c>
    </row>
    <row r="23" spans="2:15" s="361" customFormat="1" ht="12.75" customHeight="1">
      <c r="B23" s="444"/>
      <c r="C23" s="223"/>
      <c r="D23" s="223"/>
      <c r="E23" s="223"/>
      <c r="F23" s="223"/>
      <c r="G23" s="223"/>
      <c r="H23" s="223"/>
      <c r="I23" s="223"/>
      <c r="J23" s="445" t="s">
        <v>594</v>
      </c>
      <c r="K23" s="445" t="s">
        <v>595</v>
      </c>
      <c r="L23" s="445" t="s">
        <v>596</v>
      </c>
      <c r="M23" s="445" t="s">
        <v>596</v>
      </c>
      <c r="N23" s="445" t="s">
        <v>596</v>
      </c>
      <c r="O23" s="446" t="s">
        <v>596</v>
      </c>
    </row>
    <row r="24" spans="2:15" s="361" customFormat="1" ht="12.75" customHeight="1">
      <c r="B24" s="444"/>
      <c r="C24" s="223"/>
      <c r="D24" s="29" t="s">
        <v>256</v>
      </c>
      <c r="E24" s="223"/>
      <c r="F24" s="223"/>
      <c r="G24" s="108" t="s">
        <v>277</v>
      </c>
      <c r="H24" s="108" t="s">
        <v>278</v>
      </c>
      <c r="I24" s="108"/>
      <c r="J24" s="210">
        <v>0</v>
      </c>
      <c r="K24" s="210">
        <v>0</v>
      </c>
      <c r="L24" s="210">
        <v>0</v>
      </c>
      <c r="M24" s="210">
        <v>0</v>
      </c>
      <c r="N24" s="210">
        <v>0</v>
      </c>
      <c r="O24" s="415">
        <v>0</v>
      </c>
    </row>
    <row r="25" spans="2:15" s="361" customFormat="1" ht="12.75" customHeight="1">
      <c r="B25" s="444"/>
      <c r="C25" s="223"/>
      <c r="D25" s="29" t="s">
        <v>257</v>
      </c>
      <c r="E25" s="223"/>
      <c r="F25" s="223"/>
      <c r="G25" s="108" t="s">
        <v>277</v>
      </c>
      <c r="H25" s="108" t="s">
        <v>278</v>
      </c>
      <c r="I25" s="108"/>
      <c r="J25" s="210">
        <v>0</v>
      </c>
      <c r="K25" s="210">
        <v>0</v>
      </c>
      <c r="L25" s="210">
        <v>0</v>
      </c>
      <c r="M25" s="210">
        <v>0</v>
      </c>
      <c r="N25" s="210">
        <v>0</v>
      </c>
      <c r="O25" s="415">
        <v>0</v>
      </c>
    </row>
    <row r="26" spans="2:15" s="361" customFormat="1" ht="12.75" customHeight="1">
      <c r="B26" s="444"/>
      <c r="C26" s="478" t="s">
        <v>258</v>
      </c>
      <c r="D26" s="479"/>
      <c r="E26" s="479"/>
      <c r="F26" s="479"/>
      <c r="G26" s="480" t="s">
        <v>277</v>
      </c>
      <c r="H26" s="480" t="s">
        <v>278</v>
      </c>
      <c r="I26" s="480"/>
      <c r="J26" s="481">
        <v>0</v>
      </c>
      <c r="K26" s="481">
        <v>0</v>
      </c>
      <c r="L26" s="481">
        <v>0</v>
      </c>
      <c r="M26" s="481">
        <v>0</v>
      </c>
      <c r="N26" s="481">
        <v>0</v>
      </c>
      <c r="O26" s="447">
        <v>0</v>
      </c>
    </row>
    <row r="27" spans="2:15" s="361" customFormat="1" ht="12.75" customHeight="1">
      <c r="B27" s="444"/>
      <c r="C27" s="223"/>
      <c r="D27" s="223"/>
      <c r="E27" s="223"/>
      <c r="F27" s="223"/>
      <c r="G27" s="223"/>
      <c r="H27" s="223"/>
      <c r="I27" s="223"/>
      <c r="J27" s="223"/>
      <c r="K27" s="223"/>
      <c r="L27" s="223"/>
      <c r="M27" s="223"/>
      <c r="N27" s="223"/>
      <c r="O27" s="448"/>
    </row>
    <row r="28" spans="2:15" s="361" customFormat="1" ht="12.75" customHeight="1">
      <c r="B28" s="444"/>
      <c r="C28" s="223"/>
      <c r="D28" s="29" t="s">
        <v>259</v>
      </c>
      <c r="E28" s="223"/>
      <c r="F28" s="223"/>
      <c r="G28" s="108" t="s">
        <v>277</v>
      </c>
      <c r="H28" s="108" t="s">
        <v>278</v>
      </c>
      <c r="I28" s="108"/>
      <c r="J28" s="210">
        <v>0</v>
      </c>
      <c r="K28" s="210">
        <v>164998.61387816441</v>
      </c>
      <c r="L28" s="210">
        <v>0</v>
      </c>
      <c r="M28" s="210">
        <v>0</v>
      </c>
      <c r="N28" s="210">
        <v>0</v>
      </c>
      <c r="O28" s="415">
        <v>0</v>
      </c>
    </row>
    <row r="29" spans="2:15" s="361" customFormat="1" ht="12.75" customHeight="1">
      <c r="B29" s="444"/>
      <c r="C29" s="223"/>
      <c r="D29" s="29" t="s">
        <v>260</v>
      </c>
      <c r="E29" s="223"/>
      <c r="F29" s="223"/>
      <c r="G29" s="108" t="s">
        <v>277</v>
      </c>
      <c r="H29" s="108" t="s">
        <v>278</v>
      </c>
      <c r="I29" s="108"/>
      <c r="J29" s="210">
        <v>0</v>
      </c>
      <c r="K29" s="210">
        <v>164998.61387816441</v>
      </c>
      <c r="L29" s="210">
        <v>0</v>
      </c>
      <c r="M29" s="210">
        <v>0</v>
      </c>
      <c r="N29" s="210">
        <v>0</v>
      </c>
      <c r="O29" s="415">
        <v>0</v>
      </c>
    </row>
    <row r="30" spans="2:15" s="361" customFormat="1" ht="12.75" customHeight="1">
      <c r="B30" s="444"/>
      <c r="C30" s="478" t="s">
        <v>264</v>
      </c>
      <c r="D30" s="479"/>
      <c r="E30" s="479"/>
      <c r="F30" s="479"/>
      <c r="G30" s="480" t="s">
        <v>277</v>
      </c>
      <c r="H30" s="480" t="s">
        <v>278</v>
      </c>
      <c r="I30" s="479"/>
      <c r="J30" s="481">
        <v>0</v>
      </c>
      <c r="K30" s="481">
        <v>0</v>
      </c>
      <c r="L30" s="481">
        <v>0</v>
      </c>
      <c r="M30" s="481">
        <v>0</v>
      </c>
      <c r="N30" s="481">
        <v>0</v>
      </c>
      <c r="O30" s="447">
        <v>0</v>
      </c>
    </row>
    <row r="31" spans="2:15" s="361" customFormat="1" ht="12.75" customHeight="1">
      <c r="B31" s="444"/>
      <c r="C31" s="29" t="s">
        <v>261</v>
      </c>
      <c r="D31" s="223"/>
      <c r="E31" s="223"/>
      <c r="F31" s="223"/>
      <c r="G31" s="108" t="s">
        <v>277</v>
      </c>
      <c r="H31" s="108" t="s">
        <v>278</v>
      </c>
      <c r="I31" s="223"/>
      <c r="J31" s="210">
        <v>0</v>
      </c>
      <c r="K31" s="210">
        <v>0</v>
      </c>
      <c r="L31" s="210">
        <v>0</v>
      </c>
      <c r="M31" s="210">
        <v>0</v>
      </c>
      <c r="N31" s="210">
        <v>0</v>
      </c>
      <c r="O31" s="415">
        <v>0</v>
      </c>
    </row>
    <row r="32" spans="2:15" s="361" customFormat="1" ht="12.75" customHeight="1">
      <c r="B32" s="444"/>
      <c r="C32" s="478" t="s">
        <v>262</v>
      </c>
      <c r="D32" s="479"/>
      <c r="E32" s="479"/>
      <c r="F32" s="479"/>
      <c r="G32" s="480" t="s">
        <v>277</v>
      </c>
      <c r="H32" s="480" t="s">
        <v>278</v>
      </c>
      <c r="I32" s="479"/>
      <c r="J32" s="481">
        <v>0</v>
      </c>
      <c r="K32" s="481">
        <v>0</v>
      </c>
      <c r="L32" s="481">
        <v>0</v>
      </c>
      <c r="M32" s="481">
        <v>0</v>
      </c>
      <c r="N32" s="481">
        <v>0</v>
      </c>
      <c r="O32" s="447">
        <v>0</v>
      </c>
    </row>
    <row r="33" spans="2:15" s="361" customFormat="1" ht="12.75" customHeight="1" thickBot="1">
      <c r="B33" s="449"/>
      <c r="C33" s="450" t="s">
        <v>263</v>
      </c>
      <c r="D33" s="451"/>
      <c r="E33" s="451"/>
      <c r="F33" s="451"/>
      <c r="G33" s="452" t="s">
        <v>277</v>
      </c>
      <c r="H33" s="452" t="s">
        <v>263</v>
      </c>
      <c r="I33" s="451"/>
      <c r="J33" s="453" t="s">
        <v>251</v>
      </c>
      <c r="K33" s="453" t="s">
        <v>597</v>
      </c>
      <c r="L33" s="453" t="s">
        <v>251</v>
      </c>
      <c r="M33" s="453" t="s">
        <v>251</v>
      </c>
      <c r="N33" s="453" t="s">
        <v>251</v>
      </c>
      <c r="O33" s="454" t="s">
        <v>251</v>
      </c>
    </row>
    <row r="34" spans="2:15" s="361" customFormat="1" ht="12.75" customHeight="1"/>
    <row r="35" spans="2:15" s="7" customFormat="1" ht="15.6">
      <c r="B35" s="7" t="s">
        <v>598</v>
      </c>
      <c r="J35" s="7" t="s">
        <v>599</v>
      </c>
    </row>
    <row r="38" spans="2:15" ht="12.9">
      <c r="C38" s="476" t="s">
        <v>267</v>
      </c>
      <c r="G38" s="55" t="s">
        <v>135</v>
      </c>
      <c r="H38" s="55" t="s">
        <v>136</v>
      </c>
      <c r="J38" s="113" t="s">
        <v>158</v>
      </c>
      <c r="K38" s="113" t="s">
        <v>159</v>
      </c>
      <c r="L38" s="30" t="s">
        <v>265</v>
      </c>
      <c r="M38" s="477" t="s">
        <v>266</v>
      </c>
    </row>
    <row r="39" spans="2:15" ht="12.75" customHeight="1">
      <c r="D39" s="14" t="s">
        <v>403</v>
      </c>
      <c r="G39" s="42" t="s">
        <v>277</v>
      </c>
      <c r="H39" s="42" t="s">
        <v>278</v>
      </c>
      <c r="J39" s="40">
        <v>130696.8671331246</v>
      </c>
      <c r="K39" s="40">
        <v>130696.8671331246</v>
      </c>
      <c r="L39" s="148">
        <v>0</v>
      </c>
      <c r="M39" s="148">
        <v>-5.3661607564011282E-2</v>
      </c>
      <c r="O39" s="169" t="s">
        <v>600</v>
      </c>
    </row>
    <row r="40" spans="2:15" ht="12.75" customHeight="1">
      <c r="D40" s="14" t="s">
        <v>314</v>
      </c>
      <c r="G40" s="42" t="s">
        <v>277</v>
      </c>
      <c r="H40" s="42" t="s">
        <v>278</v>
      </c>
      <c r="J40" s="40">
        <v>11101.173251720584</v>
      </c>
      <c r="K40" s="40">
        <v>11101.173251720584</v>
      </c>
      <c r="L40" s="148">
        <v>0</v>
      </c>
      <c r="M40" s="148">
        <v>-5.3661607564011282E-2</v>
      </c>
      <c r="O40" s="169" t="s">
        <v>600</v>
      </c>
    </row>
    <row r="41" spans="2:15" ht="12.75" customHeight="1">
      <c r="D41" s="14" t="s">
        <v>181</v>
      </c>
      <c r="G41" s="42" t="s">
        <v>277</v>
      </c>
      <c r="H41" s="42" t="s">
        <v>278</v>
      </c>
      <c r="J41" s="40">
        <v>11151.748446630932</v>
      </c>
      <c r="K41" s="40">
        <v>11151.748446630932</v>
      </c>
      <c r="L41" s="148">
        <v>0</v>
      </c>
      <c r="M41" s="148">
        <v>-5.3661607564011282E-2</v>
      </c>
      <c r="O41" s="169" t="s">
        <v>600</v>
      </c>
    </row>
    <row r="42" spans="2:15" ht="12.75" customHeight="1">
      <c r="D42" s="171" t="s">
        <v>268</v>
      </c>
      <c r="J42" s="260" t="s">
        <v>27</v>
      </c>
      <c r="K42" s="260" t="s">
        <v>27</v>
      </c>
    </row>
    <row r="44" spans="2:15" s="7" customFormat="1" ht="15.6">
      <c r="B44" s="7" t="s">
        <v>269</v>
      </c>
    </row>
    <row r="46" spans="2:15" ht="12.75" customHeight="1">
      <c r="C46" s="476" t="s">
        <v>270</v>
      </c>
      <c r="G46" s="55" t="s">
        <v>135</v>
      </c>
      <c r="H46" s="55" t="s">
        <v>136</v>
      </c>
      <c r="J46" s="113" t="s">
        <v>403</v>
      </c>
      <c r="K46" s="113" t="s">
        <v>314</v>
      </c>
      <c r="L46" s="113" t="s">
        <v>181</v>
      </c>
      <c r="M46" s="348" t="s">
        <v>73</v>
      </c>
    </row>
    <row r="47" spans="2:15" ht="12.75" customHeight="1">
      <c r="D47" s="14" t="s">
        <v>271</v>
      </c>
      <c r="G47" s="42" t="s">
        <v>277</v>
      </c>
      <c r="H47" s="42" t="s">
        <v>278</v>
      </c>
      <c r="J47" s="40">
        <v>153488.78463247034</v>
      </c>
      <c r="K47" s="40">
        <v>140221.60378469538</v>
      </c>
      <c r="L47" s="40">
        <v>52468.211590706735</v>
      </c>
      <c r="M47" s="176">
        <v>346178.60000787245</v>
      </c>
    </row>
    <row r="48" spans="2:15" ht="12.75" customHeight="1">
      <c r="D48" s="14" t="s">
        <v>272</v>
      </c>
      <c r="G48" s="42" t="s">
        <v>277</v>
      </c>
      <c r="H48" s="42" t="s">
        <v>278</v>
      </c>
      <c r="J48" s="40">
        <v>125342.75204017675</v>
      </c>
      <c r="K48" s="40">
        <v>20417.468634081826</v>
      </c>
      <c r="L48" s="40">
        <v>19238.393203905816</v>
      </c>
      <c r="M48" s="176">
        <v>164998.61387816438</v>
      </c>
    </row>
    <row r="49" spans="2:13" ht="12.75" customHeight="1">
      <c r="D49" s="14" t="s">
        <v>273</v>
      </c>
      <c r="G49" s="42" t="s">
        <v>277</v>
      </c>
      <c r="H49" s="42" t="s">
        <v>278</v>
      </c>
      <c r="J49" s="40">
        <v>130696.8671331246</v>
      </c>
      <c r="K49" s="40">
        <v>17445.249353450752</v>
      </c>
      <c r="L49" s="40">
        <v>16856.497391589084</v>
      </c>
      <c r="M49" s="176">
        <v>164998.61387816441</v>
      </c>
    </row>
    <row r="50" spans="2:13" ht="12.75" customHeight="1">
      <c r="D50" s="14" t="s">
        <v>274</v>
      </c>
      <c r="G50" s="42" t="s">
        <v>277</v>
      </c>
      <c r="H50" s="42" t="s">
        <v>278</v>
      </c>
      <c r="J50" s="40">
        <v>20216.663239890215</v>
      </c>
      <c r="K50" s="40">
        <v>11113.346883954133</v>
      </c>
      <c r="L50" s="40">
        <v>5361.2334895073382</v>
      </c>
      <c r="M50" s="176">
        <v>36691.243613351682</v>
      </c>
    </row>
    <row r="52" spans="2:13" ht="12.75" customHeight="1">
      <c r="C52" s="476" t="s">
        <v>275</v>
      </c>
    </row>
    <row r="53" spans="2:13" ht="12.75" customHeight="1">
      <c r="D53" s="15" t="s">
        <v>275</v>
      </c>
      <c r="G53" s="42" t="s">
        <v>277</v>
      </c>
      <c r="H53" s="42" t="s">
        <v>152</v>
      </c>
      <c r="J53" s="40">
        <v>392746.59469214262</v>
      </c>
      <c r="K53" s="40">
        <v>70742.168813108554</v>
      </c>
      <c r="L53" s="40">
        <v>85339.349800832526</v>
      </c>
    </row>
    <row r="54" spans="2:13" ht="12.75" customHeight="1">
      <c r="D54" s="14" t="s">
        <v>164</v>
      </c>
      <c r="G54" s="42" t="s">
        <v>277</v>
      </c>
      <c r="H54" s="42" t="s">
        <v>164</v>
      </c>
      <c r="J54" s="146">
        <v>0.7156094689214767</v>
      </c>
      <c r="K54" s="146">
        <v>0.12722616397359784</v>
      </c>
      <c r="L54" s="146">
        <v>0.16697349222920999</v>
      </c>
      <c r="M54" s="274">
        <v>1.0098091251242844</v>
      </c>
    </row>
    <row r="56" spans="2:13" ht="12.75" customHeight="1">
      <c r="C56" s="476" t="s">
        <v>276</v>
      </c>
    </row>
    <row r="57" spans="2:13" ht="12.75" customHeight="1">
      <c r="D57" s="15" t="s">
        <v>271</v>
      </c>
      <c r="G57" s="42" t="s">
        <v>277</v>
      </c>
      <c r="H57" s="42" t="s">
        <v>151</v>
      </c>
      <c r="J57" s="174">
        <v>390.80869626071154</v>
      </c>
      <c r="K57" s="174">
        <v>1982.15019608944</v>
      </c>
      <c r="L57" s="174">
        <v>614.81850650559898</v>
      </c>
    </row>
    <row r="58" spans="2:13" ht="12.75" customHeight="1">
      <c r="D58" s="15" t="s">
        <v>272</v>
      </c>
      <c r="G58" s="42" t="s">
        <v>277</v>
      </c>
      <c r="H58" s="42" t="s">
        <v>151</v>
      </c>
      <c r="J58" s="174">
        <v>319.14408357487508</v>
      </c>
      <c r="K58" s="174">
        <v>288.61807570562439</v>
      </c>
      <c r="L58" s="174">
        <v>225.43402602439488</v>
      </c>
    </row>
    <row r="59" spans="2:13" ht="12.75" customHeight="1">
      <c r="D59" s="15" t="s">
        <v>273</v>
      </c>
      <c r="G59" s="42" t="s">
        <v>277</v>
      </c>
      <c r="H59" s="42" t="s">
        <v>151</v>
      </c>
      <c r="J59" s="174">
        <v>332.77657629488124</v>
      </c>
      <c r="K59" s="174">
        <v>246.6032586524</v>
      </c>
      <c r="L59" s="174">
        <v>197.52315234331255</v>
      </c>
    </row>
    <row r="60" spans="2:13" ht="12.75" customHeight="1">
      <c r="D60" s="15" t="s">
        <v>274</v>
      </c>
      <c r="G60" s="42" t="s">
        <v>277</v>
      </c>
      <c r="H60" s="42" t="s">
        <v>151</v>
      </c>
      <c r="J60" s="174">
        <v>51.47508218559399</v>
      </c>
      <c r="K60" s="174">
        <v>157.09649662161368</v>
      </c>
      <c r="L60" s="174">
        <v>62.822525622934108</v>
      </c>
    </row>
    <row r="61" spans="2:13" ht="12.75" customHeight="1">
      <c r="D61" s="14" t="s">
        <v>104</v>
      </c>
      <c r="G61" s="42" t="s">
        <v>277</v>
      </c>
      <c r="H61" s="42" t="s">
        <v>151</v>
      </c>
      <c r="J61" s="349">
        <v>466.85759606922733</v>
      </c>
      <c r="K61" s="349">
        <v>466.85759606922733</v>
      </c>
      <c r="L61" s="349">
        <v>220.56024738362552</v>
      </c>
    </row>
    <row r="63" spans="2:13" s="7" customFormat="1" ht="15.6">
      <c r="B63" s="7" t="s">
        <v>279</v>
      </c>
    </row>
    <row r="65" spans="2:13" ht="12.75" customHeight="1">
      <c r="G65" s="55" t="s">
        <v>135</v>
      </c>
      <c r="H65" s="55" t="s">
        <v>136</v>
      </c>
      <c r="J65" s="113" t="s">
        <v>403</v>
      </c>
      <c r="K65" s="113" t="s">
        <v>314</v>
      </c>
      <c r="L65" s="113" t="s">
        <v>181</v>
      </c>
      <c r="M65" s="175" t="s">
        <v>73</v>
      </c>
    </row>
    <row r="66" spans="2:13" ht="12.75" customHeight="1">
      <c r="D66" s="14" t="s">
        <v>280</v>
      </c>
      <c r="G66" s="42" t="s">
        <v>277</v>
      </c>
      <c r="H66" s="42" t="s">
        <v>278</v>
      </c>
      <c r="J66" s="151">
        <v>153488.78463247034</v>
      </c>
      <c r="K66" s="151">
        <v>140221.60378469538</v>
      </c>
      <c r="L66" s="151">
        <v>52468.211590706735</v>
      </c>
      <c r="M66" s="176">
        <v>346178.60000787245</v>
      </c>
    </row>
    <row r="67" spans="2:13" ht="12.75" customHeight="1">
      <c r="D67" s="14" t="s">
        <v>260</v>
      </c>
      <c r="G67" s="42" t="s">
        <v>277</v>
      </c>
      <c r="H67" s="42" t="s">
        <v>278</v>
      </c>
      <c r="J67" s="151">
        <v>130696.8671331246</v>
      </c>
      <c r="K67" s="151">
        <v>17445.249353450752</v>
      </c>
      <c r="L67" s="151">
        <v>16856.497391589084</v>
      </c>
      <c r="M67" s="176">
        <v>164998.61387816441</v>
      </c>
    </row>
    <row r="68" spans="2:13" ht="12.75" customHeight="1">
      <c r="D68" s="14" t="s">
        <v>281</v>
      </c>
      <c r="G68" s="42" t="s">
        <v>277</v>
      </c>
      <c r="H68" s="42" t="s">
        <v>278</v>
      </c>
      <c r="J68" s="151">
        <v>20216.663239890215</v>
      </c>
      <c r="K68" s="151">
        <v>11113.346883954133</v>
      </c>
      <c r="L68" s="151">
        <v>5361.2334895073382</v>
      </c>
      <c r="M68" s="176">
        <v>36691.243613351682</v>
      </c>
    </row>
    <row r="69" spans="2:13" ht="12.75" customHeight="1">
      <c r="D69" s="14" t="s">
        <v>263</v>
      </c>
      <c r="G69" s="42" t="s">
        <v>277</v>
      </c>
      <c r="H69" s="42" t="s">
        <v>263</v>
      </c>
      <c r="J69" s="169" t="s">
        <v>597</v>
      </c>
      <c r="K69" s="169" t="s">
        <v>597</v>
      </c>
      <c r="L69" s="169" t="s">
        <v>597</v>
      </c>
    </row>
    <row r="71" spans="2:13" s="7" customFormat="1" ht="15.6">
      <c r="B71" s="7" t="s">
        <v>282</v>
      </c>
    </row>
    <row r="73" spans="2:13" ht="38.700000000000003">
      <c r="C73" s="476" t="s">
        <v>187</v>
      </c>
      <c r="G73" s="55" t="s">
        <v>135</v>
      </c>
      <c r="H73" s="55" t="s">
        <v>136</v>
      </c>
      <c r="J73" s="30" t="s">
        <v>239</v>
      </c>
      <c r="K73" s="477" t="s">
        <v>283</v>
      </c>
      <c r="L73" s="507" t="s">
        <v>284</v>
      </c>
      <c r="M73" s="507"/>
    </row>
    <row r="74" spans="2:13" ht="12.75" customHeight="1">
      <c r="D74" s="15" t="s">
        <v>403</v>
      </c>
      <c r="G74" s="42" t="s">
        <v>277</v>
      </c>
      <c r="H74" s="42" t="s">
        <v>278</v>
      </c>
      <c r="J74" s="109" t="s">
        <v>498</v>
      </c>
      <c r="K74" s="177">
        <v>1.4029160383437977</v>
      </c>
      <c r="L74" s="356">
        <v>0.76741946204404887</v>
      </c>
      <c r="M74" s="14" t="s">
        <v>285</v>
      </c>
    </row>
    <row r="75" spans="2:13" ht="12.75" customHeight="1">
      <c r="D75" s="15" t="s">
        <v>314</v>
      </c>
      <c r="G75" s="42" t="s">
        <v>277</v>
      </c>
      <c r="H75" s="42" t="s">
        <v>278</v>
      </c>
      <c r="J75" s="109" t="s">
        <v>156</v>
      </c>
      <c r="K75" s="177">
        <v>1.8931525828995113</v>
      </c>
      <c r="L75" s="356">
        <v>0.49683451349169017</v>
      </c>
      <c r="M75" s="14" t="s">
        <v>286</v>
      </c>
    </row>
    <row r="76" spans="2:13" ht="12.75" customHeight="1">
      <c r="D76" s="15" t="s">
        <v>181</v>
      </c>
      <c r="G76" s="42" t="s">
        <v>277</v>
      </c>
      <c r="H76" s="42" t="s">
        <v>278</v>
      </c>
      <c r="J76" s="109" t="s">
        <v>181</v>
      </c>
      <c r="K76" s="177">
        <v>1.1166298470179965</v>
      </c>
      <c r="L76" s="356">
        <v>0.34772964915297866</v>
      </c>
      <c r="M76" s="14" t="s">
        <v>286</v>
      </c>
    </row>
  </sheetData>
  <mergeCells count="1">
    <mergeCell ref="L73:M73"/>
  </mergeCells>
  <conditionalFormatting sqref="B2">
    <cfRule type="cellIs" dxfId="18" priority="9" operator="notEqual">
      <formula>"No Errors Found"</formula>
    </cfRule>
  </conditionalFormatting>
  <conditionalFormatting sqref="K9:O9">
    <cfRule type="expression" dxfId="17" priority="8">
      <formula>K$9=Tariff_Year</formula>
    </cfRule>
  </conditionalFormatting>
  <conditionalFormatting sqref="J33:O33">
    <cfRule type="expression" dxfId="16" priority="6">
      <formula>J33="Fail"</formula>
    </cfRule>
    <cfRule type="expression" dxfId="15" priority="7">
      <formula>J33="Pass"</formula>
    </cfRule>
  </conditionalFormatting>
  <conditionalFormatting sqref="O39:O41">
    <cfRule type="expression" dxfId="14" priority="4">
      <formula>O39="Fail"</formula>
    </cfRule>
    <cfRule type="expression" dxfId="13" priority="5">
      <formula>O39="Pass"</formula>
    </cfRule>
  </conditionalFormatting>
  <conditionalFormatting sqref="J69:L69">
    <cfRule type="expression" dxfId="12" priority="2">
      <formula>J69="Fail"</formula>
    </cfRule>
    <cfRule type="expression" dxfId="11" priority="3">
      <formula>J69="Pass"</formula>
    </cfRule>
  </conditionalFormatting>
  <conditionalFormatting sqref="J42:K42">
    <cfRule type="expression" dxfId="10" priority="1">
      <formula>J42&lt;&gt;Ok</formula>
    </cfRule>
  </conditionalFormatting>
  <pageMargins left="0.7" right="0.7" top="0.75" bottom="0.75" header="0.3" footer="0.3"/>
  <pageSetup paperSize="9" scale="77"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Inputs_General!$H$15:$N$15</xm:f>
          </x14:formula1>
          <xm:sqref>J74:J76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AC55"/>
  <sheetViews>
    <sheetView showGridLines="0" zoomScaleNormal="100" workbookViewId="0">
      <pane xSplit="4" ySplit="5" topLeftCell="E6" activePane="bottomRight" state="frozen"/>
      <selection activeCell="H64" sqref="H64"/>
      <selection pane="topRight" activeCell="H64" sqref="H64"/>
      <selection pane="bottomLeft" activeCell="H64" sqref="H64"/>
      <selection pane="bottomRight" activeCell="E6" sqref="E6"/>
    </sheetView>
  </sheetViews>
  <sheetFormatPr defaultColWidth="9.1171875" defaultRowHeight="12.75" customHeight="1"/>
  <cols>
    <col min="1" max="3" width="2.703125" style="13" customWidth="1"/>
    <col min="4" max="4" width="20.703125" style="13" customWidth="1"/>
    <col min="5" max="5" width="10.703125" style="13" customWidth="1"/>
    <col min="6" max="6" width="3.703125" style="13" customWidth="1"/>
    <col min="7" max="12" width="10.703125" style="13" customWidth="1"/>
    <col min="13" max="13" width="3.703125" style="13" customWidth="1"/>
    <col min="14" max="19" width="10.703125" style="13" customWidth="1"/>
    <col min="20" max="20" width="3.703125" style="13" customWidth="1"/>
    <col min="21" max="21" width="10.703125" style="13" customWidth="1"/>
    <col min="22" max="22" width="3.703125" style="13" customWidth="1"/>
    <col min="23" max="23" width="20.703125" style="13" customWidth="1"/>
    <col min="24" max="40" width="10.703125" style="13" customWidth="1"/>
    <col min="41" max="16384" width="9.1171875" style="13"/>
  </cols>
  <sheetData>
    <row r="1" spans="1:29" ht="20.399999999999999">
      <c r="B1" s="8" t="s">
        <v>446</v>
      </c>
    </row>
    <row r="2" spans="1:29" ht="11.25" customHeight="1">
      <c r="B2" s="72" t="s">
        <v>565</v>
      </c>
    </row>
    <row r="3" spans="1:29" ht="12.9">
      <c r="B3" s="71" t="s">
        <v>547</v>
      </c>
    </row>
    <row r="4" spans="1:29" ht="12.9">
      <c r="B4" s="337" t="s">
        <v>96</v>
      </c>
    </row>
    <row r="7" spans="1:29" s="7" customFormat="1" ht="12.75" customHeight="1">
      <c r="B7" s="7" t="s">
        <v>368</v>
      </c>
    </row>
    <row r="9" spans="1:29" ht="12.75" customHeight="1">
      <c r="C9" s="170" t="s">
        <v>367</v>
      </c>
    </row>
    <row r="10" spans="1:29" ht="213.75" customHeight="1">
      <c r="D10" s="508" t="s">
        <v>508</v>
      </c>
      <c r="E10" s="509"/>
      <c r="F10" s="509"/>
      <c r="G10" s="509"/>
      <c r="H10" s="509"/>
      <c r="I10" s="509"/>
      <c r="J10" s="509"/>
      <c r="K10" s="509"/>
      <c r="L10" s="509"/>
      <c r="M10" s="509"/>
      <c r="N10" s="509"/>
      <c r="O10" s="509"/>
      <c r="P10" s="509"/>
      <c r="Q10" s="509"/>
      <c r="R10" s="509"/>
      <c r="S10" s="509"/>
      <c r="T10" s="509"/>
      <c r="U10" s="509"/>
      <c r="V10" s="509"/>
      <c r="W10" s="509"/>
      <c r="X10" s="510"/>
    </row>
    <row r="12" spans="1:29" s="7" customFormat="1" ht="12.75" customHeight="1">
      <c r="B12" s="7" t="s">
        <v>559</v>
      </c>
    </row>
    <row r="14" spans="1:29" ht="12.75" customHeight="1">
      <c r="G14" s="490" t="s">
        <v>356</v>
      </c>
      <c r="H14" s="490"/>
      <c r="I14" s="490"/>
      <c r="J14" s="490"/>
      <c r="K14" s="490"/>
      <c r="L14" s="490"/>
      <c r="N14" s="490" t="s">
        <v>357</v>
      </c>
      <c r="O14" s="490"/>
      <c r="P14" s="490"/>
      <c r="Q14" s="490"/>
      <c r="R14" s="490"/>
      <c r="S14" s="490"/>
      <c r="W14" s="490" t="s">
        <v>327</v>
      </c>
      <c r="X14" s="490"/>
      <c r="Y14" s="490"/>
      <c r="Z14" s="490"/>
      <c r="AA14" s="490"/>
      <c r="AB14" s="490"/>
      <c r="AC14" s="490"/>
    </row>
    <row r="16" spans="1:29" ht="38.700000000000003">
      <c r="A16"/>
      <c r="E16" s="170"/>
      <c r="F16" s="170"/>
      <c r="G16" s="493" t="s">
        <v>321</v>
      </c>
      <c r="H16" s="495"/>
      <c r="I16" s="493" t="s">
        <v>322</v>
      </c>
      <c r="J16" s="495"/>
      <c r="K16" s="493" t="s">
        <v>323</v>
      </c>
      <c r="L16" s="495"/>
      <c r="N16" s="281" t="s">
        <v>182</v>
      </c>
      <c r="O16" s="281" t="s">
        <v>183</v>
      </c>
      <c r="P16" s="281" t="s">
        <v>184</v>
      </c>
      <c r="Q16" s="281" t="s">
        <v>185</v>
      </c>
      <c r="R16" s="281" t="s">
        <v>186</v>
      </c>
      <c r="S16" s="281" t="s">
        <v>353</v>
      </c>
      <c r="U16" s="74" t="s">
        <v>363</v>
      </c>
      <c r="W16" s="172" t="s">
        <v>187</v>
      </c>
      <c r="X16" s="30" t="s">
        <v>359</v>
      </c>
      <c r="Y16" s="30" t="s">
        <v>364</v>
      </c>
      <c r="Z16" s="264" t="s">
        <v>363</v>
      </c>
      <c r="AA16" s="30" t="s">
        <v>324</v>
      </c>
      <c r="AB16" s="178" t="s">
        <v>365</v>
      </c>
      <c r="AC16" s="178" t="s">
        <v>366</v>
      </c>
    </row>
    <row r="17" spans="1:29" ht="12.75" customHeight="1">
      <c r="D17" s="73" t="s">
        <v>187</v>
      </c>
      <c r="E17" s="170" t="s">
        <v>354</v>
      </c>
      <c r="G17" s="254" t="s">
        <v>325</v>
      </c>
      <c r="H17" s="254" t="s">
        <v>164</v>
      </c>
      <c r="I17" s="254" t="s">
        <v>326</v>
      </c>
      <c r="J17" s="254" t="s">
        <v>164</v>
      </c>
      <c r="K17" s="254" t="s">
        <v>152</v>
      </c>
      <c r="L17" s="254" t="s">
        <v>164</v>
      </c>
      <c r="N17" s="272">
        <v>0.17568194337308013</v>
      </c>
      <c r="O17" s="272">
        <v>0.28190784737374991</v>
      </c>
      <c r="P17" s="272">
        <v>0.19226215221687115</v>
      </c>
      <c r="Q17" s="272">
        <v>0.17520182322560329</v>
      </c>
      <c r="R17" s="272">
        <v>7.4946233810695539E-2</v>
      </c>
      <c r="S17" s="272">
        <v>0.1</v>
      </c>
    </row>
    <row r="18" spans="1:29" ht="12.75" customHeight="1">
      <c r="D18" s="15" t="s">
        <v>490</v>
      </c>
      <c r="E18" s="14" t="s">
        <v>403</v>
      </c>
      <c r="F18" s="15"/>
      <c r="G18" s="151">
        <v>630990.3661654637</v>
      </c>
      <c r="H18" s="146">
        <v>0.57222111289082744</v>
      </c>
      <c r="I18" s="40">
        <v>71706</v>
      </c>
      <c r="J18" s="146">
        <v>0.86013482714775813</v>
      </c>
      <c r="K18" s="151">
        <v>203542.48706792702</v>
      </c>
      <c r="L18" s="146">
        <v>0.51596705391152564</v>
      </c>
      <c r="N18" s="146">
        <v>9.0646094747659625E-2</v>
      </c>
      <c r="O18" s="146">
        <v>0.14545516148397375</v>
      </c>
      <c r="P18" s="146">
        <v>9.920093625802831E-2</v>
      </c>
      <c r="Q18" s="146">
        <v>9.079904274186705E-2</v>
      </c>
      <c r="R18" s="146">
        <v>5.8162456347861796E-2</v>
      </c>
      <c r="S18" s="146">
        <v>5.1596705391152568E-2</v>
      </c>
      <c r="U18" s="151">
        <v>80522.461592071573</v>
      </c>
      <c r="W18" s="15" t="s">
        <v>490</v>
      </c>
      <c r="X18" s="146">
        <v>0.53586039697054311</v>
      </c>
      <c r="Y18" s="151">
        <v>70114.652166696207</v>
      </c>
      <c r="Z18" s="151">
        <v>80522.461592071573</v>
      </c>
      <c r="AA18" s="146">
        <v>-0.12925349299555122</v>
      </c>
      <c r="AB18" s="151">
        <v>63761.041882165497</v>
      </c>
      <c r="AC18" s="146">
        <v>0.7918416876669796</v>
      </c>
    </row>
    <row r="19" spans="1:29" ht="12.75" customHeight="1">
      <c r="A19"/>
      <c r="D19" s="15" t="s">
        <v>498</v>
      </c>
      <c r="E19" s="14" t="s">
        <v>403</v>
      </c>
      <c r="F19" s="15"/>
      <c r="G19" s="151">
        <v>160880.68850972157</v>
      </c>
      <c r="H19" s="146">
        <v>0.14589656444538307</v>
      </c>
      <c r="I19" s="40">
        <v>10346</v>
      </c>
      <c r="J19" s="146">
        <v>0.1241033514862174</v>
      </c>
      <c r="K19" s="151">
        <v>65603.570732087202</v>
      </c>
      <c r="L19" s="146">
        <v>0.16630081318312234</v>
      </c>
      <c r="N19" s="146">
        <v>2.9216050044534477E-2</v>
      </c>
      <c r="O19" s="146">
        <v>4.6881504260958148E-2</v>
      </c>
      <c r="P19" s="146">
        <v>3.1973352258002921E-2</v>
      </c>
      <c r="Q19" s="146">
        <v>2.9265346556043487E-2</v>
      </c>
      <c r="R19" s="146">
        <v>1.678377746283374E-2</v>
      </c>
      <c r="S19" s="146">
        <v>1.6630081318312236E-2</v>
      </c>
      <c r="U19" s="151">
        <v>21917.70839234455</v>
      </c>
      <c r="W19" s="15" t="s">
        <v>498</v>
      </c>
      <c r="X19" s="146">
        <v>0.17075011190068501</v>
      </c>
      <c r="Y19" s="151">
        <v>22341.797921668585</v>
      </c>
      <c r="Z19" s="151">
        <v>21917.70839234455</v>
      </c>
      <c r="AA19" s="146">
        <v>1.934917290313809E-2</v>
      </c>
      <c r="AB19" s="151">
        <v>16820.075983691389</v>
      </c>
      <c r="AC19" s="146">
        <v>0.76741946204404887</v>
      </c>
    </row>
    <row r="20" spans="1:29" ht="12.75" customHeight="1">
      <c r="D20" s="15" t="s">
        <v>154</v>
      </c>
      <c r="E20" s="14" t="s">
        <v>403</v>
      </c>
      <c r="F20" s="15"/>
      <c r="G20" s="151">
        <v>3471.0251406983448</v>
      </c>
      <c r="H20" s="146">
        <v>3.1477404020485646E-3</v>
      </c>
      <c r="I20" s="40">
        <v>0</v>
      </c>
      <c r="J20" s="146">
        <v>0</v>
      </c>
      <c r="K20" s="151">
        <v>59.435361998259332</v>
      </c>
      <c r="L20" s="146">
        <v>1.5066480256857972E-4</v>
      </c>
      <c r="N20" s="146">
        <v>2.646908531316952E-5</v>
      </c>
      <c r="O20" s="146">
        <v>4.2473590167099331E-5</v>
      </c>
      <c r="P20" s="146">
        <v>2.8967139205165115E-5</v>
      </c>
      <c r="Q20" s="146">
        <v>2.6513746845675962E-5</v>
      </c>
      <c r="R20" s="146">
        <v>0</v>
      </c>
      <c r="S20" s="146">
        <v>1.5066480256857972E-5</v>
      </c>
      <c r="U20" s="151">
        <v>928.60474430110878</v>
      </c>
      <c r="W20" s="15" t="s">
        <v>154</v>
      </c>
      <c r="X20" s="146">
        <v>1.3949004178796792E-4</v>
      </c>
      <c r="Y20" s="151">
        <v>18.251574133811054</v>
      </c>
      <c r="Z20" s="151">
        <v>928.60474430110878</v>
      </c>
      <c r="AA20" s="146">
        <v>-0.98034516381073666</v>
      </c>
      <c r="AB20" s="151">
        <v>928.60474430110878</v>
      </c>
      <c r="AC20" s="146">
        <v>1</v>
      </c>
    </row>
    <row r="21" spans="1:29" ht="12.75" customHeight="1">
      <c r="D21" s="15" t="s">
        <v>155</v>
      </c>
      <c r="E21" s="14" t="s">
        <v>403</v>
      </c>
      <c r="F21" s="15"/>
      <c r="G21" s="151">
        <v>181.803495</v>
      </c>
      <c r="H21" s="146">
        <v>1.6487066017908405E-4</v>
      </c>
      <c r="I21" s="40">
        <v>0</v>
      </c>
      <c r="J21" s="146">
        <v>0</v>
      </c>
      <c r="K21" s="151">
        <v>20.753823630136985</v>
      </c>
      <c r="L21" s="146">
        <v>5.2609602005440619E-5</v>
      </c>
      <c r="N21" s="146">
        <v>9.2425571204001016E-6</v>
      </c>
      <c r="O21" s="146">
        <v>1.4831059652543482E-5</v>
      </c>
      <c r="P21" s="146">
        <v>1.0114835308839033E-5</v>
      </c>
      <c r="Q21" s="146">
        <v>9.258152172529462E-6</v>
      </c>
      <c r="R21" s="146">
        <v>0</v>
      </c>
      <c r="S21" s="146">
        <v>5.2609602005440625E-6</v>
      </c>
      <c r="U21" s="151">
        <v>111.62523700945781</v>
      </c>
      <c r="W21" s="15" t="s">
        <v>155</v>
      </c>
      <c r="X21" s="146">
        <v>4.870756445485614E-5</v>
      </c>
      <c r="Y21" s="151">
        <v>6.3731411370318281</v>
      </c>
      <c r="Z21" s="151">
        <v>111.62523700945781</v>
      </c>
      <c r="AA21" s="146">
        <v>-0.94290591171159754</v>
      </c>
      <c r="AB21" s="151">
        <v>111.62523700945781</v>
      </c>
      <c r="AC21" s="146">
        <v>1</v>
      </c>
    </row>
    <row r="22" spans="1:29" ht="12.75" customHeight="1">
      <c r="D22" s="15" t="s">
        <v>156</v>
      </c>
      <c r="E22" s="14" t="s">
        <v>403</v>
      </c>
      <c r="F22" s="15"/>
      <c r="G22" s="151">
        <v>302910.92942388204</v>
      </c>
      <c r="H22" s="146">
        <v>0.27469837645076828</v>
      </c>
      <c r="I22" s="40">
        <v>1314</v>
      </c>
      <c r="J22" s="146">
        <v>1.5761821366024518E-2</v>
      </c>
      <c r="K22" s="151">
        <v>123520.34770649998</v>
      </c>
      <c r="L22" s="146">
        <v>0.31311610083147418</v>
      </c>
      <c r="N22" s="146">
        <v>5.5008845095474691E-2</v>
      </c>
      <c r="O22" s="146">
        <v>8.8269885963462913E-2</v>
      </c>
      <c r="P22" s="146">
        <v>6.0200375439614061E-2</v>
      </c>
      <c r="Q22" s="146">
        <v>5.5101662028674531E-2</v>
      </c>
      <c r="R22" s="146">
        <v>0</v>
      </c>
      <c r="S22" s="146">
        <v>3.1311610083147416E-2</v>
      </c>
      <c r="U22" s="151">
        <v>27216.467167397917</v>
      </c>
      <c r="W22" s="15" t="s">
        <v>156</v>
      </c>
      <c r="X22" s="146">
        <v>0.28989237861037365</v>
      </c>
      <c r="Y22" s="151">
        <v>37930.967481367872</v>
      </c>
      <c r="Z22" s="151">
        <v>27216.467167397917</v>
      </c>
      <c r="AA22" s="146">
        <v>0.39367711643356307</v>
      </c>
      <c r="AB22" s="151">
        <v>13522.080224076703</v>
      </c>
      <c r="AC22" s="146">
        <v>0.49683451349169017</v>
      </c>
    </row>
    <row r="23" spans="1:29" ht="12.75" customHeight="1">
      <c r="D23" s="15" t="s">
        <v>314</v>
      </c>
      <c r="E23" s="14" t="s">
        <v>314</v>
      </c>
      <c r="F23" s="15"/>
      <c r="G23" s="151">
        <v>0</v>
      </c>
      <c r="H23" s="146">
        <v>0</v>
      </c>
      <c r="I23" s="40">
        <v>0</v>
      </c>
      <c r="J23" s="146">
        <v>0</v>
      </c>
      <c r="K23" s="151">
        <v>0</v>
      </c>
      <c r="L23" s="146">
        <v>0</v>
      </c>
      <c r="N23" s="146">
        <v>0</v>
      </c>
      <c r="O23" s="146">
        <v>0</v>
      </c>
      <c r="P23" s="146">
        <v>0</v>
      </c>
      <c r="Q23" s="146">
        <v>0</v>
      </c>
      <c r="R23" s="146">
        <v>0</v>
      </c>
      <c r="S23" s="146">
        <v>0</v>
      </c>
      <c r="U23" s="151">
        <v>0</v>
      </c>
      <c r="W23" s="15" t="s">
        <v>314</v>
      </c>
      <c r="X23" s="146">
        <v>0</v>
      </c>
      <c r="Y23" s="151">
        <v>0</v>
      </c>
      <c r="Z23" s="151">
        <v>0</v>
      </c>
      <c r="AA23" s="146" t="e">
        <v>#DIV/0!</v>
      </c>
      <c r="AB23" s="151">
        <v>0</v>
      </c>
      <c r="AC23" s="146" t="e">
        <v>#DIV/0!</v>
      </c>
    </row>
    <row r="24" spans="1:29" ht="12.75" customHeight="1">
      <c r="D24" s="15" t="s">
        <v>181</v>
      </c>
      <c r="E24" s="14" t="s">
        <v>181</v>
      </c>
      <c r="F24" s="15"/>
      <c r="G24" s="151">
        <v>4268.9357825472134</v>
      </c>
      <c r="H24" s="146">
        <v>3.8713351507938497E-3</v>
      </c>
      <c r="I24" s="40">
        <v>0</v>
      </c>
      <c r="J24" s="146">
        <v>0</v>
      </c>
      <c r="K24" s="151">
        <v>1740.7771756530678</v>
      </c>
      <c r="L24" s="146">
        <v>4.4127576693036791E-3</v>
      </c>
      <c r="N24" s="146">
        <v>7.7524184297773403E-4</v>
      </c>
      <c r="O24" s="146">
        <v>1.2439910155354059E-3</v>
      </c>
      <c r="P24" s="146">
        <v>8.4840628671182952E-4</v>
      </c>
      <c r="Q24" s="146">
        <v>0</v>
      </c>
      <c r="R24" s="146">
        <v>0</v>
      </c>
      <c r="S24" s="146">
        <v>4.4127576693036793E-4</v>
      </c>
      <c r="U24" s="151">
        <v>148.13011445234784</v>
      </c>
      <c r="W24" s="15" t="s">
        <v>181</v>
      </c>
      <c r="X24" s="146">
        <v>3.3089149121553374E-3</v>
      </c>
      <c r="Y24" s="151">
        <v>432.95496257343143</v>
      </c>
      <c r="Z24" s="151">
        <v>148.13011445234784</v>
      </c>
      <c r="AA24" s="146">
        <v>1.9228017825687242</v>
      </c>
      <c r="AB24" s="151">
        <v>0.85858644421663832</v>
      </c>
      <c r="AC24" s="146">
        <v>5.7961640507125786E-3</v>
      </c>
    </row>
    <row r="25" spans="1:29" ht="12.75" customHeight="1">
      <c r="D25" s="110" t="s">
        <v>73</v>
      </c>
      <c r="E25" s="110"/>
      <c r="F25" s="110"/>
      <c r="G25" s="116">
        <v>1102703.7485173126</v>
      </c>
      <c r="H25" s="278">
        <v>1.0000000000000002</v>
      </c>
      <c r="I25" s="116">
        <v>83366</v>
      </c>
      <c r="J25" s="278">
        <v>1</v>
      </c>
      <c r="K25" s="116">
        <v>394487.37186779571</v>
      </c>
      <c r="L25" s="278">
        <v>0.99999999999999989</v>
      </c>
      <c r="N25" s="278">
        <v>0.1756819433730801</v>
      </c>
      <c r="O25" s="278">
        <v>0.28190784737374985</v>
      </c>
      <c r="P25" s="278">
        <v>0.19226215221687112</v>
      </c>
      <c r="Q25" s="278">
        <v>0.17520182322560326</v>
      </c>
      <c r="R25" s="278">
        <v>7.4946233810695539E-2</v>
      </c>
      <c r="S25" s="278">
        <v>0.1</v>
      </c>
      <c r="U25" s="116">
        <v>130844.99724757695</v>
      </c>
      <c r="W25" s="47" t="s">
        <v>73</v>
      </c>
      <c r="X25" s="278">
        <v>0.99999999999999989</v>
      </c>
      <c r="Y25" s="116">
        <v>130844.99724757696</v>
      </c>
      <c r="Z25" s="116">
        <v>130844.99724757695</v>
      </c>
      <c r="AA25" s="278">
        <v>0</v>
      </c>
      <c r="AB25" s="116">
        <v>95144.286657688368</v>
      </c>
      <c r="AC25" s="278" t="s">
        <v>251</v>
      </c>
    </row>
    <row r="27" spans="1:29" ht="12.75" customHeight="1">
      <c r="D27" s="170" t="s">
        <v>355</v>
      </c>
    </row>
    <row r="28" spans="1:29" ht="12.75" customHeight="1">
      <c r="D28" s="14" t="s">
        <v>403</v>
      </c>
      <c r="G28" s="151">
        <v>1098434.8127347655</v>
      </c>
      <c r="H28" s="146">
        <v>0.99612866484920626</v>
      </c>
      <c r="I28" s="40">
        <v>83366</v>
      </c>
      <c r="J28" s="146">
        <v>1</v>
      </c>
      <c r="K28" s="151">
        <v>392746.59469214262</v>
      </c>
      <c r="L28" s="146">
        <v>0.99558724233069629</v>
      </c>
      <c r="N28" s="146">
        <v>0.17490670153010238</v>
      </c>
      <c r="O28" s="146">
        <v>0.28066385635821445</v>
      </c>
      <c r="P28" s="146">
        <v>0.19141374593015931</v>
      </c>
      <c r="Q28" s="146">
        <v>0.17520182322560326</v>
      </c>
      <c r="R28" s="146">
        <v>7.4946233810695539E-2</v>
      </c>
      <c r="S28" s="146">
        <v>9.9558724233069634E-2</v>
      </c>
      <c r="U28" s="151">
        <v>130696.8671331246</v>
      </c>
      <c r="W28" s="15" t="s">
        <v>403</v>
      </c>
      <c r="X28" s="146">
        <v>0.99669108508784454</v>
      </c>
      <c r="Y28" s="151">
        <v>130412.04228500352</v>
      </c>
      <c r="Z28" s="151">
        <v>130696.8671331246</v>
      </c>
      <c r="AA28" s="146">
        <v>-2.1792783130062388E-3</v>
      </c>
      <c r="AB28" s="151" t="s">
        <v>251</v>
      </c>
      <c r="AC28" s="146" t="s">
        <v>251</v>
      </c>
    </row>
    <row r="29" spans="1:29" ht="12.75" customHeight="1">
      <c r="D29" s="14" t="s">
        <v>314</v>
      </c>
      <c r="G29" s="151">
        <v>0</v>
      </c>
      <c r="H29" s="146">
        <v>0</v>
      </c>
      <c r="I29" s="40">
        <v>0</v>
      </c>
      <c r="J29" s="146">
        <v>0</v>
      </c>
      <c r="K29" s="151">
        <v>0</v>
      </c>
      <c r="L29" s="146">
        <v>0</v>
      </c>
      <c r="N29" s="146">
        <v>0</v>
      </c>
      <c r="O29" s="146">
        <v>0</v>
      </c>
      <c r="P29" s="146">
        <v>0</v>
      </c>
      <c r="Q29" s="146">
        <v>0</v>
      </c>
      <c r="R29" s="146">
        <v>0</v>
      </c>
      <c r="S29" s="146">
        <v>0</v>
      </c>
      <c r="U29" s="151">
        <v>0</v>
      </c>
      <c r="W29" s="15" t="s">
        <v>314</v>
      </c>
      <c r="X29" s="146">
        <v>0</v>
      </c>
      <c r="Y29" s="151">
        <v>0</v>
      </c>
      <c r="Z29" s="151">
        <v>0</v>
      </c>
      <c r="AA29" s="146" t="e">
        <v>#DIV/0!</v>
      </c>
      <c r="AB29" s="151" t="s">
        <v>251</v>
      </c>
      <c r="AC29" s="146" t="s">
        <v>251</v>
      </c>
    </row>
    <row r="30" spans="1:29" ht="12.75" customHeight="1">
      <c r="D30" s="14" t="s">
        <v>181</v>
      </c>
      <c r="G30" s="151">
        <v>4268.9357825472134</v>
      </c>
      <c r="H30" s="146">
        <v>3.8713351507938497E-3</v>
      </c>
      <c r="I30" s="40">
        <v>0</v>
      </c>
      <c r="J30" s="146">
        <v>0</v>
      </c>
      <c r="K30" s="151">
        <v>1740.7771756530678</v>
      </c>
      <c r="L30" s="146">
        <v>4.4127576693036791E-3</v>
      </c>
      <c r="N30" s="146">
        <v>7.7524184297773403E-4</v>
      </c>
      <c r="O30" s="146">
        <v>1.2439910155354059E-3</v>
      </c>
      <c r="P30" s="146">
        <v>8.4840628671182952E-4</v>
      </c>
      <c r="Q30" s="146">
        <v>0</v>
      </c>
      <c r="R30" s="146">
        <v>0</v>
      </c>
      <c r="S30" s="146">
        <v>4.4127576693036793E-4</v>
      </c>
      <c r="U30" s="151">
        <v>148.13011445234784</v>
      </c>
      <c r="W30" s="15" t="s">
        <v>181</v>
      </c>
      <c r="X30" s="146">
        <v>3.3089149121553374E-3</v>
      </c>
      <c r="Y30" s="151">
        <v>432.95496257343143</v>
      </c>
      <c r="Z30" s="151">
        <v>148.13011445234784</v>
      </c>
      <c r="AA30" s="146">
        <v>1.9228017825687242</v>
      </c>
      <c r="AB30" s="151" t="s">
        <v>251</v>
      </c>
      <c r="AC30" s="146" t="s">
        <v>251</v>
      </c>
    </row>
    <row r="31" spans="1:29" ht="12.75" customHeight="1">
      <c r="D31" s="110" t="s">
        <v>73</v>
      </c>
      <c r="E31" s="110"/>
      <c r="F31" s="110"/>
      <c r="G31" s="116">
        <v>1102703.7485173126</v>
      </c>
      <c r="H31" s="278">
        <v>1</v>
      </c>
      <c r="I31" s="116">
        <v>83366</v>
      </c>
      <c r="J31" s="278">
        <v>1</v>
      </c>
      <c r="K31" s="116">
        <v>394487.37186779571</v>
      </c>
      <c r="L31" s="278">
        <v>1</v>
      </c>
      <c r="N31" s="278">
        <v>0.1756819433730801</v>
      </c>
      <c r="O31" s="278">
        <v>0.28190784737374985</v>
      </c>
      <c r="P31" s="278">
        <v>0.19226215221687112</v>
      </c>
      <c r="Q31" s="278">
        <v>0.17520182322560326</v>
      </c>
      <c r="R31" s="278">
        <v>7.4946233810695539E-2</v>
      </c>
      <c r="S31" s="278">
        <v>0.1</v>
      </c>
      <c r="U31" s="116">
        <v>130844.99724757695</v>
      </c>
      <c r="W31" s="47" t="s">
        <v>73</v>
      </c>
      <c r="X31" s="278">
        <v>0.99999999999999989</v>
      </c>
      <c r="Y31" s="116">
        <v>130844.99724757696</v>
      </c>
      <c r="Z31" s="116">
        <v>130844.99724757695</v>
      </c>
      <c r="AA31" s="278">
        <v>0</v>
      </c>
      <c r="AB31" s="116" t="s">
        <v>251</v>
      </c>
      <c r="AC31" s="278" t="s">
        <v>251</v>
      </c>
    </row>
    <row r="33" spans="3:14" ht="12.75" customHeight="1">
      <c r="D33" s="14" t="s">
        <v>358</v>
      </c>
      <c r="G33" s="260" t="s">
        <v>27</v>
      </c>
    </row>
    <row r="34" spans="3:14" ht="12.75" customHeight="1">
      <c r="D34" s="14" t="s">
        <v>362</v>
      </c>
      <c r="N34" s="260" t="s">
        <v>27</v>
      </c>
    </row>
    <row r="36" spans="3:14" ht="12.75" customHeight="1">
      <c r="C36" s="170" t="s">
        <v>360</v>
      </c>
    </row>
    <row r="37" spans="3:14" ht="12.75" customHeight="1">
      <c r="D37" s="15" t="s">
        <v>490</v>
      </c>
      <c r="E37" s="284">
        <v>1</v>
      </c>
    </row>
    <row r="38" spans="3:14" ht="12.75" customHeight="1">
      <c r="D38" s="15" t="s">
        <v>498</v>
      </c>
      <c r="E38" s="284">
        <v>2</v>
      </c>
    </row>
    <row r="39" spans="3:14" ht="12.75" customHeight="1">
      <c r="D39" s="15" t="s">
        <v>154</v>
      </c>
      <c r="E39" s="284">
        <v>0</v>
      </c>
    </row>
    <row r="40" spans="3:14" ht="12.75" customHeight="1">
      <c r="D40" s="15" t="s">
        <v>155</v>
      </c>
      <c r="E40" s="284">
        <v>0</v>
      </c>
    </row>
    <row r="41" spans="3:14" ht="12.75" customHeight="1">
      <c r="D41" s="15" t="s">
        <v>156</v>
      </c>
      <c r="E41" s="284">
        <v>0</v>
      </c>
    </row>
    <row r="42" spans="3:14" ht="12.75" customHeight="1">
      <c r="D42" s="15" t="s">
        <v>314</v>
      </c>
      <c r="E42" s="284">
        <v>3</v>
      </c>
    </row>
    <row r="43" spans="3:14" ht="12.75" customHeight="1">
      <c r="D43" s="15" t="s">
        <v>181</v>
      </c>
      <c r="E43" s="284">
        <v>0</v>
      </c>
    </row>
    <row r="45" spans="3:14" ht="25.8">
      <c r="C45" s="170" t="s">
        <v>359</v>
      </c>
      <c r="G45" s="281" t="s">
        <v>182</v>
      </c>
      <c r="H45" s="281" t="s">
        <v>183</v>
      </c>
      <c r="I45" s="281" t="s">
        <v>184</v>
      </c>
      <c r="J45" s="281" t="s">
        <v>185</v>
      </c>
      <c r="K45" s="281" t="s">
        <v>186</v>
      </c>
      <c r="L45" s="281" t="s">
        <v>353</v>
      </c>
    </row>
    <row r="46" spans="3:14" ht="12.75" customHeight="1">
      <c r="D46" s="15" t="s">
        <v>490</v>
      </c>
      <c r="G46" s="118">
        <v>0.51596705391152564</v>
      </c>
      <c r="H46" s="118">
        <v>0.51596705391152564</v>
      </c>
      <c r="I46" s="118">
        <v>0.51596705391152564</v>
      </c>
      <c r="J46" s="118">
        <v>0.51825398315031945</v>
      </c>
      <c r="K46" s="118">
        <v>0.77605575878265765</v>
      </c>
      <c r="L46" s="118">
        <v>0.51596705391152564</v>
      </c>
    </row>
    <row r="47" spans="3:14" ht="12.75" customHeight="1">
      <c r="D47" s="15" t="s">
        <v>498</v>
      </c>
      <c r="G47" s="118">
        <v>0.16630081318312234</v>
      </c>
      <c r="H47" s="118">
        <v>0.16630081318312234</v>
      </c>
      <c r="I47" s="118">
        <v>0.16630081318312234</v>
      </c>
      <c r="J47" s="118">
        <v>0.16703791100597842</v>
      </c>
      <c r="K47" s="118">
        <v>0.22394424121734235</v>
      </c>
      <c r="L47" s="118">
        <v>0.16630081318312234</v>
      </c>
    </row>
    <row r="48" spans="3:14" ht="12.75" customHeight="1">
      <c r="D48" s="15" t="s">
        <v>154</v>
      </c>
      <c r="G48" s="118">
        <v>1.5066480256857972E-4</v>
      </c>
      <c r="H48" s="118">
        <v>1.5066480256857972E-4</v>
      </c>
      <c r="I48" s="118">
        <v>1.5066480256857972E-4</v>
      </c>
      <c r="J48" s="118">
        <v>1.5133259664504078E-4</v>
      </c>
      <c r="K48" s="118">
        <v>0</v>
      </c>
      <c r="L48" s="118">
        <v>1.5066480256857972E-4</v>
      </c>
    </row>
    <row r="49" spans="4:12" ht="12.75" customHeight="1">
      <c r="D49" s="15" t="s">
        <v>155</v>
      </c>
      <c r="G49" s="118">
        <v>5.2609602005440619E-5</v>
      </c>
      <c r="H49" s="118">
        <v>5.2609602005440619E-5</v>
      </c>
      <c r="I49" s="118">
        <v>5.2609602005440619E-5</v>
      </c>
      <c r="J49" s="118">
        <v>5.2842784407602633E-5</v>
      </c>
      <c r="K49" s="118">
        <v>0</v>
      </c>
      <c r="L49" s="118">
        <v>5.2609602005440619E-5</v>
      </c>
    </row>
    <row r="50" spans="4:12" ht="12.75" customHeight="1">
      <c r="D50" s="15" t="s">
        <v>156</v>
      </c>
      <c r="G50" s="118">
        <v>0.31311610083147418</v>
      </c>
      <c r="H50" s="118">
        <v>0.31311610083147418</v>
      </c>
      <c r="I50" s="118">
        <v>0.31311610083147418</v>
      </c>
      <c r="J50" s="118">
        <v>0.31450393046264941</v>
      </c>
      <c r="K50" s="118">
        <v>0</v>
      </c>
      <c r="L50" s="118">
        <v>0.31311610083147418</v>
      </c>
    </row>
    <row r="51" spans="4:12" ht="12.75" customHeight="1">
      <c r="D51" s="15" t="s">
        <v>314</v>
      </c>
      <c r="G51" s="118">
        <v>0</v>
      </c>
      <c r="H51" s="118">
        <v>0</v>
      </c>
      <c r="I51" s="118">
        <v>0</v>
      </c>
      <c r="J51" s="118">
        <v>0</v>
      </c>
      <c r="K51" s="118">
        <v>0</v>
      </c>
      <c r="L51" s="118">
        <v>0</v>
      </c>
    </row>
    <row r="52" spans="4:12" ht="12.75" customHeight="1">
      <c r="D52" s="15" t="s">
        <v>181</v>
      </c>
      <c r="G52" s="118">
        <v>4.4127576693036791E-3</v>
      </c>
      <c r="H52" s="118">
        <v>4.4127576693036791E-3</v>
      </c>
      <c r="I52" s="118">
        <v>4.4127576693036791E-3</v>
      </c>
      <c r="J52" s="118">
        <v>0</v>
      </c>
      <c r="K52" s="118">
        <v>0</v>
      </c>
      <c r="L52" s="118">
        <v>4.4127576693036791E-3</v>
      </c>
    </row>
    <row r="53" spans="4:12" ht="12.75" customHeight="1">
      <c r="D53" s="262" t="s">
        <v>73</v>
      </c>
      <c r="E53" s="49"/>
      <c r="F53" s="49"/>
      <c r="G53" s="280">
        <v>0.99999999999999989</v>
      </c>
      <c r="H53" s="280">
        <v>0.99999999999999989</v>
      </c>
      <c r="I53" s="280">
        <v>0.99999999999999989</v>
      </c>
      <c r="J53" s="280">
        <v>1</v>
      </c>
      <c r="K53" s="280">
        <v>1</v>
      </c>
      <c r="L53" s="280">
        <v>0.99999999999999989</v>
      </c>
    </row>
    <row r="55" spans="4:12" ht="12.75" customHeight="1">
      <c r="D55" s="14" t="s">
        <v>361</v>
      </c>
      <c r="G55" s="260" t="s">
        <v>27</v>
      </c>
    </row>
  </sheetData>
  <mergeCells count="7">
    <mergeCell ref="W14:AC14"/>
    <mergeCell ref="D10:X10"/>
    <mergeCell ref="G16:H16"/>
    <mergeCell ref="I16:J16"/>
    <mergeCell ref="K16:L16"/>
    <mergeCell ref="G14:L14"/>
    <mergeCell ref="N14:S14"/>
  </mergeCells>
  <conditionalFormatting sqref="B2">
    <cfRule type="cellIs" dxfId="9" priority="4" operator="notEqual">
      <formula>"No Errors Found"</formula>
    </cfRule>
  </conditionalFormatting>
  <conditionalFormatting sqref="G33">
    <cfRule type="expression" dxfId="8" priority="3">
      <formula>G33&lt;&gt;Ok</formula>
    </cfRule>
  </conditionalFormatting>
  <conditionalFormatting sqref="G55">
    <cfRule type="expression" dxfId="7" priority="2">
      <formula>G55&lt;&gt;Ok</formula>
    </cfRule>
  </conditionalFormatting>
  <conditionalFormatting sqref="N34">
    <cfRule type="expression" dxfId="6" priority="1">
      <formula>N34&lt;&gt;Ok</formula>
    </cfRule>
  </conditionalFormatting>
  <hyperlinks>
    <hyperlink ref="B4" location="'ToC'!$A$1" tooltip="Go To Table of Contents" display="='ToC'!B1" xr:uid="{00000000-0004-0000-0A00-000000000000}"/>
  </hyperlinks>
  <pageMargins left="0.7" right="0.7" top="0.75" bottom="0.75" header="0.3" footer="0.3"/>
  <pageSetup paperSize="9" scale="7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B1:H6"/>
  <sheetViews>
    <sheetView showGridLines="0" workbookViewId="0"/>
  </sheetViews>
  <sheetFormatPr defaultColWidth="14.87890625" defaultRowHeight="12.9"/>
  <cols>
    <col min="1" max="1" width="2" customWidth="1"/>
    <col min="2" max="3" width="11.87890625" customWidth="1"/>
    <col min="4" max="4" width="15.29296875" customWidth="1"/>
    <col min="5" max="5" width="13.703125" bestFit="1" customWidth="1"/>
    <col min="6" max="6" width="17.703125" bestFit="1" customWidth="1"/>
    <col min="7" max="8" width="11.87890625" customWidth="1"/>
    <col min="9" max="9" width="12.703125" customWidth="1"/>
    <col min="10" max="10" width="16.703125" bestFit="1" customWidth="1"/>
    <col min="11" max="11" width="10.5859375" bestFit="1" customWidth="1"/>
    <col min="12" max="12" width="10.41015625" bestFit="1" customWidth="1"/>
    <col min="13" max="14" width="11.5859375" bestFit="1" customWidth="1"/>
    <col min="15" max="15" width="13.703125" bestFit="1" customWidth="1"/>
    <col min="16" max="16" width="17.5859375" bestFit="1" customWidth="1"/>
    <col min="17" max="17" width="13.703125" bestFit="1" customWidth="1"/>
    <col min="18" max="18" width="12.41015625" bestFit="1" customWidth="1"/>
    <col min="19" max="20" width="12.703125" bestFit="1" customWidth="1"/>
    <col min="21" max="21" width="13.29296875" customWidth="1"/>
    <col min="22" max="22" width="11.87890625" customWidth="1"/>
    <col min="23" max="24" width="9.1171875" customWidth="1"/>
    <col min="25" max="25" width="10.41015625" bestFit="1" customWidth="1"/>
    <col min="26" max="26" width="10.29296875" bestFit="1" customWidth="1"/>
    <col min="27" max="50" width="9.29296875" bestFit="1" customWidth="1"/>
    <col min="52" max="53" width="15" bestFit="1" customWidth="1"/>
  </cols>
  <sheetData>
    <row r="1" spans="2:8" s="468" customFormat="1" ht="20.399999999999999">
      <c r="B1" s="433" t="s">
        <v>555</v>
      </c>
      <c r="C1" s="107"/>
      <c r="D1" s="107"/>
      <c r="E1" s="107"/>
      <c r="G1" s="469"/>
      <c r="H1" s="467" t="s">
        <v>552</v>
      </c>
    </row>
    <row r="2" spans="2:8" s="468" customFormat="1" ht="14.1">
      <c r="B2" s="434" t="str">
        <f>Title_Msg</f>
        <v>No Errors Found</v>
      </c>
      <c r="C2" s="107"/>
      <c r="D2" s="107"/>
      <c r="E2" s="107"/>
      <c r="G2" s="469"/>
    </row>
    <row r="3" spans="2:8" s="468" customFormat="1" ht="14.1">
      <c r="B3" s="435" t="str">
        <f>Model_Name</f>
        <v>Power and Water Corporation (PWC) Network Pricing Model</v>
      </c>
      <c r="C3" s="107"/>
      <c r="D3" s="107"/>
      <c r="E3" s="107"/>
      <c r="G3" s="469"/>
    </row>
    <row r="4" spans="2:8" s="470" customFormat="1" ht="14.1">
      <c r="B4" s="472" t="str">
        <f>TOC!$B$1</f>
        <v>Table of Contents</v>
      </c>
      <c r="D4" s="471"/>
      <c r="E4" s="471"/>
      <c r="G4" s="473"/>
    </row>
    <row r="6" spans="2:8" ht="15" customHeight="1"/>
  </sheetData>
  <conditionalFormatting sqref="B2">
    <cfRule type="cellIs" dxfId="5" priority="1" operator="notEqual">
      <formula>"No Errors Found"</formula>
    </cfRule>
  </conditionalFormatting>
  <hyperlinks>
    <hyperlink ref="B4" location="'ToC'!$A$1" tooltip="Go To Table of Contents" display="='ToC'!B1" xr:uid="{00000000-0004-0000-0B00-000000000000}"/>
  </hyperlinks>
  <pageMargins left="0.75" right="0.75" top="1" bottom="1" header="0.5" footer="0.5"/>
  <pageSetup paperSize="9" orientation="portrait" horizontalDpi="4294967292" verticalDpi="4294967292"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B1:H4"/>
  <sheetViews>
    <sheetView showGridLines="0" zoomScaleNormal="100" workbookViewId="0">
      <pane xSplit="5" ySplit="5" topLeftCell="F6" activePane="bottomRight" state="frozen"/>
      <selection activeCell="E4" sqref="E4"/>
      <selection pane="topRight" activeCell="E4" sqref="E4"/>
      <selection pane="bottomLeft" activeCell="E4" sqref="E4"/>
      <selection pane="bottomRight" activeCell="F6" sqref="F6"/>
    </sheetView>
  </sheetViews>
  <sheetFormatPr defaultColWidth="9.1171875" defaultRowHeight="12.75" customHeight="1"/>
  <cols>
    <col min="1" max="1" width="2" bestFit="1" customWidth="1"/>
    <col min="2" max="2" width="2.87890625" customWidth="1"/>
    <col min="3" max="3" width="12" bestFit="1" customWidth="1"/>
    <col min="4" max="4" width="20.703125" customWidth="1"/>
    <col min="5" max="10" width="10.703125" customWidth="1"/>
    <col min="11" max="11" width="5.703125" customWidth="1"/>
    <col min="12" max="16" width="10.703125" customWidth="1"/>
    <col min="17" max="17" width="5.703125" customWidth="1"/>
    <col min="18" max="24" width="10.703125" customWidth="1"/>
    <col min="25" max="25" width="5.703125" customWidth="1"/>
    <col min="26" max="43" width="10.703125" customWidth="1"/>
  </cols>
  <sheetData>
    <row r="1" spans="2:8" s="107" customFormat="1" ht="20.399999999999999">
      <c r="B1" s="433" t="s">
        <v>442</v>
      </c>
      <c r="H1" s="467" t="s">
        <v>552</v>
      </c>
    </row>
    <row r="2" spans="2:8" s="107" customFormat="1" ht="14.65" customHeight="1">
      <c r="B2" s="434" t="str">
        <f>Title_Msg</f>
        <v>No Errors Found</v>
      </c>
    </row>
    <row r="3" spans="2:8" s="107" customFormat="1" ht="12.9">
      <c r="B3" s="435" t="str">
        <f>Model_Name</f>
        <v>Power and Water Corporation (PWC) Network Pricing Model</v>
      </c>
    </row>
    <row r="4" spans="2:8" s="471" customFormat="1" ht="12.9">
      <c r="B4" s="472" t="str">
        <f>TOC!$B$1</f>
        <v>Table of Contents</v>
      </c>
    </row>
  </sheetData>
  <conditionalFormatting sqref="B2">
    <cfRule type="cellIs" dxfId="4" priority="3" operator="notEqual">
      <formula>"No Errors Found"</formula>
    </cfRule>
  </conditionalFormatting>
  <hyperlinks>
    <hyperlink ref="B4" location="'ToC'!$A$1" tooltip="Go To Table of Contents" display="='ToC'!B1" xr:uid="{00000000-0004-0000-0C00-000000000000}"/>
  </hyperlinks>
  <pageMargins left="0.7" right="0.7" top="0.75" bottom="0.75" header="0.3" footer="0.3"/>
  <pageSetup paperSize="8"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34998626667073579"/>
    <pageSetUpPr fitToPage="1"/>
  </sheetPr>
  <dimension ref="B1:G51"/>
  <sheetViews>
    <sheetView showGridLines="0" zoomScaleNormal="100" workbookViewId="0">
      <pane xSplit="1" ySplit="2" topLeftCell="B3" activePane="bottomRight" state="frozen"/>
      <selection activeCell="H64" sqref="H64"/>
      <selection pane="topRight" activeCell="H64" sqref="H64"/>
      <selection pane="bottomLeft" activeCell="H64" sqref="H64"/>
      <selection pane="bottomRight" activeCell="B3" sqref="B3"/>
    </sheetView>
  </sheetViews>
  <sheetFormatPr defaultColWidth="9.1171875" defaultRowHeight="12.75" customHeight="1" outlineLevelRow="1"/>
  <cols>
    <col min="1" max="1" width="2.703125" style="13" customWidth="1"/>
    <col min="2" max="2" width="40.87890625" style="13" customWidth="1"/>
    <col min="3" max="6" width="13.87890625" style="13" customWidth="1"/>
    <col min="7" max="8" width="20.703125" style="13" customWidth="1"/>
    <col min="9" max="38" width="10.703125" style="13" customWidth="1"/>
    <col min="39" max="16384" width="9.1171875" style="13"/>
  </cols>
  <sheetData>
    <row r="1" spans="2:7" ht="20.399999999999999">
      <c r="B1" s="8" t="s">
        <v>447</v>
      </c>
    </row>
    <row r="2" spans="2:7" ht="11.25" customHeight="1" thickBot="1"/>
    <row r="3" spans="2:7" ht="17.7">
      <c r="B3" s="420" t="s">
        <v>601</v>
      </c>
      <c r="C3" s="421"/>
      <c r="D3" s="421"/>
      <c r="E3" s="422"/>
      <c r="F3" s="519" t="s">
        <v>370</v>
      </c>
      <c r="G3" s="520"/>
    </row>
    <row r="4" spans="2:7" ht="37.5" customHeight="1">
      <c r="B4" s="524" t="s">
        <v>464</v>
      </c>
      <c r="C4" s="525"/>
      <c r="D4" s="525"/>
      <c r="E4" s="525"/>
      <c r="F4" s="525"/>
      <c r="G4" s="526"/>
    </row>
    <row r="5" spans="2:7" ht="34.5" customHeight="1">
      <c r="B5" s="527" t="s">
        <v>372</v>
      </c>
      <c r="C5" s="528"/>
      <c r="D5" s="528"/>
      <c r="E5" s="528"/>
      <c r="F5" s="528"/>
      <c r="G5" s="529"/>
    </row>
    <row r="6" spans="2:7" ht="25.5" customHeight="1">
      <c r="B6" s="296"/>
      <c r="C6" s="517" t="s">
        <v>462</v>
      </c>
      <c r="D6" s="395" t="s">
        <v>151</v>
      </c>
      <c r="E6" s="396" t="s">
        <v>151</v>
      </c>
      <c r="F6" s="425" t="s">
        <v>373</v>
      </c>
      <c r="G6" s="397" t="s">
        <v>535</v>
      </c>
    </row>
    <row r="7" spans="2:7" ht="14.1">
      <c r="B7" s="296"/>
      <c r="C7" s="518"/>
      <c r="D7" s="304" t="s">
        <v>375</v>
      </c>
      <c r="E7" s="305" t="s">
        <v>376</v>
      </c>
      <c r="F7" s="426" t="s">
        <v>529</v>
      </c>
      <c r="G7" s="306" t="s">
        <v>529</v>
      </c>
    </row>
    <row r="8" spans="2:7" ht="12.9">
      <c r="B8" s="307" t="s">
        <v>377</v>
      </c>
      <c r="C8" s="369">
        <v>1116.3191025212582</v>
      </c>
      <c r="D8" s="308"/>
      <c r="E8" s="309"/>
      <c r="F8" s="423"/>
      <c r="G8" s="311"/>
    </row>
    <row r="9" spans="2:7" ht="12.9">
      <c r="B9" s="370" t="s">
        <v>460</v>
      </c>
      <c r="C9" s="368"/>
      <c r="D9" s="373">
        <v>7.1561833650559903</v>
      </c>
      <c r="E9" s="374">
        <v>0</v>
      </c>
      <c r="F9" s="424"/>
      <c r="G9" s="429"/>
    </row>
    <row r="10" spans="2:7" ht="12.9">
      <c r="B10" s="371" t="s">
        <v>461</v>
      </c>
      <c r="C10" s="380"/>
      <c r="D10" s="314"/>
      <c r="E10" s="314"/>
      <c r="F10" s="427">
        <v>3.2851393876953505</v>
      </c>
      <c r="G10" s="428"/>
    </row>
    <row r="11" spans="2:7" ht="12.9">
      <c r="B11" s="371" t="s">
        <v>539</v>
      </c>
      <c r="C11" s="380"/>
      <c r="D11" s="314"/>
      <c r="E11" s="314"/>
      <c r="F11" s="427"/>
      <c r="G11" s="372">
        <v>4</v>
      </c>
    </row>
    <row r="12" spans="2:7" ht="16.5" customHeight="1">
      <c r="B12" s="521" t="s">
        <v>530</v>
      </c>
      <c r="C12" s="522"/>
      <c r="D12" s="522"/>
      <c r="E12" s="522"/>
      <c r="F12" s="522"/>
      <c r="G12" s="523"/>
    </row>
    <row r="13" spans="2:7" ht="27.75" customHeight="1" thickBot="1">
      <c r="B13" s="530" t="s">
        <v>532</v>
      </c>
      <c r="C13" s="531"/>
      <c r="D13" s="531"/>
      <c r="E13" s="531"/>
      <c r="F13" s="531"/>
      <c r="G13" s="532"/>
    </row>
    <row r="14" spans="2:7" ht="13.2" thickBot="1">
      <c r="B14" s="315"/>
      <c r="C14" s="316"/>
      <c r="D14" s="316"/>
      <c r="E14" s="316"/>
      <c r="F14" s="316"/>
    </row>
    <row r="15" spans="2:7" ht="17.7">
      <c r="B15" s="420" t="s">
        <v>602</v>
      </c>
      <c r="C15" s="421"/>
      <c r="D15" s="421"/>
      <c r="E15" s="422"/>
      <c r="F15" s="519" t="s">
        <v>370</v>
      </c>
      <c r="G15" s="520"/>
    </row>
    <row r="16" spans="2:7" ht="40.5" customHeight="1">
      <c r="B16" s="524" t="s">
        <v>463</v>
      </c>
      <c r="C16" s="525"/>
      <c r="D16" s="525"/>
      <c r="E16" s="525"/>
      <c r="F16" s="525"/>
      <c r="G16" s="526"/>
    </row>
    <row r="17" spans="2:7" ht="32.25" customHeight="1">
      <c r="B17" s="527" t="s">
        <v>381</v>
      </c>
      <c r="C17" s="528"/>
      <c r="D17" s="528"/>
      <c r="E17" s="528"/>
      <c r="F17" s="528"/>
      <c r="G17" s="529"/>
    </row>
    <row r="18" spans="2:7" ht="13.5" customHeight="1">
      <c r="B18" s="296"/>
      <c r="C18" s="517" t="s">
        <v>462</v>
      </c>
      <c r="D18" s="395" t="s">
        <v>151</v>
      </c>
      <c r="E18" s="396" t="s">
        <v>151</v>
      </c>
      <c r="F18" s="425" t="s">
        <v>373</v>
      </c>
      <c r="G18" s="397" t="s">
        <v>535</v>
      </c>
    </row>
    <row r="19" spans="2:7" ht="22.5" customHeight="1">
      <c r="B19" s="296"/>
      <c r="C19" s="518"/>
      <c r="D19" s="304" t="s">
        <v>375</v>
      </c>
      <c r="E19" s="305" t="s">
        <v>376</v>
      </c>
      <c r="F19" s="426" t="s">
        <v>529</v>
      </c>
      <c r="G19" s="306" t="s">
        <v>529</v>
      </c>
    </row>
    <row r="20" spans="2:7" ht="12.9">
      <c r="B20" s="307" t="s">
        <v>377</v>
      </c>
      <c r="C20" s="369">
        <v>1298.0454680479745</v>
      </c>
      <c r="D20" s="308"/>
      <c r="E20" s="309"/>
      <c r="F20" s="423"/>
      <c r="G20" s="311"/>
    </row>
    <row r="21" spans="2:7" ht="12.9">
      <c r="B21" s="370" t="s">
        <v>461</v>
      </c>
      <c r="C21" s="368"/>
      <c r="D21" s="373">
        <v>8.2579999999999991</v>
      </c>
      <c r="E21" s="374">
        <v>0</v>
      </c>
      <c r="F21" s="424"/>
      <c r="G21" s="429"/>
    </row>
    <row r="22" spans="2:7" ht="12.9">
      <c r="B22" s="371" t="s">
        <v>461</v>
      </c>
      <c r="C22" s="380"/>
      <c r="D22" s="314"/>
      <c r="E22" s="314"/>
      <c r="F22" s="427">
        <v>3.2850999999999999</v>
      </c>
      <c r="G22" s="428"/>
    </row>
    <row r="23" spans="2:7" ht="12.9">
      <c r="B23" s="371" t="s">
        <v>539</v>
      </c>
      <c r="C23" s="380"/>
      <c r="D23" s="314"/>
      <c r="E23" s="314"/>
      <c r="F23" s="427"/>
      <c r="G23" s="372">
        <v>4</v>
      </c>
    </row>
    <row r="24" spans="2:7" ht="24" customHeight="1">
      <c r="B24" s="521" t="s">
        <v>530</v>
      </c>
      <c r="C24" s="522"/>
      <c r="D24" s="522"/>
      <c r="E24" s="522"/>
      <c r="F24" s="522"/>
      <c r="G24" s="523"/>
    </row>
    <row r="25" spans="2:7" ht="33" customHeight="1" thickBot="1">
      <c r="B25" s="530" t="s">
        <v>532</v>
      </c>
      <c r="C25" s="531"/>
      <c r="D25" s="531"/>
      <c r="E25" s="531"/>
      <c r="F25" s="531"/>
      <c r="G25" s="532"/>
    </row>
    <row r="26" spans="2:7" ht="13.2" thickBot="1">
      <c r="B26" s="317"/>
      <c r="C26" s="318"/>
      <c r="D26" s="318"/>
      <c r="E26" s="318"/>
      <c r="F26" s="319"/>
    </row>
    <row r="27" spans="2:7" ht="20.100000000000001">
      <c r="B27" s="320" t="s">
        <v>603</v>
      </c>
      <c r="C27" s="321"/>
      <c r="D27" s="321"/>
      <c r="E27" s="519" t="s">
        <v>370</v>
      </c>
      <c r="F27" s="520"/>
    </row>
    <row r="28" spans="2:7" ht="18.75" customHeight="1" thickBot="1">
      <c r="B28" s="511" t="s">
        <v>382</v>
      </c>
      <c r="C28" s="512"/>
      <c r="D28" s="512"/>
      <c r="E28" s="512"/>
      <c r="F28" s="513"/>
    </row>
    <row r="29" spans="2:7" ht="13.2" thickBot="1">
      <c r="B29" s="323" t="s">
        <v>377</v>
      </c>
      <c r="C29" s="293"/>
      <c r="D29" s="324"/>
      <c r="E29" s="293"/>
      <c r="F29" s="384" t="s">
        <v>479</v>
      </c>
    </row>
    <row r="30" spans="2:7" ht="12.9">
      <c r="B30" s="326" t="s">
        <v>494</v>
      </c>
      <c r="C30" s="293"/>
      <c r="D30" s="324"/>
      <c r="E30" s="293"/>
      <c r="F30" s="327">
        <v>64.041769951086621</v>
      </c>
    </row>
    <row r="31" spans="2:7" ht="12.9">
      <c r="B31" s="328" t="s">
        <v>509</v>
      </c>
      <c r="C31" s="329"/>
      <c r="D31" s="330"/>
      <c r="E31" s="329"/>
      <c r="F31" s="331">
        <v>135</v>
      </c>
    </row>
    <row r="32" spans="2:7" ht="12.9">
      <c r="B32" s="328" t="s">
        <v>477</v>
      </c>
      <c r="C32" s="329"/>
      <c r="D32" s="330"/>
      <c r="E32" s="329"/>
      <c r="F32" s="331">
        <v>135</v>
      </c>
    </row>
    <row r="33" spans="2:6" ht="12.9">
      <c r="B33" s="328" t="s">
        <v>476</v>
      </c>
      <c r="C33" s="329"/>
      <c r="D33" s="330"/>
      <c r="E33" s="329"/>
      <c r="F33" s="331">
        <v>650</v>
      </c>
    </row>
    <row r="34" spans="2:6" ht="13.2" thickBot="1">
      <c r="B34" s="328" t="s">
        <v>540</v>
      </c>
      <c r="C34" s="329"/>
      <c r="D34" s="330"/>
      <c r="E34" s="329"/>
      <c r="F34" s="331">
        <v>333.80729068933186</v>
      </c>
    </row>
    <row r="35" spans="2:6" ht="13.2" thickBot="1">
      <c r="B35" s="381" t="s">
        <v>383</v>
      </c>
      <c r="C35" s="382"/>
      <c r="D35" s="383"/>
      <c r="E35" s="382"/>
      <c r="F35" s="384" t="s">
        <v>384</v>
      </c>
    </row>
    <row r="36" spans="2:6" ht="12.9">
      <c r="B36" s="328" t="s">
        <v>495</v>
      </c>
      <c r="C36" s="329"/>
      <c r="D36" s="329"/>
      <c r="E36" s="329"/>
      <c r="F36" s="385">
        <v>10.104915273055934</v>
      </c>
    </row>
    <row r="37" spans="2:6" ht="12.9">
      <c r="B37" s="328" t="s">
        <v>510</v>
      </c>
      <c r="C37" s="329"/>
      <c r="D37" s="329"/>
      <c r="E37" s="329"/>
      <c r="F37" s="385">
        <v>10.455</v>
      </c>
    </row>
    <row r="38" spans="2:6" ht="12.9">
      <c r="B38" s="328" t="s">
        <v>465</v>
      </c>
      <c r="C38" s="329"/>
      <c r="D38" s="329"/>
      <c r="E38" s="329"/>
      <c r="F38" s="385">
        <v>3.07569605206987</v>
      </c>
    </row>
    <row r="39" spans="2:6" ht="13.2" thickBot="1">
      <c r="B39" s="332" t="s">
        <v>541</v>
      </c>
      <c r="C39" s="333"/>
      <c r="D39" s="333"/>
      <c r="E39" s="333"/>
      <c r="F39" s="379">
        <v>3.07569605206987</v>
      </c>
    </row>
    <row r="40" spans="2:6" ht="13.2" thickBot="1">
      <c r="B40" s="386" t="s">
        <v>466</v>
      </c>
      <c r="C40" s="382"/>
      <c r="D40" s="382"/>
      <c r="E40" s="382"/>
      <c r="F40" s="384" t="s">
        <v>385</v>
      </c>
    </row>
    <row r="41" spans="2:6" ht="12.9">
      <c r="B41" s="328" t="s">
        <v>533</v>
      </c>
      <c r="C41" s="329"/>
      <c r="D41" s="329"/>
      <c r="E41" s="329"/>
      <c r="F41" s="385">
        <v>0.267530400000007</v>
      </c>
    </row>
    <row r="42" spans="2:6" ht="13.2" thickBot="1">
      <c r="B42" s="328" t="s">
        <v>534</v>
      </c>
      <c r="C42" s="333"/>
      <c r="D42" s="334"/>
      <c r="E42" s="333"/>
      <c r="F42" s="379">
        <v>0.61398839999999899</v>
      </c>
    </row>
    <row r="43" spans="2:6" ht="13.2" thickBot="1">
      <c r="B43" s="381" t="s">
        <v>468</v>
      </c>
      <c r="C43" s="382"/>
      <c r="D43" s="382"/>
      <c r="E43" s="382"/>
      <c r="F43" s="387" t="s">
        <v>472</v>
      </c>
    </row>
    <row r="44" spans="2:6" ht="12.9">
      <c r="B44" s="328" t="s">
        <v>467</v>
      </c>
      <c r="C44" s="329"/>
      <c r="D44" s="329"/>
      <c r="E44" s="329"/>
      <c r="F44" s="385">
        <v>20</v>
      </c>
    </row>
    <row r="45" spans="2:6" ht="12.9" hidden="1" outlineLevel="1">
      <c r="B45" s="328" t="s">
        <v>469</v>
      </c>
      <c r="C45" s="329"/>
      <c r="D45" s="329"/>
      <c r="E45" s="329"/>
      <c r="F45" s="336">
        <v>0</v>
      </c>
    </row>
    <row r="46" spans="2:6" ht="12.9" hidden="1" outlineLevel="1">
      <c r="B46" s="328" t="s">
        <v>542</v>
      </c>
      <c r="C46" s="329"/>
      <c r="D46" s="329"/>
      <c r="E46" s="329"/>
      <c r="F46" s="335">
        <v>10.270993559671751</v>
      </c>
    </row>
    <row r="47" spans="2:6" ht="13.2" collapsed="1" thickBot="1">
      <c r="B47" s="332" t="s">
        <v>543</v>
      </c>
      <c r="C47" s="333"/>
      <c r="D47" s="334"/>
      <c r="E47" s="333"/>
      <c r="F47" s="379">
        <v>0</v>
      </c>
    </row>
    <row r="48" spans="2:6" ht="13.2" thickBot="1">
      <c r="B48" s="381" t="s">
        <v>388</v>
      </c>
      <c r="C48" s="382"/>
      <c r="D48" s="382"/>
      <c r="E48" s="382"/>
      <c r="F48" s="384" t="s">
        <v>478</v>
      </c>
    </row>
    <row r="49" spans="2:6" ht="12.9">
      <c r="B49" s="328" t="s">
        <v>389</v>
      </c>
      <c r="C49" s="329"/>
      <c r="D49" s="329"/>
      <c r="E49" s="329"/>
      <c r="F49" s="385">
        <v>4</v>
      </c>
    </row>
    <row r="50" spans="2:6" ht="13.2" thickBot="1">
      <c r="B50" s="328" t="s">
        <v>390</v>
      </c>
      <c r="C50" s="329"/>
      <c r="D50" s="329"/>
      <c r="E50" s="329"/>
      <c r="F50" s="379">
        <v>4</v>
      </c>
    </row>
    <row r="51" spans="2:6" ht="33" customHeight="1" thickBot="1">
      <c r="B51" s="514" t="s">
        <v>536</v>
      </c>
      <c r="C51" s="515"/>
      <c r="D51" s="515"/>
      <c r="E51" s="515"/>
      <c r="F51" s="516"/>
    </row>
  </sheetData>
  <mergeCells count="15">
    <mergeCell ref="B28:F28"/>
    <mergeCell ref="B51:F51"/>
    <mergeCell ref="C6:C7"/>
    <mergeCell ref="C18:C19"/>
    <mergeCell ref="F3:G3"/>
    <mergeCell ref="F15:G15"/>
    <mergeCell ref="E27:F27"/>
    <mergeCell ref="B12:G12"/>
    <mergeCell ref="B16:G16"/>
    <mergeCell ref="B17:G17"/>
    <mergeCell ref="B24:G24"/>
    <mergeCell ref="B4:G4"/>
    <mergeCell ref="B5:G5"/>
    <mergeCell ref="B13:G13"/>
    <mergeCell ref="B25:G25"/>
  </mergeCells>
  <pageMargins left="0.25" right="0.25" top="0.75" bottom="0.75" header="0.3" footer="0.3"/>
  <pageSetup paperSize="9" scale="81"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34998626667073579"/>
    <pageSetUpPr fitToPage="1"/>
  </sheetPr>
  <dimension ref="B1:G53"/>
  <sheetViews>
    <sheetView showGridLines="0" zoomScaleNormal="100" workbookViewId="0">
      <pane xSplit="1" ySplit="2" topLeftCell="B3" activePane="bottomRight" state="frozen"/>
      <selection activeCell="H64" sqref="H64"/>
      <selection pane="topRight" activeCell="H64" sqref="H64"/>
      <selection pane="bottomLeft" activeCell="H64" sqref="H64"/>
      <selection pane="bottomRight" activeCell="B3" sqref="B3"/>
    </sheetView>
  </sheetViews>
  <sheetFormatPr defaultColWidth="9.1171875" defaultRowHeight="12.75" customHeight="1"/>
  <cols>
    <col min="1" max="1" width="2.703125" style="13" customWidth="1"/>
    <col min="2" max="2" width="33.41015625" style="13" customWidth="1"/>
    <col min="3" max="3" width="12.1171875" style="13" customWidth="1"/>
    <col min="4" max="6" width="9.703125" style="13" customWidth="1"/>
    <col min="7" max="7" width="12" style="13" customWidth="1"/>
    <col min="8" max="9" width="20.703125" style="13" customWidth="1"/>
    <col min="10" max="39" width="10.703125" style="13" customWidth="1"/>
    <col min="40" max="16384" width="9.1171875" style="13"/>
  </cols>
  <sheetData>
    <row r="1" spans="2:7" ht="20.399999999999999">
      <c r="B1" s="8" t="s">
        <v>448</v>
      </c>
    </row>
    <row r="2" spans="2:7" ht="11.25" customHeight="1" thickBot="1"/>
    <row r="3" spans="2:7" ht="24.75" customHeight="1">
      <c r="B3" s="320" t="str">
        <f>"Schedule A - "&amp;Tariff_Year</f>
        <v>Schedule A - 2019/20</v>
      </c>
      <c r="C3" s="293"/>
      <c r="D3" s="293"/>
      <c r="E3" s="294"/>
      <c r="F3" s="293"/>
      <c r="G3" s="295" t="s">
        <v>471</v>
      </c>
    </row>
    <row r="4" spans="2:7" ht="37.5" customHeight="1">
      <c r="B4" s="539" t="s">
        <v>371</v>
      </c>
      <c r="C4" s="540"/>
      <c r="D4" s="540"/>
      <c r="E4" s="540"/>
      <c r="F4" s="540"/>
      <c r="G4" s="541"/>
    </row>
    <row r="5" spans="2:7" ht="34.5" customHeight="1">
      <c r="B5" s="542" t="s">
        <v>372</v>
      </c>
      <c r="C5" s="512"/>
      <c r="D5" s="512"/>
      <c r="E5" s="512"/>
      <c r="F5" s="512"/>
      <c r="G5" s="513"/>
    </row>
    <row r="6" spans="2:7" ht="9" customHeight="1">
      <c r="B6" s="296"/>
      <c r="C6" s="297"/>
      <c r="D6" s="298"/>
      <c r="E6" s="299"/>
      <c r="F6" s="298"/>
      <c r="G6" s="300"/>
    </row>
    <row r="7" spans="2:7" ht="21.75" customHeight="1">
      <c r="B7" s="296"/>
      <c r="C7" s="548" t="s">
        <v>462</v>
      </c>
      <c r="D7" s="375" t="s">
        <v>151</v>
      </c>
      <c r="E7" s="376" t="s">
        <v>151</v>
      </c>
      <c r="F7" s="375" t="s">
        <v>373</v>
      </c>
      <c r="G7" s="377" t="str">
        <f>'Output_Tariff_Schedules_No GST'!G6</f>
        <v>$/kVar</v>
      </c>
    </row>
    <row r="8" spans="2:7" ht="14.1">
      <c r="B8" s="296"/>
      <c r="C8" s="518" t="s">
        <v>374</v>
      </c>
      <c r="D8" s="304" t="s">
        <v>375</v>
      </c>
      <c r="E8" s="305" t="s">
        <v>376</v>
      </c>
      <c r="F8" s="304" t="s">
        <v>375</v>
      </c>
      <c r="G8" s="377" t="str">
        <f>'Output_Tariff_Schedules_No GST'!G7</f>
        <v>anytime</v>
      </c>
    </row>
    <row r="9" spans="2:7" ht="12.9">
      <c r="B9" s="307" t="s">
        <v>377</v>
      </c>
      <c r="C9" s="369">
        <f>'Output_Tariff_Schedules_No GST'!C8*(1+GST)</f>
        <v>1227.951012773384</v>
      </c>
      <c r="D9" s="308"/>
      <c r="E9" s="309"/>
      <c r="F9" s="310"/>
      <c r="G9" s="311"/>
    </row>
    <row r="10" spans="2:7" ht="12.9">
      <c r="B10" s="370" t="s">
        <v>460</v>
      </c>
      <c r="C10" s="368"/>
      <c r="D10" s="373">
        <f>'Output_Tariff_Schedules_No GST'!D9*(1+GST)</f>
        <v>7.8718017015615898</v>
      </c>
      <c r="E10" s="374">
        <f>'Output_Tariff_Schedules_No GST'!E9*(1+GST)</f>
        <v>0</v>
      </c>
      <c r="F10" s="312"/>
      <c r="G10" s="313"/>
    </row>
    <row r="11" spans="2:7" ht="12.9">
      <c r="B11" s="371" t="s">
        <v>461</v>
      </c>
      <c r="C11" s="314"/>
      <c r="D11" s="314"/>
      <c r="E11" s="314"/>
      <c r="F11" s="430">
        <f>'Output_Tariff_Schedules_No GST'!F10*(1+GST)</f>
        <v>3.613653326464886</v>
      </c>
      <c r="G11" s="432"/>
    </row>
    <row r="12" spans="2:7" ht="12.9">
      <c r="B12" s="431" t="str">
        <f>'Output_Tariff_Schedules_No GST'!B11</f>
        <v>Plus charges related to excess kVAr</v>
      </c>
      <c r="C12" s="314"/>
      <c r="D12" s="314"/>
      <c r="E12" s="314"/>
      <c r="F12" s="430"/>
      <c r="G12" s="388">
        <f>'Output_Tariff_Schedules_No GST'!G11*(1+GST)</f>
        <v>4.4000000000000004</v>
      </c>
    </row>
    <row r="13" spans="2:7" ht="27.75" customHeight="1">
      <c r="B13" s="543" t="s">
        <v>378</v>
      </c>
      <c r="C13" s="544"/>
      <c r="D13" s="544"/>
      <c r="E13" s="544"/>
      <c r="F13" s="544"/>
      <c r="G13" s="545"/>
    </row>
    <row r="14" spans="2:7" ht="30.75" customHeight="1" thickBot="1">
      <c r="B14" s="536" t="s">
        <v>379</v>
      </c>
      <c r="C14" s="537"/>
      <c r="D14" s="537"/>
      <c r="E14" s="537"/>
      <c r="F14" s="537"/>
      <c r="G14" s="538"/>
    </row>
    <row r="15" spans="2:7" ht="13.2" thickBot="1">
      <c r="B15" s="315"/>
      <c r="C15" s="316"/>
      <c r="D15" s="316"/>
      <c r="E15" s="316"/>
      <c r="F15" s="316"/>
      <c r="G15" s="316"/>
    </row>
    <row r="16" spans="2:7" ht="22.5" customHeight="1">
      <c r="B16" s="320" t="str">
        <f>"Schedule B - All Regions "&amp;Tariff_Year</f>
        <v>Schedule B - All Regions 2019/20</v>
      </c>
      <c r="C16" s="293"/>
      <c r="D16" s="293"/>
      <c r="E16" s="294"/>
      <c r="F16" s="293"/>
      <c r="G16" s="295" t="s">
        <v>471</v>
      </c>
    </row>
    <row r="17" spans="2:7" ht="40.5" customHeight="1">
      <c r="B17" s="524" t="s">
        <v>380</v>
      </c>
      <c r="C17" s="525"/>
      <c r="D17" s="525"/>
      <c r="E17" s="525"/>
      <c r="F17" s="525"/>
      <c r="G17" s="526"/>
    </row>
    <row r="18" spans="2:7" ht="32.25" customHeight="1">
      <c r="B18" s="542" t="s">
        <v>381</v>
      </c>
      <c r="C18" s="546"/>
      <c r="D18" s="546"/>
      <c r="E18" s="546"/>
      <c r="F18" s="546"/>
      <c r="G18" s="547"/>
    </row>
    <row r="19" spans="2:7" ht="12.9">
      <c r="B19" s="296"/>
      <c r="C19" s="297"/>
      <c r="D19" s="298"/>
      <c r="E19" s="299"/>
      <c r="F19" s="299"/>
      <c r="G19" s="300"/>
    </row>
    <row r="20" spans="2:7" ht="23.25" customHeight="1">
      <c r="B20" s="296"/>
      <c r="C20" s="419" t="s">
        <v>462</v>
      </c>
      <c r="D20" s="301" t="s">
        <v>151</v>
      </c>
      <c r="E20" s="302" t="s">
        <v>151</v>
      </c>
      <c r="F20" s="302" t="s">
        <v>373</v>
      </c>
      <c r="G20" s="303" t="s">
        <v>373</v>
      </c>
    </row>
    <row r="21" spans="2:7" ht="15" customHeight="1">
      <c r="B21" s="296"/>
      <c r="C21" s="418" t="s">
        <v>374</v>
      </c>
      <c r="D21" s="304" t="s">
        <v>375</v>
      </c>
      <c r="E21" s="305" t="s">
        <v>376</v>
      </c>
      <c r="F21" s="305" t="s">
        <v>529</v>
      </c>
      <c r="G21" s="306" t="s">
        <v>376</v>
      </c>
    </row>
    <row r="22" spans="2:7" ht="12.9">
      <c r="B22" s="307" t="s">
        <v>377</v>
      </c>
      <c r="C22" s="369">
        <f>'Output_Tariff_Schedules_No GST'!C20*(1+GST)</f>
        <v>1427.8500148527721</v>
      </c>
      <c r="D22" s="308"/>
      <c r="E22" s="309"/>
      <c r="F22" s="423"/>
      <c r="G22" s="311"/>
    </row>
    <row r="23" spans="2:7" ht="12.9">
      <c r="B23" s="370" t="s">
        <v>460</v>
      </c>
      <c r="C23" s="368"/>
      <c r="D23" s="373">
        <f>'Output_Tariff_Schedules_No GST'!D21*(1+GST)</f>
        <v>9.0838000000000001</v>
      </c>
      <c r="E23" s="374">
        <f>'Output_Tariff_Schedules_No GST'!E21*(1+GST)</f>
        <v>0</v>
      </c>
      <c r="F23" s="424"/>
      <c r="G23" s="313"/>
    </row>
    <row r="24" spans="2:7" ht="12.9">
      <c r="B24" s="371" t="s">
        <v>461</v>
      </c>
      <c r="C24" s="314"/>
      <c r="D24" s="314"/>
      <c r="E24" s="314"/>
      <c r="F24" s="430">
        <f>'Output_Tariff_Schedules_No GST'!F22*(1+GST)</f>
        <v>3.61361</v>
      </c>
      <c r="G24" s="311"/>
    </row>
    <row r="25" spans="2:7" ht="12.9">
      <c r="B25" s="431" t="str">
        <f>'Output_Tariff_Schedules_No GST'!B11</f>
        <v>Plus charges related to excess kVAr</v>
      </c>
      <c r="C25" s="314"/>
      <c r="D25" s="314"/>
      <c r="E25" s="314"/>
      <c r="F25" s="430"/>
      <c r="G25" s="388">
        <f>'Output_Tariff_Schedules_No GST'!G23*(1+GST)</f>
        <v>4.4000000000000004</v>
      </c>
    </row>
    <row r="26" spans="2:7" ht="24" customHeight="1" thickBot="1">
      <c r="B26" s="533" t="s">
        <v>378</v>
      </c>
      <c r="C26" s="534"/>
      <c r="D26" s="534"/>
      <c r="E26" s="534"/>
      <c r="F26" s="534"/>
      <c r="G26" s="535"/>
    </row>
    <row r="27" spans="2:7" ht="32.25" customHeight="1" thickBot="1">
      <c r="B27" s="536" t="s">
        <v>537</v>
      </c>
      <c r="C27" s="537"/>
      <c r="D27" s="537"/>
      <c r="E27" s="537"/>
      <c r="F27" s="537"/>
      <c r="G27" s="538"/>
    </row>
    <row r="28" spans="2:7" ht="13.2" thickBot="1">
      <c r="B28" s="317"/>
      <c r="C28" s="318"/>
      <c r="D28" s="318"/>
      <c r="E28" s="318"/>
      <c r="F28" s="319"/>
      <c r="G28" s="319"/>
    </row>
    <row r="29" spans="2:7" ht="20.100000000000001">
      <c r="B29" s="320" t="str">
        <f>"Schedule C - "&amp;Tariff_Year</f>
        <v>Schedule C - 2019/20</v>
      </c>
      <c r="C29" s="321"/>
      <c r="D29" s="321"/>
      <c r="E29" s="322"/>
      <c r="F29" s="293"/>
      <c r="G29" s="295" t="s">
        <v>471</v>
      </c>
    </row>
    <row r="30" spans="2:7" ht="30" customHeight="1" thickBot="1">
      <c r="B30" s="511" t="s">
        <v>382</v>
      </c>
      <c r="C30" s="512"/>
      <c r="D30" s="512"/>
      <c r="E30" s="512"/>
      <c r="F30" s="512"/>
      <c r="G30" s="513"/>
    </row>
    <row r="31" spans="2:7" ht="18" customHeight="1" thickBot="1">
      <c r="B31" s="323" t="s">
        <v>377</v>
      </c>
      <c r="C31" s="293"/>
      <c r="D31" s="324"/>
      <c r="E31" s="293"/>
      <c r="F31" s="325"/>
      <c r="G31" s="384" t="s">
        <v>479</v>
      </c>
    </row>
    <row r="32" spans="2:7" ht="12.9">
      <c r="B32" s="326" t="s">
        <v>494</v>
      </c>
      <c r="C32" s="293"/>
      <c r="D32" s="324"/>
      <c r="E32" s="293"/>
      <c r="F32" s="293"/>
      <c r="G32" s="327">
        <f>'Output_Tariff_Schedules_No GST'!F30*(1+GST)</f>
        <v>70.445946946195292</v>
      </c>
    </row>
    <row r="33" spans="2:7" ht="12.9">
      <c r="B33" s="328" t="s">
        <v>509</v>
      </c>
      <c r="C33" s="329"/>
      <c r="D33" s="330"/>
      <c r="E33" s="329"/>
      <c r="F33" s="329"/>
      <c r="G33" s="331">
        <f>'Output_Tariff_Schedules_No GST'!F31*(1+GST)</f>
        <v>148.5</v>
      </c>
    </row>
    <row r="34" spans="2:7" ht="12.9">
      <c r="B34" s="328" t="str">
        <f>'Output_Tariff_Schedules_No GST'!B32</f>
        <v>Cents per day per NMI - LV Smart Meter &lt;40MWh</v>
      </c>
      <c r="C34" s="329"/>
      <c r="D34" s="330"/>
      <c r="E34" s="329"/>
      <c r="F34" s="329"/>
      <c r="G34" s="331">
        <f>'Output_Tariff_Schedules_No GST'!F32*(1+GST)</f>
        <v>148.5</v>
      </c>
    </row>
    <row r="35" spans="2:7" ht="12.9">
      <c r="B35" s="328" t="str">
        <f>'Output_Tariff_Schedules_No GST'!B33</f>
        <v>Cents per day per NMI - LV Smart Meter &gt;40MWh</v>
      </c>
      <c r="C35" s="329"/>
      <c r="D35" s="330"/>
      <c r="E35" s="329"/>
      <c r="F35" s="329"/>
      <c r="G35" s="331">
        <f>'Output_Tariff_Schedules_No GST'!F33*(1+GST)</f>
        <v>715.00000000000011</v>
      </c>
    </row>
    <row r="36" spans="2:7" ht="13.2" thickBot="1">
      <c r="B36" s="328" t="str">
        <f>'Output_Tariff_Schedules_No GST'!B34</f>
        <v>Cents per day per NMI - HV &lt;750MWh</v>
      </c>
      <c r="C36" s="333"/>
      <c r="D36" s="334"/>
      <c r="E36" s="333"/>
      <c r="F36" s="333"/>
      <c r="G36" s="378">
        <f>'Output_Tariff_Schedules_No GST'!F34*(1+GST)</f>
        <v>367.18801975826506</v>
      </c>
    </row>
    <row r="37" spans="2:7" ht="13.2" thickBot="1">
      <c r="B37" s="381" t="s">
        <v>383</v>
      </c>
      <c r="C37" s="382"/>
      <c r="D37" s="383"/>
      <c r="E37" s="382"/>
      <c r="F37" s="382"/>
      <c r="G37" s="384" t="s">
        <v>384</v>
      </c>
    </row>
    <row r="38" spans="2:7" ht="12.9">
      <c r="B38" s="328" t="s">
        <v>495</v>
      </c>
      <c r="C38" s="329"/>
      <c r="D38" s="329"/>
      <c r="E38" s="329"/>
      <c r="F38" s="329"/>
      <c r="G38" s="331">
        <f>'Output_Tariff_Schedules_No GST'!F36*(1+GST)</f>
        <v>11.115406800361528</v>
      </c>
    </row>
    <row r="39" spans="2:7" ht="12.9">
      <c r="B39" s="328" t="s">
        <v>510</v>
      </c>
      <c r="C39" s="329"/>
      <c r="D39" s="329"/>
      <c r="E39" s="329"/>
      <c r="F39" s="329"/>
      <c r="G39" s="331">
        <f>'Output_Tariff_Schedules_No GST'!F37*(1+GST)</f>
        <v>11.500500000000001</v>
      </c>
    </row>
    <row r="40" spans="2:7" ht="12.9">
      <c r="B40" s="328" t="s">
        <v>465</v>
      </c>
      <c r="C40" s="329"/>
      <c r="D40" s="329"/>
      <c r="E40" s="329"/>
      <c r="F40" s="329"/>
      <c r="G40" s="331">
        <f>'Output_Tariff_Schedules_No GST'!F38*(1+GST)</f>
        <v>3.3832656572768571</v>
      </c>
    </row>
    <row r="41" spans="2:7" ht="13.2" thickBot="1">
      <c r="B41" s="332" t="s">
        <v>541</v>
      </c>
      <c r="C41" s="333"/>
      <c r="D41" s="333"/>
      <c r="E41" s="333"/>
      <c r="F41" s="333"/>
      <c r="G41" s="378">
        <f>'Output_Tariff_Schedules_No GST'!F39*(1+GST)</f>
        <v>3.3832656572768571</v>
      </c>
    </row>
    <row r="42" spans="2:7" ht="13.2" thickBot="1">
      <c r="B42" s="386" t="s">
        <v>466</v>
      </c>
      <c r="C42" s="382"/>
      <c r="D42" s="382"/>
      <c r="E42" s="382"/>
      <c r="F42" s="382"/>
      <c r="G42" s="384" t="s">
        <v>385</v>
      </c>
    </row>
    <row r="43" spans="2:7" ht="12.9">
      <c r="B43" s="328" t="s">
        <v>386</v>
      </c>
      <c r="C43" s="329"/>
      <c r="D43" s="329"/>
      <c r="E43" s="329"/>
      <c r="F43" s="329"/>
      <c r="G43" s="385">
        <f>'Output_Tariff_Schedules_No GST'!F41*(1+GST)</f>
        <v>0.29428344000000772</v>
      </c>
    </row>
    <row r="44" spans="2:7" ht="13.2" thickBot="1">
      <c r="B44" s="332" t="s">
        <v>387</v>
      </c>
      <c r="C44" s="333"/>
      <c r="D44" s="334"/>
      <c r="E44" s="333"/>
      <c r="F44" s="333"/>
      <c r="G44" s="379">
        <f>'Output_Tariff_Schedules_No GST'!F42*(1+GST)</f>
        <v>0.67538723999999895</v>
      </c>
    </row>
    <row r="45" spans="2:7" ht="13.2" thickBot="1">
      <c r="B45" s="381" t="s">
        <v>468</v>
      </c>
      <c r="C45" s="382"/>
      <c r="D45" s="382"/>
      <c r="E45" s="382"/>
      <c r="F45" s="382"/>
      <c r="G45" s="387" t="s">
        <v>472</v>
      </c>
    </row>
    <row r="46" spans="2:7" ht="12.9">
      <c r="B46" s="328" t="s">
        <v>467</v>
      </c>
      <c r="C46" s="329"/>
      <c r="D46" s="329"/>
      <c r="E46" s="329"/>
      <c r="F46" s="329"/>
      <c r="G46" s="385">
        <f>'Output_Tariff_Schedules_No GST'!F44*(1+GST)</f>
        <v>22</v>
      </c>
    </row>
    <row r="47" spans="2:7" ht="12.9">
      <c r="B47" s="328" t="s">
        <v>469</v>
      </c>
      <c r="C47" s="329"/>
      <c r="D47" s="329"/>
      <c r="E47" s="329"/>
      <c r="F47" s="329"/>
      <c r="G47" s="336">
        <f>'Output_Tariff_Schedules_No GST'!F45*(1+GST)</f>
        <v>0</v>
      </c>
    </row>
    <row r="48" spans="2:7" ht="12.9">
      <c r="B48" s="328" t="s">
        <v>544</v>
      </c>
      <c r="C48" s="329"/>
      <c r="D48" s="329"/>
      <c r="E48" s="329"/>
      <c r="F48" s="329"/>
      <c r="G48" s="335">
        <f>'Output_Tariff_Schedules_No GST'!F46*(1+GST)</f>
        <v>11.298092915638927</v>
      </c>
    </row>
    <row r="49" spans="2:7" ht="13.2" thickBot="1">
      <c r="B49" s="332" t="s">
        <v>545</v>
      </c>
      <c r="C49" s="333"/>
      <c r="D49" s="334"/>
      <c r="E49" s="333"/>
      <c r="F49" s="333"/>
      <c r="G49" s="379">
        <f>'Output_Tariff_Schedules_No GST'!F47*(1+GST)</f>
        <v>0</v>
      </c>
    </row>
    <row r="50" spans="2:7" ht="13.2" thickBot="1">
      <c r="B50" s="381" t="s">
        <v>388</v>
      </c>
      <c r="C50" s="382"/>
      <c r="D50" s="382"/>
      <c r="E50" s="382"/>
      <c r="F50" s="382"/>
      <c r="G50" s="384" t="s">
        <v>470</v>
      </c>
    </row>
    <row r="51" spans="2:7" ht="12.9">
      <c r="B51" s="328" t="s">
        <v>389</v>
      </c>
      <c r="C51" s="329"/>
      <c r="D51" s="329"/>
      <c r="E51" s="329"/>
      <c r="F51" s="329"/>
      <c r="G51" s="385">
        <f>'Output_Tariff_Schedules_No GST'!F49*(1+GST)</f>
        <v>4.4000000000000004</v>
      </c>
    </row>
    <row r="52" spans="2:7" ht="13.2" thickBot="1">
      <c r="B52" s="328" t="s">
        <v>390</v>
      </c>
      <c r="C52" s="329"/>
      <c r="D52" s="329"/>
      <c r="E52" s="329"/>
      <c r="F52" s="329"/>
      <c r="G52" s="379">
        <f>'Output_Tariff_Schedules_No GST'!F50*(1+GST)</f>
        <v>4.4000000000000004</v>
      </c>
    </row>
    <row r="53" spans="2:7" ht="40.5" customHeight="1" thickBot="1">
      <c r="B53" s="514" t="s">
        <v>538</v>
      </c>
      <c r="C53" s="515"/>
      <c r="D53" s="515"/>
      <c r="E53" s="515"/>
      <c r="F53" s="515"/>
      <c r="G53" s="516"/>
    </row>
  </sheetData>
  <mergeCells count="11">
    <mergeCell ref="B26:G26"/>
    <mergeCell ref="B27:G27"/>
    <mergeCell ref="B30:G30"/>
    <mergeCell ref="B53:G53"/>
    <mergeCell ref="B4:G4"/>
    <mergeCell ref="B5:G5"/>
    <mergeCell ref="B13:G13"/>
    <mergeCell ref="B14:G14"/>
    <mergeCell ref="B17:G17"/>
    <mergeCell ref="B18:G18"/>
    <mergeCell ref="C7:C8"/>
  </mergeCells>
  <pageMargins left="0.7" right="0.7" top="0.75" bottom="0.75" header="0.3" footer="0.3"/>
  <pageSetup paperSize="9" scale="50"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1"/>
  </sheetPr>
  <dimension ref="B1:X184"/>
  <sheetViews>
    <sheetView showGridLines="0" zoomScaleNormal="100" workbookViewId="0">
      <pane xSplit="1" ySplit="4" topLeftCell="B5" activePane="bottomRight" state="frozen"/>
      <selection activeCell="D155" sqref="D155"/>
      <selection pane="topRight" activeCell="D155" sqref="D155"/>
      <selection pane="bottomLeft" activeCell="D155" sqref="D155"/>
      <selection pane="bottomRight" activeCell="B5" sqref="B5"/>
    </sheetView>
  </sheetViews>
  <sheetFormatPr defaultColWidth="9.1171875" defaultRowHeight="12.9" outlineLevelRow="1"/>
  <cols>
    <col min="1" max="3" width="2.703125" style="1" customWidth="1"/>
    <col min="4" max="6" width="30.703125" style="1" customWidth="1"/>
    <col min="7" max="7" width="20.703125" style="1" customWidth="1"/>
    <col min="8" max="8" width="3.703125" style="1" customWidth="1"/>
    <col min="9" max="9" width="30.703125" style="1" customWidth="1"/>
    <col min="10" max="11" width="3.703125" style="1" customWidth="1"/>
    <col min="12" max="24" width="10.703125" style="1" customWidth="1"/>
    <col min="25" max="16384" width="9.1171875" style="1"/>
  </cols>
  <sheetData>
    <row r="1" spans="2:7" ht="20.399999999999999">
      <c r="B1" s="8" t="s">
        <v>0</v>
      </c>
    </row>
    <row r="2" spans="2:7">
      <c r="B2" s="28" t="str">
        <f>Title_Msg</f>
        <v>No Errors Found</v>
      </c>
    </row>
    <row r="3" spans="2:7" s="11" customFormat="1">
      <c r="B3" s="65" t="str">
        <f>Model_Name</f>
        <v>Power and Water Corporation (PWC) Network Pricing Model</v>
      </c>
    </row>
    <row r="4" spans="2:7" s="11" customFormat="1">
      <c r="B4" s="337" t="str">
        <f>TOC!$B$1</f>
        <v>Table of Contents</v>
      </c>
    </row>
    <row r="5" spans="2:7" s="11" customFormat="1"/>
    <row r="6" spans="2:7" s="11" customFormat="1"/>
    <row r="7" spans="2:7" s="7" customFormat="1" ht="15.6">
      <c r="B7" s="7" t="s">
        <v>92</v>
      </c>
    </row>
    <row r="8" spans="2:7" s="2" customFormat="1" ht="6.75" customHeight="1"/>
    <row r="9" spans="2:7" s="16" customFormat="1" ht="14.4">
      <c r="C9" s="16" t="s">
        <v>91</v>
      </c>
    </row>
    <row r="10" spans="2:7" s="2" customFormat="1">
      <c r="D10" s="6"/>
    </row>
    <row r="11" spans="2:7" s="2" customFormat="1">
      <c r="C11" s="10"/>
      <c r="D11" s="21" t="s">
        <v>21</v>
      </c>
      <c r="E11" s="4"/>
      <c r="F11" s="68">
        <v>3</v>
      </c>
      <c r="G11" s="31" t="str">
        <f>INDEX(Period_Length,F11)</f>
        <v>Yearly</v>
      </c>
    </row>
    <row r="12" spans="2:7" s="10" customFormat="1">
      <c r="D12" s="21" t="s">
        <v>69</v>
      </c>
      <c r="F12" s="40">
        <f>CHOOSE(F11,12,3,1)</f>
        <v>1</v>
      </c>
    </row>
    <row r="13" spans="2:7" s="2" customFormat="1">
      <c r="C13" s="4"/>
      <c r="D13" s="21" t="s">
        <v>22</v>
      </c>
      <c r="E13" s="4"/>
      <c r="F13" s="69">
        <v>38718</v>
      </c>
      <c r="G13" s="5"/>
    </row>
    <row r="14" spans="2:7" s="10" customFormat="1">
      <c r="C14" s="4"/>
      <c r="D14" s="21" t="s">
        <v>29</v>
      </c>
      <c r="E14" s="4"/>
      <c r="F14" s="68">
        <v>12</v>
      </c>
      <c r="G14" s="32" t="str">
        <f>INDEX(Calender_Months,F14)</f>
        <v>December</v>
      </c>
    </row>
    <row r="15" spans="2:7" s="10" customFormat="1">
      <c r="C15" s="4"/>
      <c r="D15" s="21" t="s">
        <v>63</v>
      </c>
      <c r="E15" s="4"/>
      <c r="F15" s="40">
        <f>IF(F14=12,1,F14+1)</f>
        <v>1</v>
      </c>
      <c r="G15" s="32"/>
    </row>
    <row r="16" spans="2:7" s="10" customFormat="1">
      <c r="C16" s="4"/>
      <c r="D16" s="21" t="s">
        <v>70</v>
      </c>
      <c r="E16" s="4"/>
      <c r="F16" s="67" t="s">
        <v>71</v>
      </c>
      <c r="G16" s="32"/>
    </row>
    <row r="17" spans="2:24" s="11" customFormat="1">
      <c r="L17" s="36"/>
      <c r="M17" s="38"/>
      <c r="N17" s="38"/>
      <c r="O17" s="38"/>
    </row>
    <row r="18" spans="2:24" s="7" customFormat="1" ht="15.6">
      <c r="B18" s="7" t="s">
        <v>93</v>
      </c>
    </row>
    <row r="19" spans="2:24" s="11" customFormat="1">
      <c r="L19" s="36"/>
      <c r="M19" s="38"/>
      <c r="N19" s="38"/>
      <c r="O19" s="38"/>
    </row>
    <row r="20" spans="2:24" s="11" customFormat="1">
      <c r="B20" s="66" t="s">
        <v>23</v>
      </c>
      <c r="L20" s="36"/>
      <c r="M20" s="38"/>
      <c r="N20" s="38"/>
      <c r="O20" s="38"/>
    </row>
    <row r="21" spans="2:24" s="9" customFormat="1">
      <c r="B21" s="25" t="s">
        <v>14</v>
      </c>
      <c r="L21" s="26">
        <f t="shared" ref="L21:X21" si="0">L26</f>
        <v>38748</v>
      </c>
      <c r="M21" s="26">
        <f t="shared" si="0"/>
        <v>38776</v>
      </c>
      <c r="N21" s="26">
        <f t="shared" si="0"/>
        <v>38807</v>
      </c>
      <c r="O21" s="26">
        <f t="shared" si="0"/>
        <v>38837</v>
      </c>
      <c r="P21" s="26">
        <f t="shared" si="0"/>
        <v>38868</v>
      </c>
      <c r="Q21" s="26">
        <f t="shared" si="0"/>
        <v>38898</v>
      </c>
      <c r="R21" s="26">
        <f t="shared" si="0"/>
        <v>38929</v>
      </c>
      <c r="S21" s="26">
        <f t="shared" si="0"/>
        <v>38960</v>
      </c>
      <c r="T21" s="26">
        <f t="shared" si="0"/>
        <v>38990</v>
      </c>
      <c r="U21" s="26">
        <f t="shared" si="0"/>
        <v>39021</v>
      </c>
      <c r="V21" s="26">
        <f t="shared" si="0"/>
        <v>39051</v>
      </c>
      <c r="W21" s="26">
        <f t="shared" si="0"/>
        <v>39082</v>
      </c>
      <c r="X21" s="26">
        <f t="shared" si="0"/>
        <v>39113</v>
      </c>
    </row>
    <row r="22" spans="2:24" hidden="1" outlineLevel="1">
      <c r="B22" s="14" t="s">
        <v>560</v>
      </c>
      <c r="L22" s="19" t="str">
        <f t="shared" ref="L22:X22" si="1">CHOOSE(MONTH(L26),Qtr_1,Qtr_1,Qtr_1,Qtr_2,Qtr_2,Qtr_2,Qtr_3,Qtr_3,Qtr_3,Qtr_4,Qtr_4,Qtr_4)&amp;" "&amp;L23&amp;" "</f>
        <v xml:space="preserve">Q1 2006 </v>
      </c>
      <c r="M22" s="19" t="str">
        <f t="shared" si="1"/>
        <v xml:space="preserve">Q1 2006 </v>
      </c>
      <c r="N22" s="19" t="str">
        <f t="shared" si="1"/>
        <v xml:space="preserve">Q1 2006 </v>
      </c>
      <c r="O22" s="19" t="str">
        <f t="shared" si="1"/>
        <v xml:space="preserve">Q2 2006 </v>
      </c>
      <c r="P22" s="19" t="str">
        <f t="shared" si="1"/>
        <v xml:space="preserve">Q2 2006 </v>
      </c>
      <c r="Q22" s="19" t="str">
        <f t="shared" si="1"/>
        <v xml:space="preserve">Q2 2006 </v>
      </c>
      <c r="R22" s="19" t="str">
        <f t="shared" si="1"/>
        <v xml:space="preserve">Q3 2006 </v>
      </c>
      <c r="S22" s="19" t="str">
        <f t="shared" si="1"/>
        <v xml:space="preserve">Q3 2006 </v>
      </c>
      <c r="T22" s="19" t="str">
        <f t="shared" si="1"/>
        <v xml:space="preserve">Q3 2006 </v>
      </c>
      <c r="U22" s="19" t="str">
        <f t="shared" si="1"/>
        <v xml:space="preserve">Q4 2006 </v>
      </c>
      <c r="V22" s="19" t="str">
        <f t="shared" si="1"/>
        <v xml:space="preserve">Q4 2006 </v>
      </c>
      <c r="W22" s="19" t="str">
        <f t="shared" si="1"/>
        <v xml:space="preserve">Q4 2006 </v>
      </c>
      <c r="X22" s="19" t="str">
        <f t="shared" si="1"/>
        <v xml:space="preserve">Q1 2007 </v>
      </c>
    </row>
    <row r="23" spans="2:24" hidden="1" outlineLevel="1">
      <c r="B23" s="14" t="s">
        <v>561</v>
      </c>
      <c r="L23" s="19">
        <f t="shared" ref="L23:X23" si="2">YEAR(L26)</f>
        <v>2006</v>
      </c>
      <c r="M23" s="19">
        <f t="shared" si="2"/>
        <v>2006</v>
      </c>
      <c r="N23" s="19">
        <f t="shared" si="2"/>
        <v>2006</v>
      </c>
      <c r="O23" s="19">
        <f t="shared" si="2"/>
        <v>2006</v>
      </c>
      <c r="P23" s="19">
        <f t="shared" si="2"/>
        <v>2006</v>
      </c>
      <c r="Q23" s="19">
        <f t="shared" si="2"/>
        <v>2006</v>
      </c>
      <c r="R23" s="19">
        <f t="shared" si="2"/>
        <v>2006</v>
      </c>
      <c r="S23" s="19">
        <f t="shared" si="2"/>
        <v>2006</v>
      </c>
      <c r="T23" s="19">
        <f t="shared" si="2"/>
        <v>2006</v>
      </c>
      <c r="U23" s="19">
        <f t="shared" si="2"/>
        <v>2006</v>
      </c>
      <c r="V23" s="19">
        <f t="shared" si="2"/>
        <v>2006</v>
      </c>
      <c r="W23" s="19">
        <f t="shared" si="2"/>
        <v>2006</v>
      </c>
      <c r="X23" s="19">
        <f t="shared" si="2"/>
        <v>2007</v>
      </c>
    </row>
    <row r="24" spans="2:24" hidden="1" outlineLevel="1">
      <c r="B24" s="14" t="s">
        <v>43</v>
      </c>
      <c r="L24" s="19">
        <f>L23+1*(Lookup!$F$14&lt;MONTH(L26))</f>
        <v>2006</v>
      </c>
      <c r="M24" s="19">
        <f>M23+1*(Lookup!$F$14&lt;MONTH(M26))</f>
        <v>2006</v>
      </c>
      <c r="N24" s="19">
        <f>N23+1*(Lookup!$F$14&lt;MONTH(N26))</f>
        <v>2006</v>
      </c>
      <c r="O24" s="19">
        <f>O23+1*(Lookup!$F$14&lt;MONTH(O26))</f>
        <v>2006</v>
      </c>
      <c r="P24" s="19">
        <f>P23+1*(Lookup!$F$14&lt;MONTH(P26))</f>
        <v>2006</v>
      </c>
      <c r="Q24" s="19">
        <f>Q23+1*(Lookup!$F$14&lt;MONTH(Q26))</f>
        <v>2006</v>
      </c>
      <c r="R24" s="19">
        <f>R23+1*(Lookup!$F$14&lt;MONTH(R26))</f>
        <v>2006</v>
      </c>
      <c r="S24" s="19">
        <f>S23+1*(Lookup!$F$14&lt;MONTH(S26))</f>
        <v>2006</v>
      </c>
      <c r="T24" s="19">
        <f>T23+1*(Lookup!$F$14&lt;MONTH(T26))</f>
        <v>2006</v>
      </c>
      <c r="U24" s="19">
        <f>U23+1*(Lookup!$F$14&lt;MONTH(U26))</f>
        <v>2006</v>
      </c>
      <c r="V24" s="19">
        <f>V23+1*(Lookup!$F$14&lt;MONTH(V26))</f>
        <v>2006</v>
      </c>
      <c r="W24" s="19">
        <f>W23+1*(Lookup!$F$14&lt;MONTH(W26))</f>
        <v>2006</v>
      </c>
      <c r="X24" s="19">
        <f>X23+1*(Lookup!$F$14&lt;MONTH(X26))</f>
        <v>2007</v>
      </c>
    </row>
    <row r="25" spans="2:24" hidden="1" outlineLevel="1">
      <c r="B25" s="14" t="s">
        <v>15</v>
      </c>
      <c r="L25" s="20">
        <f>IF(L34=1,Lookup!$F$13,K26+1)</f>
        <v>38718</v>
      </c>
      <c r="M25" s="20">
        <f>IF(M34=1,Lookup!$F$13,L26+1)</f>
        <v>38749</v>
      </c>
      <c r="N25" s="20">
        <f>IF(N34=1,Lookup!$F$13,M26+1)</f>
        <v>38777</v>
      </c>
      <c r="O25" s="20">
        <f>IF(O34=1,Lookup!$F$13,N26+1)</f>
        <v>38808</v>
      </c>
      <c r="P25" s="20">
        <f>IF(P34=1,Lookup!$F$13,O26+1)</f>
        <v>38838</v>
      </c>
      <c r="Q25" s="20">
        <f>IF(Q34=1,Lookup!$F$13,P26+1)</f>
        <v>38869</v>
      </c>
      <c r="R25" s="20">
        <f>IF(R34=1,Lookup!$F$13,Q26+1)</f>
        <v>38899</v>
      </c>
      <c r="S25" s="20">
        <f>IF(S34=1,Lookup!$F$13,R26+1)</f>
        <v>38930</v>
      </c>
      <c r="T25" s="20">
        <f>IF(T34=1,Lookup!$F$13,S26+1)</f>
        <v>38961</v>
      </c>
      <c r="U25" s="20">
        <f>IF(U34=1,Lookup!$F$13,T26+1)</f>
        <v>38991</v>
      </c>
      <c r="V25" s="20">
        <f>IF(V34=1,Lookup!$F$13,U26+1)</f>
        <v>39022</v>
      </c>
      <c r="W25" s="20">
        <f>IF(W34=1,Lookup!$F$13,V26+1)</f>
        <v>39052</v>
      </c>
      <c r="X25" s="20">
        <f>IF(X34=1,Lookup!$F$13,W26+1)</f>
        <v>39083</v>
      </c>
    </row>
    <row r="26" spans="2:24" hidden="1" outlineLevel="1">
      <c r="B26" s="14" t="s">
        <v>16</v>
      </c>
      <c r="L26" s="20">
        <f t="shared" ref="L26:X26" si="3">EOMONTH(L25,L27-1)</f>
        <v>38748</v>
      </c>
      <c r="M26" s="20">
        <f t="shared" si="3"/>
        <v>38776</v>
      </c>
      <c r="N26" s="20">
        <f t="shared" si="3"/>
        <v>38807</v>
      </c>
      <c r="O26" s="20">
        <f t="shared" si="3"/>
        <v>38837</v>
      </c>
      <c r="P26" s="20">
        <f t="shared" si="3"/>
        <v>38868</v>
      </c>
      <c r="Q26" s="20">
        <f t="shared" si="3"/>
        <v>38898</v>
      </c>
      <c r="R26" s="20">
        <f t="shared" si="3"/>
        <v>38929</v>
      </c>
      <c r="S26" s="20">
        <f t="shared" si="3"/>
        <v>38960</v>
      </c>
      <c r="T26" s="20">
        <f t="shared" si="3"/>
        <v>38990</v>
      </c>
      <c r="U26" s="20">
        <f t="shared" si="3"/>
        <v>39021</v>
      </c>
      <c r="V26" s="20">
        <f t="shared" si="3"/>
        <v>39051</v>
      </c>
      <c r="W26" s="20">
        <f t="shared" si="3"/>
        <v>39082</v>
      </c>
      <c r="X26" s="20">
        <f t="shared" si="3"/>
        <v>39113</v>
      </c>
    </row>
    <row r="27" spans="2:24" hidden="1" outlineLevel="1">
      <c r="B27" s="14" t="s">
        <v>17</v>
      </c>
      <c r="L27" s="22">
        <f t="shared" ref="L27:X27" si="4">Mths_In_Mth</f>
        <v>1</v>
      </c>
      <c r="M27" s="22">
        <f t="shared" si="4"/>
        <v>1</v>
      </c>
      <c r="N27" s="22">
        <f t="shared" si="4"/>
        <v>1</v>
      </c>
      <c r="O27" s="22">
        <f t="shared" si="4"/>
        <v>1</v>
      </c>
      <c r="P27" s="22">
        <f t="shared" si="4"/>
        <v>1</v>
      </c>
      <c r="Q27" s="22">
        <f t="shared" si="4"/>
        <v>1</v>
      </c>
      <c r="R27" s="22">
        <f t="shared" si="4"/>
        <v>1</v>
      </c>
      <c r="S27" s="22">
        <f t="shared" si="4"/>
        <v>1</v>
      </c>
      <c r="T27" s="22">
        <f t="shared" si="4"/>
        <v>1</v>
      </c>
      <c r="U27" s="22">
        <f t="shared" si="4"/>
        <v>1</v>
      </c>
      <c r="V27" s="22">
        <f t="shared" si="4"/>
        <v>1</v>
      </c>
      <c r="W27" s="22">
        <f t="shared" si="4"/>
        <v>1</v>
      </c>
      <c r="X27" s="22">
        <f t="shared" si="4"/>
        <v>1</v>
      </c>
    </row>
    <row r="28" spans="2:24" hidden="1" outlineLevel="1">
      <c r="B28" s="14" t="s">
        <v>18</v>
      </c>
      <c r="L28" s="22">
        <f t="shared" ref="L28:X28" si="5">L26-L25+1</f>
        <v>31</v>
      </c>
      <c r="M28" s="22">
        <f t="shared" si="5"/>
        <v>28</v>
      </c>
      <c r="N28" s="22">
        <f t="shared" si="5"/>
        <v>31</v>
      </c>
      <c r="O28" s="22">
        <f t="shared" si="5"/>
        <v>30</v>
      </c>
      <c r="P28" s="22">
        <f t="shared" si="5"/>
        <v>31</v>
      </c>
      <c r="Q28" s="22">
        <f t="shared" si="5"/>
        <v>30</v>
      </c>
      <c r="R28" s="22">
        <f t="shared" si="5"/>
        <v>31</v>
      </c>
      <c r="S28" s="22">
        <f t="shared" si="5"/>
        <v>31</v>
      </c>
      <c r="T28" s="22">
        <f t="shared" si="5"/>
        <v>30</v>
      </c>
      <c r="U28" s="22">
        <f t="shared" si="5"/>
        <v>31</v>
      </c>
      <c r="V28" s="22">
        <f t="shared" si="5"/>
        <v>30</v>
      </c>
      <c r="W28" s="22">
        <f t="shared" si="5"/>
        <v>31</v>
      </c>
      <c r="X28" s="22">
        <f t="shared" si="5"/>
        <v>31</v>
      </c>
    </row>
    <row r="29" spans="2:24" hidden="1" outlineLevel="1">
      <c r="B29" s="14" t="s">
        <v>50</v>
      </c>
      <c r="L29" s="37">
        <f t="shared" ref="L29:X29" si="6">INT((L28-MOD(Fri-WEEKDAY(L25,2),Days_In_Wk)-1)/Days_In_Wk)+1</f>
        <v>4</v>
      </c>
      <c r="M29" s="37">
        <f t="shared" si="6"/>
        <v>4</v>
      </c>
      <c r="N29" s="37">
        <f t="shared" si="6"/>
        <v>5</v>
      </c>
      <c r="O29" s="37">
        <f t="shared" si="6"/>
        <v>4</v>
      </c>
      <c r="P29" s="37">
        <f t="shared" si="6"/>
        <v>4</v>
      </c>
      <c r="Q29" s="37">
        <f t="shared" si="6"/>
        <v>5</v>
      </c>
      <c r="R29" s="37">
        <f t="shared" si="6"/>
        <v>4</v>
      </c>
      <c r="S29" s="37">
        <f t="shared" si="6"/>
        <v>4</v>
      </c>
      <c r="T29" s="37">
        <f t="shared" si="6"/>
        <v>5</v>
      </c>
      <c r="U29" s="37">
        <f t="shared" si="6"/>
        <v>4</v>
      </c>
      <c r="V29" s="37">
        <f t="shared" si="6"/>
        <v>4</v>
      </c>
      <c r="W29" s="37">
        <f t="shared" si="6"/>
        <v>5</v>
      </c>
      <c r="X29" s="37">
        <f t="shared" si="6"/>
        <v>4</v>
      </c>
    </row>
    <row r="30" spans="2:24" hidden="1" outlineLevel="1">
      <c r="B30" s="14" t="s">
        <v>67</v>
      </c>
      <c r="L30" s="23">
        <f t="shared" ref="L30:X30" si="7">YEARFRAC(L25,L26+1,1)</f>
        <v>8.4931506849315067E-2</v>
      </c>
      <c r="M30" s="23">
        <f t="shared" si="7"/>
        <v>7.6712328767123292E-2</v>
      </c>
      <c r="N30" s="23">
        <f t="shared" si="7"/>
        <v>8.4931506849315067E-2</v>
      </c>
      <c r="O30" s="23">
        <f t="shared" si="7"/>
        <v>8.2191780821917804E-2</v>
      </c>
      <c r="P30" s="23">
        <f t="shared" si="7"/>
        <v>8.4931506849315067E-2</v>
      </c>
      <c r="Q30" s="23">
        <f t="shared" si="7"/>
        <v>8.2191780821917804E-2</v>
      </c>
      <c r="R30" s="23">
        <f t="shared" si="7"/>
        <v>8.4931506849315067E-2</v>
      </c>
      <c r="S30" s="23">
        <f t="shared" si="7"/>
        <v>8.4931506849315067E-2</v>
      </c>
      <c r="T30" s="23">
        <f t="shared" si="7"/>
        <v>8.2191780821917804E-2</v>
      </c>
      <c r="U30" s="23">
        <f t="shared" si="7"/>
        <v>8.4931506849315067E-2</v>
      </c>
      <c r="V30" s="23">
        <f t="shared" si="7"/>
        <v>8.2191780821917804E-2</v>
      </c>
      <c r="W30" s="23">
        <f t="shared" si="7"/>
        <v>8.4931506849315067E-2</v>
      </c>
      <c r="X30" s="23">
        <f t="shared" si="7"/>
        <v>8.4931506849315067E-2</v>
      </c>
    </row>
    <row r="31" spans="2:24" s="11" customFormat="1" hidden="1" outlineLevel="1">
      <c r="B31" s="14" t="s">
        <v>68</v>
      </c>
      <c r="L31" s="23">
        <f>IF(L34=1,L30,K31+L30)</f>
        <v>8.4931506849315067E-2</v>
      </c>
      <c r="M31" s="23">
        <f t="shared" ref="M31:X31" si="8">IF(M34=1,M30,L31+M30)</f>
        <v>0.16164383561643836</v>
      </c>
      <c r="N31" s="23">
        <f t="shared" si="8"/>
        <v>0.24657534246575341</v>
      </c>
      <c r="O31" s="23">
        <f t="shared" si="8"/>
        <v>0.32876712328767121</v>
      </c>
      <c r="P31" s="23">
        <f t="shared" si="8"/>
        <v>0.41369863013698627</v>
      </c>
      <c r="Q31" s="23">
        <f t="shared" si="8"/>
        <v>0.49589041095890407</v>
      </c>
      <c r="R31" s="23">
        <f t="shared" si="8"/>
        <v>0.58082191780821912</v>
      </c>
      <c r="S31" s="23">
        <f t="shared" si="8"/>
        <v>0.66575342465753418</v>
      </c>
      <c r="T31" s="23">
        <f t="shared" si="8"/>
        <v>0.74794520547945198</v>
      </c>
      <c r="U31" s="23">
        <f t="shared" si="8"/>
        <v>0.83287671232876703</v>
      </c>
      <c r="V31" s="23">
        <f t="shared" si="8"/>
        <v>0.91506849315068484</v>
      </c>
      <c r="W31" s="23">
        <f t="shared" si="8"/>
        <v>0.99999999999999989</v>
      </c>
      <c r="X31" s="23">
        <f t="shared" si="8"/>
        <v>1.0849315068493151</v>
      </c>
    </row>
    <row r="32" spans="2:24" s="11" customFormat="1" hidden="1" outlineLevel="1">
      <c r="B32" s="14" t="s">
        <v>562</v>
      </c>
      <c r="L32" s="37">
        <f t="shared" ref="L32:X32" si="9">EOMONTH(DATE(L23,1,1),11)-DATE(L23,1,1)+1</f>
        <v>365</v>
      </c>
      <c r="M32" s="37">
        <f t="shared" si="9"/>
        <v>365</v>
      </c>
      <c r="N32" s="37">
        <f t="shared" si="9"/>
        <v>365</v>
      </c>
      <c r="O32" s="37">
        <f t="shared" si="9"/>
        <v>365</v>
      </c>
      <c r="P32" s="37">
        <f t="shared" si="9"/>
        <v>365</v>
      </c>
      <c r="Q32" s="37">
        <f t="shared" si="9"/>
        <v>365</v>
      </c>
      <c r="R32" s="37">
        <f t="shared" si="9"/>
        <v>365</v>
      </c>
      <c r="S32" s="37">
        <f t="shared" si="9"/>
        <v>365</v>
      </c>
      <c r="T32" s="37">
        <f t="shared" si="9"/>
        <v>365</v>
      </c>
      <c r="U32" s="37">
        <f t="shared" si="9"/>
        <v>365</v>
      </c>
      <c r="V32" s="37">
        <f t="shared" si="9"/>
        <v>365</v>
      </c>
      <c r="W32" s="37">
        <f t="shared" si="9"/>
        <v>365</v>
      </c>
      <c r="X32" s="37">
        <f t="shared" si="9"/>
        <v>365</v>
      </c>
    </row>
    <row r="33" spans="2:24" s="11" customFormat="1" hidden="1" outlineLevel="1">
      <c r="B33" s="14" t="s">
        <v>94</v>
      </c>
      <c r="L33" s="37">
        <f>EOMONTH(DATE(L23,Lookup!$F$14+1,1),11)-DATE(L23,Lookup!$F$14+1,1)+1</f>
        <v>365</v>
      </c>
      <c r="M33" s="37">
        <f>EOMONTH(DATE(M23,Lookup!$F$14+1,1),11)-DATE(M23,Lookup!$F$14+1,1)+1</f>
        <v>365</v>
      </c>
      <c r="N33" s="37">
        <f>EOMONTH(DATE(N23,Lookup!$F$14+1,1),11)-DATE(N23,Lookup!$F$14+1,1)+1</f>
        <v>365</v>
      </c>
      <c r="O33" s="37">
        <f>EOMONTH(DATE(O23,Lookup!$F$14+1,1),11)-DATE(O23,Lookup!$F$14+1,1)+1</f>
        <v>365</v>
      </c>
      <c r="P33" s="37">
        <f>EOMONTH(DATE(P23,Lookup!$F$14+1,1),11)-DATE(P23,Lookup!$F$14+1,1)+1</f>
        <v>365</v>
      </c>
      <c r="Q33" s="37">
        <f>EOMONTH(DATE(Q23,Lookup!$F$14+1,1),11)-DATE(Q23,Lookup!$F$14+1,1)+1</f>
        <v>365</v>
      </c>
      <c r="R33" s="37">
        <f>EOMONTH(DATE(R23,Lookup!$F$14+1,1),11)-DATE(R23,Lookup!$F$14+1,1)+1</f>
        <v>365</v>
      </c>
      <c r="S33" s="37">
        <f>EOMONTH(DATE(S23,Lookup!$F$14+1,1),11)-DATE(S23,Lookup!$F$14+1,1)+1</f>
        <v>365</v>
      </c>
      <c r="T33" s="37">
        <f>EOMONTH(DATE(T23,Lookup!$F$14+1,1),11)-DATE(T23,Lookup!$F$14+1,1)+1</f>
        <v>365</v>
      </c>
      <c r="U33" s="37">
        <f>EOMONTH(DATE(U23,Lookup!$F$14+1,1),11)-DATE(U23,Lookup!$F$14+1,1)+1</f>
        <v>365</v>
      </c>
      <c r="V33" s="37">
        <f>EOMONTH(DATE(V23,Lookup!$F$14+1,1),11)-DATE(V23,Lookup!$F$14+1,1)+1</f>
        <v>365</v>
      </c>
      <c r="W33" s="37">
        <f>EOMONTH(DATE(W23,Lookup!$F$14+1,1),11)-DATE(W23,Lookup!$F$14+1,1)+1</f>
        <v>365</v>
      </c>
      <c r="X33" s="37">
        <f>EOMONTH(DATE(X23,Lookup!$F$14+1,1),11)-DATE(X23,Lookup!$F$14+1,1)+1</f>
        <v>366</v>
      </c>
    </row>
    <row r="34" spans="2:24" hidden="1" outlineLevel="1">
      <c r="B34" s="14" t="s">
        <v>19</v>
      </c>
      <c r="L34" s="22">
        <f t="shared" ref="L34:X34" si="10">K34+1</f>
        <v>1</v>
      </c>
      <c r="M34" s="22">
        <f t="shared" si="10"/>
        <v>2</v>
      </c>
      <c r="N34" s="22">
        <f t="shared" si="10"/>
        <v>3</v>
      </c>
      <c r="O34" s="22">
        <f t="shared" si="10"/>
        <v>4</v>
      </c>
      <c r="P34" s="22">
        <f t="shared" si="10"/>
        <v>5</v>
      </c>
      <c r="Q34" s="22">
        <f t="shared" si="10"/>
        <v>6</v>
      </c>
      <c r="R34" s="22">
        <f t="shared" si="10"/>
        <v>7</v>
      </c>
      <c r="S34" s="22">
        <f t="shared" si="10"/>
        <v>8</v>
      </c>
      <c r="T34" s="22">
        <f t="shared" si="10"/>
        <v>9</v>
      </c>
      <c r="U34" s="22">
        <f t="shared" si="10"/>
        <v>10</v>
      </c>
      <c r="V34" s="22">
        <f t="shared" si="10"/>
        <v>11</v>
      </c>
      <c r="W34" s="22">
        <f t="shared" si="10"/>
        <v>12</v>
      </c>
      <c r="X34" s="22">
        <f t="shared" si="10"/>
        <v>13</v>
      </c>
    </row>
    <row r="35" spans="2:24" s="11" customFormat="1" hidden="1" outlineLevel="1">
      <c r="B35" s="14" t="s">
        <v>61</v>
      </c>
      <c r="L35" s="22">
        <f>IF(L34=1,1,K35+CHOOSE(MONTH(L25),1,0,0,1,0,0,1,0,0,1,0,0))</f>
        <v>1</v>
      </c>
      <c r="M35" s="22">
        <f t="shared" ref="M35:X35" si="11">IF(M34=1,1,L35+CHOOSE(MONTH(M25),1,0,0,1,0,0,1,0,0,1,0,0))</f>
        <v>1</v>
      </c>
      <c r="N35" s="22">
        <f t="shared" si="11"/>
        <v>1</v>
      </c>
      <c r="O35" s="22">
        <f t="shared" si="11"/>
        <v>2</v>
      </c>
      <c r="P35" s="22">
        <f t="shared" si="11"/>
        <v>2</v>
      </c>
      <c r="Q35" s="22">
        <f t="shared" si="11"/>
        <v>2</v>
      </c>
      <c r="R35" s="22">
        <f t="shared" si="11"/>
        <v>3</v>
      </c>
      <c r="S35" s="22">
        <f t="shared" si="11"/>
        <v>3</v>
      </c>
      <c r="T35" s="22">
        <f t="shared" si="11"/>
        <v>3</v>
      </c>
      <c r="U35" s="22">
        <f t="shared" si="11"/>
        <v>4</v>
      </c>
      <c r="V35" s="22">
        <f t="shared" si="11"/>
        <v>4</v>
      </c>
      <c r="W35" s="22">
        <f t="shared" si="11"/>
        <v>4</v>
      </c>
      <c r="X35" s="22">
        <f t="shared" si="11"/>
        <v>5</v>
      </c>
    </row>
    <row r="36" spans="2:24" s="11" customFormat="1" hidden="1" outlineLevel="1">
      <c r="B36" s="14" t="s">
        <v>563</v>
      </c>
      <c r="L36" s="22">
        <f>IF(L34=1,1,K36+IF(L23&lt;&gt;K23,1,0))</f>
        <v>1</v>
      </c>
      <c r="M36" s="22">
        <f t="shared" ref="M36:X36" si="12">IF(M34=1,1,L36+IF(M23&lt;&gt;L23,1,0))</f>
        <v>1</v>
      </c>
      <c r="N36" s="22">
        <f t="shared" si="12"/>
        <v>1</v>
      </c>
      <c r="O36" s="22">
        <f t="shared" si="12"/>
        <v>1</v>
      </c>
      <c r="P36" s="22">
        <f t="shared" si="12"/>
        <v>1</v>
      </c>
      <c r="Q36" s="22">
        <f t="shared" si="12"/>
        <v>1</v>
      </c>
      <c r="R36" s="22">
        <f t="shared" si="12"/>
        <v>1</v>
      </c>
      <c r="S36" s="22">
        <f t="shared" si="12"/>
        <v>1</v>
      </c>
      <c r="T36" s="22">
        <f t="shared" si="12"/>
        <v>1</v>
      </c>
      <c r="U36" s="22">
        <f t="shared" si="12"/>
        <v>1</v>
      </c>
      <c r="V36" s="22">
        <f t="shared" si="12"/>
        <v>1</v>
      </c>
      <c r="W36" s="22">
        <f t="shared" si="12"/>
        <v>1</v>
      </c>
      <c r="X36" s="22">
        <f t="shared" si="12"/>
        <v>2</v>
      </c>
    </row>
    <row r="37" spans="2:24" s="11" customFormat="1" hidden="1" outlineLevel="1">
      <c r="B37" s="14" t="s">
        <v>62</v>
      </c>
      <c r="L37" s="22">
        <f>IF(L34=1,1,K37+IF(L24&lt;&gt;K24,1,0))</f>
        <v>1</v>
      </c>
      <c r="M37" s="22">
        <f t="shared" ref="M37:X37" si="13">IF(M34=1,1,L37+IF(M24&lt;&gt;L24,1,0))</f>
        <v>1</v>
      </c>
      <c r="N37" s="22">
        <f t="shared" si="13"/>
        <v>1</v>
      </c>
      <c r="O37" s="22">
        <f t="shared" si="13"/>
        <v>1</v>
      </c>
      <c r="P37" s="22">
        <f t="shared" si="13"/>
        <v>1</v>
      </c>
      <c r="Q37" s="22">
        <f t="shared" si="13"/>
        <v>1</v>
      </c>
      <c r="R37" s="22">
        <f t="shared" si="13"/>
        <v>1</v>
      </c>
      <c r="S37" s="22">
        <f t="shared" si="13"/>
        <v>1</v>
      </c>
      <c r="T37" s="22">
        <f t="shared" si="13"/>
        <v>1</v>
      </c>
      <c r="U37" s="22">
        <f t="shared" si="13"/>
        <v>1</v>
      </c>
      <c r="V37" s="22">
        <f t="shared" si="13"/>
        <v>1</v>
      </c>
      <c r="W37" s="22">
        <f t="shared" si="13"/>
        <v>1</v>
      </c>
      <c r="X37" s="22">
        <f t="shared" si="13"/>
        <v>2</v>
      </c>
    </row>
    <row r="38" spans="2:24" s="3" customFormat="1" hidden="1" outlineLevel="1">
      <c r="B38" s="17" t="s">
        <v>60</v>
      </c>
      <c r="L38" s="41" t="e">
        <f>CHOOSE(#REF!,L34,L35,L36,L37)</f>
        <v>#REF!</v>
      </c>
      <c r="M38" s="41" t="e">
        <f>CHOOSE(#REF!,M34,M35,M36,M37)</f>
        <v>#REF!</v>
      </c>
      <c r="N38" s="41" t="e">
        <f>CHOOSE(#REF!,N34,N35,N36,N37)</f>
        <v>#REF!</v>
      </c>
      <c r="O38" s="41" t="e">
        <f>CHOOSE(#REF!,O34,O35,O36,O37)</f>
        <v>#REF!</v>
      </c>
      <c r="P38" s="41" t="e">
        <f>CHOOSE(#REF!,P34,P35,P36,P37)</f>
        <v>#REF!</v>
      </c>
      <c r="Q38" s="41" t="e">
        <f>CHOOSE(#REF!,Q34,Q35,Q36,Q37)</f>
        <v>#REF!</v>
      </c>
      <c r="R38" s="41" t="e">
        <f>CHOOSE(#REF!,R34,R35,R36,R37)</f>
        <v>#REF!</v>
      </c>
      <c r="S38" s="41" t="e">
        <f>CHOOSE(#REF!,S34,S35,S36,S37)</f>
        <v>#REF!</v>
      </c>
      <c r="T38" s="41" t="e">
        <f>CHOOSE(#REF!,T34,T35,T36,T37)</f>
        <v>#REF!</v>
      </c>
      <c r="U38" s="41" t="e">
        <f>CHOOSE(#REF!,U34,U35,U36,U37)</f>
        <v>#REF!</v>
      </c>
      <c r="V38" s="41" t="e">
        <f>CHOOSE(#REF!,V34,V35,V36,V37)</f>
        <v>#REF!</v>
      </c>
      <c r="W38" s="41" t="e">
        <f>CHOOSE(#REF!,W34,W35,W36,W37)</f>
        <v>#REF!</v>
      </c>
      <c r="X38" s="41" t="e">
        <f>CHOOSE(#REF!,X34,X35,X36,X37)</f>
        <v>#REF!</v>
      </c>
    </row>
    <row r="39" spans="2:24" collapsed="1"/>
    <row r="40" spans="2:24" s="11" customFormat="1">
      <c r="B40" s="66" t="s">
        <v>24</v>
      </c>
    </row>
    <row r="41" spans="2:24" s="9" customFormat="1">
      <c r="B41" s="25" t="s">
        <v>14</v>
      </c>
      <c r="L41" s="26">
        <f t="shared" ref="L41:X41" si="14">L46</f>
        <v>38807</v>
      </c>
      <c r="M41" s="26">
        <f t="shared" si="14"/>
        <v>38898</v>
      </c>
      <c r="N41" s="26">
        <f t="shared" si="14"/>
        <v>38990</v>
      </c>
      <c r="O41" s="26">
        <f t="shared" si="14"/>
        <v>39082</v>
      </c>
      <c r="P41" s="26">
        <f t="shared" si="14"/>
        <v>39172</v>
      </c>
      <c r="Q41" s="26">
        <f t="shared" si="14"/>
        <v>39263</v>
      </c>
      <c r="R41" s="26">
        <f t="shared" si="14"/>
        <v>39355</v>
      </c>
      <c r="S41" s="26">
        <f t="shared" si="14"/>
        <v>39447</v>
      </c>
      <c r="T41" s="26">
        <f t="shared" si="14"/>
        <v>39538</v>
      </c>
      <c r="U41" s="26">
        <f t="shared" si="14"/>
        <v>39629</v>
      </c>
      <c r="V41" s="26">
        <f t="shared" si="14"/>
        <v>39721</v>
      </c>
      <c r="W41" s="26">
        <f t="shared" si="14"/>
        <v>39813</v>
      </c>
      <c r="X41" s="26">
        <f t="shared" si="14"/>
        <v>39903</v>
      </c>
    </row>
    <row r="42" spans="2:24" s="11" customFormat="1" hidden="1" outlineLevel="1">
      <c r="B42" s="15" t="str">
        <f t="shared" ref="B42:B57" si="15">B22</f>
        <v>Calendar Quarter and Year</v>
      </c>
      <c r="L42" s="19" t="str">
        <f t="shared" ref="L42:X42" si="16">CHOOSE(MONTH(L46),Qtr_1,Qtr_1,Qtr_1,Qtr_2,Qtr_2,Qtr_2,Qtr_3,Qtr_3,Qtr_3,Qtr_4,Qtr_4,Qtr_4)&amp;" "&amp;L43&amp;" "</f>
        <v xml:space="preserve">Q1 2006 </v>
      </c>
      <c r="M42" s="19" t="str">
        <f t="shared" si="16"/>
        <v xml:space="preserve">Q2 2006 </v>
      </c>
      <c r="N42" s="19" t="str">
        <f t="shared" si="16"/>
        <v xml:space="preserve">Q3 2006 </v>
      </c>
      <c r="O42" s="19" t="str">
        <f t="shared" si="16"/>
        <v xml:space="preserve">Q4 2006 </v>
      </c>
      <c r="P42" s="19" t="str">
        <f t="shared" si="16"/>
        <v xml:space="preserve">Q1 2007 </v>
      </c>
      <c r="Q42" s="19" t="str">
        <f t="shared" si="16"/>
        <v xml:space="preserve">Q2 2007 </v>
      </c>
      <c r="R42" s="19" t="str">
        <f t="shared" si="16"/>
        <v xml:space="preserve">Q3 2007 </v>
      </c>
      <c r="S42" s="19" t="str">
        <f t="shared" si="16"/>
        <v xml:space="preserve">Q4 2007 </v>
      </c>
      <c r="T42" s="19" t="str">
        <f t="shared" si="16"/>
        <v xml:space="preserve">Q1 2008 </v>
      </c>
      <c r="U42" s="19" t="str">
        <f t="shared" si="16"/>
        <v xml:space="preserve">Q2 2008 </v>
      </c>
      <c r="V42" s="19" t="str">
        <f t="shared" si="16"/>
        <v xml:space="preserve">Q3 2008 </v>
      </c>
      <c r="W42" s="19" t="str">
        <f t="shared" si="16"/>
        <v xml:space="preserve">Q4 2008 </v>
      </c>
      <c r="X42" s="19" t="str">
        <f t="shared" si="16"/>
        <v xml:space="preserve">Q1 2009 </v>
      </c>
    </row>
    <row r="43" spans="2:24" s="11" customFormat="1" hidden="1" outlineLevel="1">
      <c r="B43" s="15" t="str">
        <f t="shared" si="15"/>
        <v>Calendar Year</v>
      </c>
      <c r="L43" s="19">
        <f t="shared" ref="L43:X43" si="17">YEAR(L46)</f>
        <v>2006</v>
      </c>
      <c r="M43" s="19">
        <f t="shared" si="17"/>
        <v>2006</v>
      </c>
      <c r="N43" s="19">
        <f t="shared" si="17"/>
        <v>2006</v>
      </c>
      <c r="O43" s="19">
        <f t="shared" si="17"/>
        <v>2006</v>
      </c>
      <c r="P43" s="19">
        <f t="shared" si="17"/>
        <v>2007</v>
      </c>
      <c r="Q43" s="19">
        <f t="shared" si="17"/>
        <v>2007</v>
      </c>
      <c r="R43" s="19">
        <f t="shared" si="17"/>
        <v>2007</v>
      </c>
      <c r="S43" s="19">
        <f t="shared" si="17"/>
        <v>2007</v>
      </c>
      <c r="T43" s="19">
        <f t="shared" si="17"/>
        <v>2008</v>
      </c>
      <c r="U43" s="19">
        <f t="shared" si="17"/>
        <v>2008</v>
      </c>
      <c r="V43" s="19">
        <f t="shared" si="17"/>
        <v>2008</v>
      </c>
      <c r="W43" s="19">
        <f t="shared" si="17"/>
        <v>2008</v>
      </c>
      <c r="X43" s="19">
        <f t="shared" si="17"/>
        <v>2009</v>
      </c>
    </row>
    <row r="44" spans="2:24" s="11" customFormat="1" hidden="1" outlineLevel="1">
      <c r="B44" s="15" t="str">
        <f t="shared" si="15"/>
        <v>Financial Year</v>
      </c>
      <c r="L44" s="19">
        <f>L43+1*(Lookup!$F$14&lt;MONTH(L46))</f>
        <v>2006</v>
      </c>
      <c r="M44" s="19">
        <f>M43+1*(Lookup!$F$14&lt;MONTH(M46))</f>
        <v>2006</v>
      </c>
      <c r="N44" s="19">
        <f>N43+1*(Lookup!$F$14&lt;MONTH(N46))</f>
        <v>2006</v>
      </c>
      <c r="O44" s="19">
        <f>O43+1*(Lookup!$F$14&lt;MONTH(O46))</f>
        <v>2006</v>
      </c>
      <c r="P44" s="19">
        <f>P43+1*(Lookup!$F$14&lt;MONTH(P46))</f>
        <v>2007</v>
      </c>
      <c r="Q44" s="19">
        <f>Q43+1*(Lookup!$F$14&lt;MONTH(Q46))</f>
        <v>2007</v>
      </c>
      <c r="R44" s="19">
        <f>R43+1*(Lookup!$F$14&lt;MONTH(R46))</f>
        <v>2007</v>
      </c>
      <c r="S44" s="19">
        <f>S43+1*(Lookup!$F$14&lt;MONTH(S46))</f>
        <v>2007</v>
      </c>
      <c r="T44" s="19">
        <f>T43+1*(Lookup!$F$14&lt;MONTH(T46))</f>
        <v>2008</v>
      </c>
      <c r="U44" s="19">
        <f>U43+1*(Lookup!$F$14&lt;MONTH(U46))</f>
        <v>2008</v>
      </c>
      <c r="V44" s="19">
        <f>V43+1*(Lookup!$F$14&lt;MONTH(V46))</f>
        <v>2008</v>
      </c>
      <c r="W44" s="19">
        <f>W43+1*(Lookup!$F$14&lt;MONTH(W46))</f>
        <v>2008</v>
      </c>
      <c r="X44" s="19">
        <f>X43+1*(Lookup!$F$14&lt;MONTH(X46))</f>
        <v>2009</v>
      </c>
    </row>
    <row r="45" spans="2:24" s="11" customFormat="1" hidden="1" outlineLevel="1">
      <c r="B45" s="15" t="str">
        <f t="shared" si="15"/>
        <v>Period Start Date (From Start of Day...)</v>
      </c>
      <c r="L45" s="20">
        <f>IF(L54=1,Lookup!$F$13,K46+1)</f>
        <v>38718</v>
      </c>
      <c r="M45" s="20">
        <f>IF(M54=1,Lookup!$F$13,L46+1)</f>
        <v>38808</v>
      </c>
      <c r="N45" s="20">
        <f>IF(N54=1,Lookup!$F$13,M46+1)</f>
        <v>38899</v>
      </c>
      <c r="O45" s="20">
        <f>IF(O54=1,Lookup!$F$13,N46+1)</f>
        <v>38991</v>
      </c>
      <c r="P45" s="20">
        <f>IF(P54=1,Lookup!$F$13,O46+1)</f>
        <v>39083</v>
      </c>
      <c r="Q45" s="20">
        <f>IF(Q54=1,Lookup!$F$13,P46+1)</f>
        <v>39173</v>
      </c>
      <c r="R45" s="20">
        <f>IF(R54=1,Lookup!$F$13,Q46+1)</f>
        <v>39264</v>
      </c>
      <c r="S45" s="20">
        <f>IF(S54=1,Lookup!$F$13,R46+1)</f>
        <v>39356</v>
      </c>
      <c r="T45" s="20">
        <f>IF(T54=1,Lookup!$F$13,S46+1)</f>
        <v>39448</v>
      </c>
      <c r="U45" s="20">
        <f>IF(U54=1,Lookup!$F$13,T46+1)</f>
        <v>39539</v>
      </c>
      <c r="V45" s="20">
        <f>IF(V54=1,Lookup!$F$13,U46+1)</f>
        <v>39630</v>
      </c>
      <c r="W45" s="20">
        <f>IF(W54=1,Lookup!$F$13,V46+1)</f>
        <v>39722</v>
      </c>
      <c r="X45" s="20">
        <f>IF(X54=1,Lookup!$F$13,W46+1)</f>
        <v>39814</v>
      </c>
    </row>
    <row r="46" spans="2:24" s="11" customFormat="1" hidden="1" outlineLevel="1">
      <c r="B46" s="15" t="str">
        <f t="shared" si="15"/>
        <v>Period End Date (Until End of Day...)</v>
      </c>
      <c r="L46" s="20">
        <f t="shared" ref="L46:X46" si="18">EOMONTH(L45,L47-1)</f>
        <v>38807</v>
      </c>
      <c r="M46" s="20">
        <f t="shared" si="18"/>
        <v>38898</v>
      </c>
      <c r="N46" s="20">
        <f t="shared" si="18"/>
        <v>38990</v>
      </c>
      <c r="O46" s="20">
        <f t="shared" si="18"/>
        <v>39082</v>
      </c>
      <c r="P46" s="20">
        <f t="shared" si="18"/>
        <v>39172</v>
      </c>
      <c r="Q46" s="20">
        <f t="shared" si="18"/>
        <v>39263</v>
      </c>
      <c r="R46" s="20">
        <f t="shared" si="18"/>
        <v>39355</v>
      </c>
      <c r="S46" s="20">
        <f t="shared" si="18"/>
        <v>39447</v>
      </c>
      <c r="T46" s="20">
        <f t="shared" si="18"/>
        <v>39538</v>
      </c>
      <c r="U46" s="20">
        <f t="shared" si="18"/>
        <v>39629</v>
      </c>
      <c r="V46" s="20">
        <f t="shared" si="18"/>
        <v>39721</v>
      </c>
      <c r="W46" s="20">
        <f t="shared" si="18"/>
        <v>39813</v>
      </c>
      <c r="X46" s="20">
        <f t="shared" si="18"/>
        <v>39903</v>
      </c>
    </row>
    <row r="47" spans="2:24" s="11" customFormat="1" hidden="1" outlineLevel="1">
      <c r="B47" s="15" t="str">
        <f t="shared" si="15"/>
        <v>Months in Period</v>
      </c>
      <c r="L47" s="22">
        <f t="shared" ref="L47:X47" si="19">Mths_In_Qtr-IF(L54=1,INDEX(Mth_Count_In_Qtr,MONTH(L45))-1,0)</f>
        <v>3</v>
      </c>
      <c r="M47" s="22">
        <f t="shared" si="19"/>
        <v>3</v>
      </c>
      <c r="N47" s="22">
        <f t="shared" si="19"/>
        <v>3</v>
      </c>
      <c r="O47" s="22">
        <f t="shared" si="19"/>
        <v>3</v>
      </c>
      <c r="P47" s="22">
        <f t="shared" si="19"/>
        <v>3</v>
      </c>
      <c r="Q47" s="22">
        <f t="shared" si="19"/>
        <v>3</v>
      </c>
      <c r="R47" s="22">
        <f t="shared" si="19"/>
        <v>3</v>
      </c>
      <c r="S47" s="22">
        <f t="shared" si="19"/>
        <v>3</v>
      </c>
      <c r="T47" s="22">
        <f t="shared" si="19"/>
        <v>3</v>
      </c>
      <c r="U47" s="22">
        <f t="shared" si="19"/>
        <v>3</v>
      </c>
      <c r="V47" s="22">
        <f t="shared" si="19"/>
        <v>3</v>
      </c>
      <c r="W47" s="22">
        <f t="shared" si="19"/>
        <v>3</v>
      </c>
      <c r="X47" s="22">
        <f t="shared" si="19"/>
        <v>3</v>
      </c>
    </row>
    <row r="48" spans="2:24" s="11" customFormat="1" hidden="1" outlineLevel="1">
      <c r="B48" s="15" t="str">
        <f t="shared" si="15"/>
        <v>Days in Period</v>
      </c>
      <c r="L48" s="22">
        <f t="shared" ref="L48:X48" si="20">L46-L45+1</f>
        <v>90</v>
      </c>
      <c r="M48" s="22">
        <f t="shared" si="20"/>
        <v>91</v>
      </c>
      <c r="N48" s="22">
        <f t="shared" si="20"/>
        <v>92</v>
      </c>
      <c r="O48" s="22">
        <f t="shared" si="20"/>
        <v>92</v>
      </c>
      <c r="P48" s="22">
        <f t="shared" si="20"/>
        <v>90</v>
      </c>
      <c r="Q48" s="22">
        <f t="shared" si="20"/>
        <v>91</v>
      </c>
      <c r="R48" s="22">
        <f t="shared" si="20"/>
        <v>92</v>
      </c>
      <c r="S48" s="22">
        <f t="shared" si="20"/>
        <v>92</v>
      </c>
      <c r="T48" s="22">
        <f t="shared" si="20"/>
        <v>91</v>
      </c>
      <c r="U48" s="22">
        <f t="shared" si="20"/>
        <v>91</v>
      </c>
      <c r="V48" s="22">
        <f t="shared" si="20"/>
        <v>92</v>
      </c>
      <c r="W48" s="22">
        <f t="shared" si="20"/>
        <v>92</v>
      </c>
      <c r="X48" s="22">
        <f t="shared" si="20"/>
        <v>90</v>
      </c>
    </row>
    <row r="49" spans="2:24" s="11" customFormat="1" hidden="1" outlineLevel="1">
      <c r="B49" s="15" t="str">
        <f t="shared" si="15"/>
        <v>Fridays in Period</v>
      </c>
      <c r="L49" s="37">
        <f t="shared" ref="L49:X49" si="21">INT((L48-MOD(Fri-WEEKDAY(L45,2),Days_In_Wk)-1)/Days_In_Wk)+1</f>
        <v>13</v>
      </c>
      <c r="M49" s="37">
        <f t="shared" si="21"/>
        <v>13</v>
      </c>
      <c r="N49" s="37">
        <f t="shared" si="21"/>
        <v>13</v>
      </c>
      <c r="O49" s="37">
        <f t="shared" si="21"/>
        <v>13</v>
      </c>
      <c r="P49" s="37">
        <f t="shared" si="21"/>
        <v>13</v>
      </c>
      <c r="Q49" s="37">
        <f t="shared" si="21"/>
        <v>13</v>
      </c>
      <c r="R49" s="37">
        <f t="shared" si="21"/>
        <v>13</v>
      </c>
      <c r="S49" s="37">
        <f t="shared" si="21"/>
        <v>13</v>
      </c>
      <c r="T49" s="37">
        <f t="shared" si="21"/>
        <v>13</v>
      </c>
      <c r="U49" s="37">
        <f t="shared" si="21"/>
        <v>13</v>
      </c>
      <c r="V49" s="37">
        <f t="shared" si="21"/>
        <v>13</v>
      </c>
      <c r="W49" s="37">
        <f t="shared" si="21"/>
        <v>13</v>
      </c>
      <c r="X49" s="37">
        <f t="shared" si="21"/>
        <v>13</v>
      </c>
    </row>
    <row r="50" spans="2:24" s="11" customFormat="1" hidden="1" outlineLevel="1">
      <c r="B50" s="15" t="str">
        <f t="shared" si="15"/>
        <v>Year Fraction</v>
      </c>
      <c r="L50" s="23">
        <f t="shared" ref="L50:X50" si="22">YEARFRAC(L45,L46+1,1)</f>
        <v>0.24657534246575341</v>
      </c>
      <c r="M50" s="23">
        <f t="shared" si="22"/>
        <v>0.24931506849315069</v>
      </c>
      <c r="N50" s="23">
        <f t="shared" si="22"/>
        <v>0.25205479452054796</v>
      </c>
      <c r="O50" s="23">
        <f t="shared" si="22"/>
        <v>0.25205479452054796</v>
      </c>
      <c r="P50" s="23">
        <f t="shared" si="22"/>
        <v>0.24657534246575341</v>
      </c>
      <c r="Q50" s="23">
        <f t="shared" si="22"/>
        <v>0.24931506849315069</v>
      </c>
      <c r="R50" s="23">
        <f t="shared" si="22"/>
        <v>0.25205479452054796</v>
      </c>
      <c r="S50" s="23">
        <f t="shared" si="22"/>
        <v>0.25205479452054796</v>
      </c>
      <c r="T50" s="23">
        <f t="shared" si="22"/>
        <v>0.24863387978142076</v>
      </c>
      <c r="U50" s="23">
        <f t="shared" si="22"/>
        <v>0.24863387978142076</v>
      </c>
      <c r="V50" s="23">
        <f t="shared" si="22"/>
        <v>0.25136612021857924</v>
      </c>
      <c r="W50" s="23">
        <f t="shared" si="22"/>
        <v>0.25205479452054796</v>
      </c>
      <c r="X50" s="23">
        <f t="shared" si="22"/>
        <v>0.24657534246575341</v>
      </c>
    </row>
    <row r="51" spans="2:24" s="11" customFormat="1" hidden="1" outlineLevel="1">
      <c r="B51" s="15" t="str">
        <f t="shared" si="15"/>
        <v>Cumulative Year Fraction</v>
      </c>
      <c r="L51" s="23">
        <f>IF(L54=1,L50,K51+L50)</f>
        <v>0.24657534246575341</v>
      </c>
      <c r="M51" s="23">
        <f t="shared" ref="M51" si="23">IF(M54=1,M50,L51+M50)</f>
        <v>0.49589041095890407</v>
      </c>
      <c r="N51" s="23">
        <f t="shared" ref="N51" si="24">IF(N54=1,N50,M51+N50)</f>
        <v>0.74794520547945198</v>
      </c>
      <c r="O51" s="23">
        <f t="shared" ref="O51" si="25">IF(O54=1,O50,N51+O50)</f>
        <v>1</v>
      </c>
      <c r="P51" s="23">
        <f t="shared" ref="P51" si="26">IF(P54=1,P50,O51+P50)</f>
        <v>1.2465753424657535</v>
      </c>
      <c r="Q51" s="23">
        <f t="shared" ref="Q51" si="27">IF(Q54=1,Q50,P51+Q50)</f>
        <v>1.4958904109589042</v>
      </c>
      <c r="R51" s="23">
        <f t="shared" ref="R51" si="28">IF(R54=1,R50,Q51+R50)</f>
        <v>1.7479452054794522</v>
      </c>
      <c r="S51" s="23">
        <f t="shared" ref="S51" si="29">IF(S54=1,S50,R51+S50)</f>
        <v>2</v>
      </c>
      <c r="T51" s="23">
        <f t="shared" ref="T51" si="30">IF(T54=1,T50,S51+T50)</f>
        <v>2.2486338797814209</v>
      </c>
      <c r="U51" s="23">
        <f t="shared" ref="U51" si="31">IF(U54=1,U50,T51+U50)</f>
        <v>2.4972677595628419</v>
      </c>
      <c r="V51" s="23">
        <f t="shared" ref="V51" si="32">IF(V54=1,V50,U51+V50)</f>
        <v>2.7486338797814209</v>
      </c>
      <c r="W51" s="23">
        <f t="shared" ref="W51" si="33">IF(W54=1,W50,V51+W50)</f>
        <v>3.0006886743019687</v>
      </c>
      <c r="X51" s="23">
        <f t="shared" ref="X51" si="34">IF(X54=1,X50,W51+X50)</f>
        <v>3.2472640167677223</v>
      </c>
    </row>
    <row r="52" spans="2:24" s="11" customFormat="1" hidden="1" outlineLevel="1">
      <c r="B52" s="15" t="str">
        <f t="shared" si="15"/>
        <v>Days in Calendar Year</v>
      </c>
      <c r="L52" s="37">
        <f t="shared" ref="L52:X52" si="35">EOMONTH(DATE(L43,1,1),11)-DATE(L43,1,1)+1</f>
        <v>365</v>
      </c>
      <c r="M52" s="37">
        <f t="shared" si="35"/>
        <v>365</v>
      </c>
      <c r="N52" s="37">
        <f t="shared" si="35"/>
        <v>365</v>
      </c>
      <c r="O52" s="37">
        <f t="shared" si="35"/>
        <v>365</v>
      </c>
      <c r="P52" s="37">
        <f t="shared" si="35"/>
        <v>365</v>
      </c>
      <c r="Q52" s="37">
        <f t="shared" si="35"/>
        <v>365</v>
      </c>
      <c r="R52" s="37">
        <f t="shared" si="35"/>
        <v>365</v>
      </c>
      <c r="S52" s="37">
        <f t="shared" si="35"/>
        <v>365</v>
      </c>
      <c r="T52" s="37">
        <f t="shared" si="35"/>
        <v>366</v>
      </c>
      <c r="U52" s="37">
        <f t="shared" si="35"/>
        <v>366</v>
      </c>
      <c r="V52" s="37">
        <f t="shared" si="35"/>
        <v>366</v>
      </c>
      <c r="W52" s="37">
        <f t="shared" si="35"/>
        <v>366</v>
      </c>
      <c r="X52" s="37">
        <f t="shared" si="35"/>
        <v>365</v>
      </c>
    </row>
    <row r="53" spans="2:24" s="11" customFormat="1" hidden="1" outlineLevel="1">
      <c r="B53" s="15" t="str">
        <f t="shared" si="15"/>
        <v>Days in Financial Year</v>
      </c>
      <c r="L53" s="37">
        <f>EOMONTH(DATE(L43,Lookup!$F$14+1,1),11)-DATE(L43,Lookup!$F$14+1,1)+1</f>
        <v>365</v>
      </c>
      <c r="M53" s="37">
        <f>EOMONTH(DATE(M43,Lookup!$F$14+1,1),11)-DATE(M43,Lookup!$F$14+1,1)+1</f>
        <v>365</v>
      </c>
      <c r="N53" s="37">
        <f>EOMONTH(DATE(N43,Lookup!$F$14+1,1),11)-DATE(N43,Lookup!$F$14+1,1)+1</f>
        <v>365</v>
      </c>
      <c r="O53" s="37">
        <f>EOMONTH(DATE(O43,Lookup!$F$14+1,1),11)-DATE(O43,Lookup!$F$14+1,1)+1</f>
        <v>365</v>
      </c>
      <c r="P53" s="37">
        <f>EOMONTH(DATE(P43,Lookup!$F$14+1,1),11)-DATE(P43,Lookup!$F$14+1,1)+1</f>
        <v>366</v>
      </c>
      <c r="Q53" s="37">
        <f>EOMONTH(DATE(Q43,Lookup!$F$14+1,1),11)-DATE(Q43,Lookup!$F$14+1,1)+1</f>
        <v>366</v>
      </c>
      <c r="R53" s="37">
        <f>EOMONTH(DATE(R43,Lookup!$F$14+1,1),11)-DATE(R43,Lookup!$F$14+1,1)+1</f>
        <v>366</v>
      </c>
      <c r="S53" s="37">
        <f>EOMONTH(DATE(S43,Lookup!$F$14+1,1),11)-DATE(S43,Lookup!$F$14+1,1)+1</f>
        <v>366</v>
      </c>
      <c r="T53" s="37">
        <f>EOMONTH(DATE(T43,Lookup!$F$14+1,1),11)-DATE(T43,Lookup!$F$14+1,1)+1</f>
        <v>365</v>
      </c>
      <c r="U53" s="37">
        <f>EOMONTH(DATE(U43,Lookup!$F$14+1,1),11)-DATE(U43,Lookup!$F$14+1,1)+1</f>
        <v>365</v>
      </c>
      <c r="V53" s="37">
        <f>EOMONTH(DATE(V43,Lookup!$F$14+1,1),11)-DATE(V43,Lookup!$F$14+1,1)+1</f>
        <v>365</v>
      </c>
      <c r="W53" s="37">
        <f>EOMONTH(DATE(W43,Lookup!$F$14+1,1),11)-DATE(W43,Lookup!$F$14+1,1)+1</f>
        <v>365</v>
      </c>
      <c r="X53" s="37">
        <f>EOMONTH(DATE(X43,Lookup!$F$14+1,1),11)-DATE(X43,Lookup!$F$14+1,1)+1</f>
        <v>365</v>
      </c>
    </row>
    <row r="54" spans="2:24" s="11" customFormat="1" hidden="1" outlineLevel="1">
      <c r="B54" s="15" t="str">
        <f t="shared" si="15"/>
        <v>Counter</v>
      </c>
      <c r="L54" s="22">
        <f t="shared" ref="L54" si="36">K54+1</f>
        <v>1</v>
      </c>
      <c r="M54" s="22">
        <f t="shared" ref="M54" si="37">L54+1</f>
        <v>2</v>
      </c>
      <c r="N54" s="22">
        <f t="shared" ref="N54" si="38">M54+1</f>
        <v>3</v>
      </c>
      <c r="O54" s="22">
        <f t="shared" ref="O54" si="39">N54+1</f>
        <v>4</v>
      </c>
      <c r="P54" s="22">
        <f t="shared" ref="P54" si="40">O54+1</f>
        <v>5</v>
      </c>
      <c r="Q54" s="22">
        <f t="shared" ref="Q54" si="41">P54+1</f>
        <v>6</v>
      </c>
      <c r="R54" s="22">
        <f t="shared" ref="R54" si="42">Q54+1</f>
        <v>7</v>
      </c>
      <c r="S54" s="22">
        <f t="shared" ref="S54" si="43">R54+1</f>
        <v>8</v>
      </c>
      <c r="T54" s="22">
        <f t="shared" ref="T54" si="44">S54+1</f>
        <v>9</v>
      </c>
      <c r="U54" s="22">
        <f t="shared" ref="U54" si="45">T54+1</f>
        <v>10</v>
      </c>
      <c r="V54" s="22">
        <f t="shared" ref="V54" si="46">U54+1</f>
        <v>11</v>
      </c>
      <c r="W54" s="22">
        <f t="shared" ref="W54" si="47">V54+1</f>
        <v>12</v>
      </c>
      <c r="X54" s="22">
        <f t="shared" ref="X54" si="48">W54+1</f>
        <v>13</v>
      </c>
    </row>
    <row r="55" spans="2:24" s="11" customFormat="1" hidden="1" outlineLevel="1">
      <c r="B55" s="15" t="str">
        <f t="shared" si="15"/>
        <v>Quarter Counter</v>
      </c>
      <c r="L55" s="22">
        <f>L54</f>
        <v>1</v>
      </c>
      <c r="M55" s="22">
        <f t="shared" ref="M55:X55" si="49">M54</f>
        <v>2</v>
      </c>
      <c r="N55" s="22">
        <f t="shared" si="49"/>
        <v>3</v>
      </c>
      <c r="O55" s="22">
        <f t="shared" si="49"/>
        <v>4</v>
      </c>
      <c r="P55" s="22">
        <f t="shared" si="49"/>
        <v>5</v>
      </c>
      <c r="Q55" s="22">
        <f t="shared" si="49"/>
        <v>6</v>
      </c>
      <c r="R55" s="22">
        <f t="shared" si="49"/>
        <v>7</v>
      </c>
      <c r="S55" s="22">
        <f t="shared" si="49"/>
        <v>8</v>
      </c>
      <c r="T55" s="22">
        <f t="shared" si="49"/>
        <v>9</v>
      </c>
      <c r="U55" s="22">
        <f t="shared" si="49"/>
        <v>10</v>
      </c>
      <c r="V55" s="22">
        <f t="shared" si="49"/>
        <v>11</v>
      </c>
      <c r="W55" s="22">
        <f t="shared" si="49"/>
        <v>12</v>
      </c>
      <c r="X55" s="22">
        <f t="shared" si="49"/>
        <v>13</v>
      </c>
    </row>
    <row r="56" spans="2:24" s="11" customFormat="1" hidden="1" outlineLevel="1">
      <c r="B56" s="15" t="str">
        <f t="shared" si="15"/>
        <v>Calendar Year Counter</v>
      </c>
      <c r="L56" s="22">
        <f>IF(L54=1,1,K56+IF(L43&lt;&gt;K43,1,0))</f>
        <v>1</v>
      </c>
      <c r="M56" s="22">
        <f t="shared" ref="M56:X56" si="50">IF(M54=1,1,L56+IF(M43&lt;&gt;L43,1,0))</f>
        <v>1</v>
      </c>
      <c r="N56" s="22">
        <f t="shared" si="50"/>
        <v>1</v>
      </c>
      <c r="O56" s="22">
        <f t="shared" si="50"/>
        <v>1</v>
      </c>
      <c r="P56" s="22">
        <f t="shared" si="50"/>
        <v>2</v>
      </c>
      <c r="Q56" s="22">
        <f t="shared" si="50"/>
        <v>2</v>
      </c>
      <c r="R56" s="22">
        <f t="shared" si="50"/>
        <v>2</v>
      </c>
      <c r="S56" s="22">
        <f t="shared" si="50"/>
        <v>2</v>
      </c>
      <c r="T56" s="22">
        <f t="shared" si="50"/>
        <v>3</v>
      </c>
      <c r="U56" s="22">
        <f t="shared" si="50"/>
        <v>3</v>
      </c>
      <c r="V56" s="22">
        <f t="shared" si="50"/>
        <v>3</v>
      </c>
      <c r="W56" s="22">
        <f t="shared" si="50"/>
        <v>3</v>
      </c>
      <c r="X56" s="22">
        <f t="shared" si="50"/>
        <v>4</v>
      </c>
    </row>
    <row r="57" spans="2:24" s="11" customFormat="1" hidden="1" outlineLevel="1">
      <c r="B57" s="15" t="str">
        <f t="shared" si="15"/>
        <v>Financial Year Counter</v>
      </c>
      <c r="L57" s="22">
        <f>IF(L54=1,1,K57+IF(L44&lt;&gt;K44,1,0))</f>
        <v>1</v>
      </c>
      <c r="M57" s="22">
        <f t="shared" ref="M57:X57" si="51">IF(M54=1,1,L57+IF(M44&lt;&gt;L44,1,0))</f>
        <v>1</v>
      </c>
      <c r="N57" s="22">
        <f t="shared" si="51"/>
        <v>1</v>
      </c>
      <c r="O57" s="22">
        <f t="shared" si="51"/>
        <v>1</v>
      </c>
      <c r="P57" s="22">
        <f t="shared" si="51"/>
        <v>2</v>
      </c>
      <c r="Q57" s="22">
        <f t="shared" si="51"/>
        <v>2</v>
      </c>
      <c r="R57" s="22">
        <f t="shared" si="51"/>
        <v>2</v>
      </c>
      <c r="S57" s="22">
        <f t="shared" si="51"/>
        <v>2</v>
      </c>
      <c r="T57" s="22">
        <f t="shared" si="51"/>
        <v>3</v>
      </c>
      <c r="U57" s="22">
        <f t="shared" si="51"/>
        <v>3</v>
      </c>
      <c r="V57" s="22">
        <f t="shared" si="51"/>
        <v>3</v>
      </c>
      <c r="W57" s="22">
        <f t="shared" si="51"/>
        <v>3</v>
      </c>
      <c r="X57" s="22">
        <f t="shared" si="51"/>
        <v>4</v>
      </c>
    </row>
    <row r="58" spans="2:24" s="9" customFormat="1" hidden="1" outlineLevel="1">
      <c r="B58" s="27" t="str">
        <f t="shared" ref="B58" si="52">B38</f>
        <v>Dashboard Counter</v>
      </c>
      <c r="L58" s="41" t="e">
        <f>CHOOSE(#REF!,0,L55,L56,L57)</f>
        <v>#REF!</v>
      </c>
      <c r="M58" s="41" t="e">
        <f>CHOOSE(#REF!,0,M55,M56,M57)</f>
        <v>#REF!</v>
      </c>
      <c r="N58" s="41" t="e">
        <f>CHOOSE(#REF!,0,N55,N56,N57)</f>
        <v>#REF!</v>
      </c>
      <c r="O58" s="41" t="e">
        <f>CHOOSE(#REF!,0,O55,O56,O57)</f>
        <v>#REF!</v>
      </c>
      <c r="P58" s="41" t="e">
        <f>CHOOSE(#REF!,0,P55,P56,P57)</f>
        <v>#REF!</v>
      </c>
      <c r="Q58" s="41" t="e">
        <f>CHOOSE(#REF!,0,Q55,Q56,Q57)</f>
        <v>#REF!</v>
      </c>
      <c r="R58" s="41" t="e">
        <f>CHOOSE(#REF!,0,R55,R56,R57)</f>
        <v>#REF!</v>
      </c>
      <c r="S58" s="41" t="e">
        <f>CHOOSE(#REF!,0,S55,S56,S57)</f>
        <v>#REF!</v>
      </c>
      <c r="T58" s="41" t="e">
        <f>CHOOSE(#REF!,0,T55,T56,T57)</f>
        <v>#REF!</v>
      </c>
      <c r="U58" s="41" t="e">
        <f>CHOOSE(#REF!,0,U55,U56,U57)</f>
        <v>#REF!</v>
      </c>
      <c r="V58" s="41" t="e">
        <f>CHOOSE(#REF!,0,V55,V56,V57)</f>
        <v>#REF!</v>
      </c>
      <c r="W58" s="41" t="e">
        <f>CHOOSE(#REF!,0,W55,W56,W57)</f>
        <v>#REF!</v>
      </c>
      <c r="X58" s="41" t="e">
        <f>CHOOSE(#REF!,0,X55,X56,X57)</f>
        <v>#REF!</v>
      </c>
    </row>
    <row r="59" spans="2:24" s="11" customFormat="1" collapsed="1"/>
    <row r="60" spans="2:24" s="11" customFormat="1">
      <c r="B60" s="66" t="s">
        <v>90</v>
      </c>
    </row>
    <row r="61" spans="2:24" s="9" customFormat="1">
      <c r="B61" s="25" t="s">
        <v>14</v>
      </c>
      <c r="L61" s="26">
        <f t="shared" ref="L61:X61" si="53">L66</f>
        <v>39082</v>
      </c>
      <c r="M61" s="26">
        <f t="shared" si="53"/>
        <v>39447</v>
      </c>
      <c r="N61" s="26">
        <f t="shared" si="53"/>
        <v>39813</v>
      </c>
      <c r="O61" s="26">
        <f t="shared" si="53"/>
        <v>40178</v>
      </c>
      <c r="P61" s="26">
        <f t="shared" si="53"/>
        <v>40543</v>
      </c>
      <c r="Q61" s="26">
        <f t="shared" si="53"/>
        <v>40908</v>
      </c>
      <c r="R61" s="26">
        <f t="shared" si="53"/>
        <v>41274</v>
      </c>
      <c r="S61" s="26">
        <f t="shared" si="53"/>
        <v>41639</v>
      </c>
      <c r="T61" s="26">
        <f t="shared" si="53"/>
        <v>42004</v>
      </c>
      <c r="U61" s="26">
        <f t="shared" si="53"/>
        <v>42369</v>
      </c>
      <c r="V61" s="26">
        <f t="shared" si="53"/>
        <v>42735</v>
      </c>
      <c r="W61" s="26">
        <f t="shared" si="53"/>
        <v>43100</v>
      </c>
      <c r="X61" s="26">
        <f t="shared" si="53"/>
        <v>43465</v>
      </c>
    </row>
    <row r="62" spans="2:24" s="11" customFormat="1" hidden="1" outlineLevel="1">
      <c r="B62" s="15" t="str">
        <f t="shared" ref="B62:B77" si="54">B22</f>
        <v>Calendar Quarter and Year</v>
      </c>
      <c r="L62" s="19" t="str">
        <f t="shared" ref="L62:X62" si="55">CHOOSE(MONTH(L66),Qtr_1,Qtr_1,Qtr_1,Qtr_2,Qtr_2,Qtr_2,Qtr_3,Qtr_3,Qtr_3,Qtr_4,Qtr_4,Qtr_4)&amp;" "&amp;L63&amp;" "</f>
        <v xml:space="preserve">Q4 2006 </v>
      </c>
      <c r="M62" s="19" t="str">
        <f t="shared" si="55"/>
        <v xml:space="preserve">Q4 2007 </v>
      </c>
      <c r="N62" s="19" t="str">
        <f t="shared" si="55"/>
        <v xml:space="preserve">Q4 2008 </v>
      </c>
      <c r="O62" s="19" t="str">
        <f t="shared" si="55"/>
        <v xml:space="preserve">Q4 2009 </v>
      </c>
      <c r="P62" s="19" t="str">
        <f t="shared" si="55"/>
        <v xml:space="preserve">Q4 2010 </v>
      </c>
      <c r="Q62" s="19" t="str">
        <f t="shared" si="55"/>
        <v xml:space="preserve">Q4 2011 </v>
      </c>
      <c r="R62" s="19" t="str">
        <f t="shared" si="55"/>
        <v xml:space="preserve">Q4 2012 </v>
      </c>
      <c r="S62" s="19" t="str">
        <f t="shared" si="55"/>
        <v xml:space="preserve">Q4 2013 </v>
      </c>
      <c r="T62" s="19" t="str">
        <f t="shared" si="55"/>
        <v xml:space="preserve">Q4 2014 </v>
      </c>
      <c r="U62" s="19" t="str">
        <f t="shared" si="55"/>
        <v xml:space="preserve">Q4 2015 </v>
      </c>
      <c r="V62" s="19" t="str">
        <f t="shared" si="55"/>
        <v xml:space="preserve">Q4 2016 </v>
      </c>
      <c r="W62" s="19" t="str">
        <f t="shared" si="55"/>
        <v xml:space="preserve">Q4 2017 </v>
      </c>
      <c r="X62" s="19" t="str">
        <f t="shared" si="55"/>
        <v xml:space="preserve">Q4 2018 </v>
      </c>
    </row>
    <row r="63" spans="2:24" s="11" customFormat="1" hidden="1" outlineLevel="1">
      <c r="B63" s="15" t="str">
        <f t="shared" si="54"/>
        <v>Calendar Year</v>
      </c>
      <c r="L63" s="19">
        <f t="shared" ref="L63:X63" si="56">YEAR(L66)</f>
        <v>2006</v>
      </c>
      <c r="M63" s="19">
        <f t="shared" si="56"/>
        <v>2007</v>
      </c>
      <c r="N63" s="19">
        <f t="shared" si="56"/>
        <v>2008</v>
      </c>
      <c r="O63" s="19">
        <f t="shared" si="56"/>
        <v>2009</v>
      </c>
      <c r="P63" s="19">
        <f t="shared" si="56"/>
        <v>2010</v>
      </c>
      <c r="Q63" s="19">
        <f t="shared" si="56"/>
        <v>2011</v>
      </c>
      <c r="R63" s="19">
        <f t="shared" si="56"/>
        <v>2012</v>
      </c>
      <c r="S63" s="19">
        <f t="shared" si="56"/>
        <v>2013</v>
      </c>
      <c r="T63" s="19">
        <f t="shared" si="56"/>
        <v>2014</v>
      </c>
      <c r="U63" s="19">
        <f t="shared" si="56"/>
        <v>2015</v>
      </c>
      <c r="V63" s="19">
        <f t="shared" si="56"/>
        <v>2016</v>
      </c>
      <c r="W63" s="19">
        <f t="shared" si="56"/>
        <v>2017</v>
      </c>
      <c r="X63" s="19">
        <f t="shared" si="56"/>
        <v>2018</v>
      </c>
    </row>
    <row r="64" spans="2:24" s="11" customFormat="1" hidden="1" outlineLevel="1">
      <c r="B64" s="15" t="str">
        <f t="shared" si="54"/>
        <v>Financial Year</v>
      </c>
      <c r="L64" s="19">
        <f>L63+1*(Lookup!$F$14&lt;MONTH(L66))</f>
        <v>2006</v>
      </c>
      <c r="M64" s="19">
        <f>M63+1*(Lookup!$F$14&lt;MONTH(M66))</f>
        <v>2007</v>
      </c>
      <c r="N64" s="19">
        <f>N63+1*(Lookup!$F$14&lt;MONTH(N66))</f>
        <v>2008</v>
      </c>
      <c r="O64" s="19">
        <f>O63+1*(Lookup!$F$14&lt;MONTH(O66))</f>
        <v>2009</v>
      </c>
      <c r="P64" s="19">
        <f>P63+1*(Lookup!$F$14&lt;MONTH(P66))</f>
        <v>2010</v>
      </c>
      <c r="Q64" s="19">
        <f>Q63+1*(Lookup!$F$14&lt;MONTH(Q66))</f>
        <v>2011</v>
      </c>
      <c r="R64" s="19">
        <f>R63+1*(Lookup!$F$14&lt;MONTH(R66))</f>
        <v>2012</v>
      </c>
      <c r="S64" s="19">
        <f>S63+1*(Lookup!$F$14&lt;MONTH(S66))</f>
        <v>2013</v>
      </c>
      <c r="T64" s="19">
        <f>T63+1*(Lookup!$F$14&lt;MONTH(T66))</f>
        <v>2014</v>
      </c>
      <c r="U64" s="19">
        <f>U63+1*(Lookup!$F$14&lt;MONTH(U66))</f>
        <v>2015</v>
      </c>
      <c r="V64" s="19">
        <f>V63+1*(Lookup!$F$14&lt;MONTH(V66))</f>
        <v>2016</v>
      </c>
      <c r="W64" s="19">
        <f>W63+1*(Lookup!$F$14&lt;MONTH(W66))</f>
        <v>2017</v>
      </c>
      <c r="X64" s="19">
        <f>X63+1*(Lookup!$F$14&lt;MONTH(X66))</f>
        <v>2018</v>
      </c>
    </row>
    <row r="65" spans="2:24" s="11" customFormat="1" hidden="1" outlineLevel="1">
      <c r="B65" s="15" t="str">
        <f t="shared" si="54"/>
        <v>Period Start Date (From Start of Day...)</v>
      </c>
      <c r="L65" s="20">
        <f>IF(L74=1,Lookup!$F$13,K66+1)</f>
        <v>38718</v>
      </c>
      <c r="M65" s="20">
        <f>IF(M74=1,Lookup!$F$13,L66+1)</f>
        <v>39083</v>
      </c>
      <c r="N65" s="20">
        <f>IF(N74=1,Lookup!$F$13,M66+1)</f>
        <v>39448</v>
      </c>
      <c r="O65" s="20">
        <f>IF(O74=1,Lookup!$F$13,N66+1)</f>
        <v>39814</v>
      </c>
      <c r="P65" s="20">
        <f>IF(P74=1,Lookup!$F$13,O66+1)</f>
        <v>40179</v>
      </c>
      <c r="Q65" s="20">
        <f>IF(Q74=1,Lookup!$F$13,P66+1)</f>
        <v>40544</v>
      </c>
      <c r="R65" s="20">
        <f>IF(R74=1,Lookup!$F$13,Q66+1)</f>
        <v>40909</v>
      </c>
      <c r="S65" s="20">
        <f>IF(S74=1,Lookup!$F$13,R66+1)</f>
        <v>41275</v>
      </c>
      <c r="T65" s="20">
        <f>IF(T74=1,Lookup!$F$13,S66+1)</f>
        <v>41640</v>
      </c>
      <c r="U65" s="20">
        <f>IF(U74=1,Lookup!$F$13,T66+1)</f>
        <v>42005</v>
      </c>
      <c r="V65" s="20">
        <f>IF(V74=1,Lookup!$F$13,U66+1)</f>
        <v>42370</v>
      </c>
      <c r="W65" s="20">
        <f>IF(W74=1,Lookup!$F$13,V66+1)</f>
        <v>42736</v>
      </c>
      <c r="X65" s="20">
        <f>IF(X74=1,Lookup!$F$13,W66+1)</f>
        <v>43101</v>
      </c>
    </row>
    <row r="66" spans="2:24" s="11" customFormat="1" hidden="1" outlineLevel="1">
      <c r="B66" s="15" t="str">
        <f t="shared" si="54"/>
        <v>Period End Date (Until End of Day...)</v>
      </c>
      <c r="L66" s="20">
        <f t="shared" ref="L66:X66" si="57">EOMONTH(L65,L67-1)</f>
        <v>39082</v>
      </c>
      <c r="M66" s="20">
        <f t="shared" si="57"/>
        <v>39447</v>
      </c>
      <c r="N66" s="20">
        <f t="shared" si="57"/>
        <v>39813</v>
      </c>
      <c r="O66" s="20">
        <f t="shared" si="57"/>
        <v>40178</v>
      </c>
      <c r="P66" s="20">
        <f t="shared" si="57"/>
        <v>40543</v>
      </c>
      <c r="Q66" s="20">
        <f t="shared" si="57"/>
        <v>40908</v>
      </c>
      <c r="R66" s="20">
        <f t="shared" si="57"/>
        <v>41274</v>
      </c>
      <c r="S66" s="20">
        <f t="shared" si="57"/>
        <v>41639</v>
      </c>
      <c r="T66" s="20">
        <f t="shared" si="57"/>
        <v>42004</v>
      </c>
      <c r="U66" s="20">
        <f t="shared" si="57"/>
        <v>42369</v>
      </c>
      <c r="V66" s="20">
        <f t="shared" si="57"/>
        <v>42735</v>
      </c>
      <c r="W66" s="20">
        <f t="shared" si="57"/>
        <v>43100</v>
      </c>
      <c r="X66" s="20">
        <f t="shared" si="57"/>
        <v>43465</v>
      </c>
    </row>
    <row r="67" spans="2:24" s="11" customFormat="1" hidden="1" outlineLevel="1">
      <c r="B67" s="15" t="str">
        <f t="shared" si="54"/>
        <v>Months in Period</v>
      </c>
      <c r="L67" s="22">
        <f>IF(L74=1,Lookup!$F$14-MONTH(L65)+1+(Mths_In_Yr*(MONTH(L65)&gt;Lookup!$F$14)),Mths_In_Yr)</f>
        <v>12</v>
      </c>
      <c r="M67" s="22">
        <f>IF(M74=1,Lookup!$F$14-MONTH(M65)+1+(Mths_In_Yr*(MONTH(M65)&gt;Lookup!$F$14)),Mths_In_Yr)</f>
        <v>12</v>
      </c>
      <c r="N67" s="22">
        <f>IF(N74=1,Lookup!$F$14-MONTH(N65)+1+(Mths_In_Yr*(MONTH(N65)&gt;Lookup!$F$14)),Mths_In_Yr)</f>
        <v>12</v>
      </c>
      <c r="O67" s="22">
        <f>IF(O74=1,Lookup!$F$14-MONTH(O65)+1+(Mths_In_Yr*(MONTH(O65)&gt;Lookup!$F$14)),Mths_In_Yr)</f>
        <v>12</v>
      </c>
      <c r="P67" s="22">
        <f>IF(P74=1,Lookup!$F$14-MONTH(P65)+1+(Mths_In_Yr*(MONTH(P65)&gt;Lookup!$F$14)),Mths_In_Yr)</f>
        <v>12</v>
      </c>
      <c r="Q67" s="22">
        <f>IF(Q74=1,Lookup!$F$14-MONTH(Q65)+1+(Mths_In_Yr*(MONTH(Q65)&gt;Lookup!$F$14)),Mths_In_Yr)</f>
        <v>12</v>
      </c>
      <c r="R67" s="22">
        <f>IF(R74=1,Lookup!$F$14-MONTH(R65)+1+(Mths_In_Yr*(MONTH(R65)&gt;Lookup!$F$14)),Mths_In_Yr)</f>
        <v>12</v>
      </c>
      <c r="S67" s="22">
        <f>IF(S74=1,Lookup!$F$14-MONTH(S65)+1+(Mths_In_Yr*(MONTH(S65)&gt;Lookup!$F$14)),Mths_In_Yr)</f>
        <v>12</v>
      </c>
      <c r="T67" s="22">
        <f>IF(T74=1,Lookup!$F$14-MONTH(T65)+1+(Mths_In_Yr*(MONTH(T65)&gt;Lookup!$F$14)),Mths_In_Yr)</f>
        <v>12</v>
      </c>
      <c r="U67" s="22">
        <f>IF(U74=1,Lookup!$F$14-MONTH(U65)+1+(Mths_In_Yr*(MONTH(U65)&gt;Lookup!$F$14)),Mths_In_Yr)</f>
        <v>12</v>
      </c>
      <c r="V67" s="22">
        <f>IF(V74=1,Lookup!$F$14-MONTH(V65)+1+(Mths_In_Yr*(MONTH(V65)&gt;Lookup!$F$14)),Mths_In_Yr)</f>
        <v>12</v>
      </c>
      <c r="W67" s="22">
        <f>IF(W74=1,Lookup!$F$14-MONTH(W65)+1+(Mths_In_Yr*(MONTH(W65)&gt;Lookup!$F$14)),Mths_In_Yr)</f>
        <v>12</v>
      </c>
      <c r="X67" s="22">
        <f>IF(X74=1,Lookup!$F$14-MONTH(X65)+1+(Mths_In_Yr*(MONTH(X65)&gt;Lookup!$F$14)),Mths_In_Yr)</f>
        <v>12</v>
      </c>
    </row>
    <row r="68" spans="2:24" s="11" customFormat="1" hidden="1" outlineLevel="1">
      <c r="B68" s="15" t="str">
        <f t="shared" si="54"/>
        <v>Days in Period</v>
      </c>
      <c r="L68" s="22">
        <f t="shared" ref="L68:X68" si="58">L66-L65+1</f>
        <v>365</v>
      </c>
      <c r="M68" s="22">
        <f t="shared" si="58"/>
        <v>365</v>
      </c>
      <c r="N68" s="22">
        <f t="shared" si="58"/>
        <v>366</v>
      </c>
      <c r="O68" s="22">
        <f t="shared" si="58"/>
        <v>365</v>
      </c>
      <c r="P68" s="22">
        <f t="shared" si="58"/>
        <v>365</v>
      </c>
      <c r="Q68" s="22">
        <f t="shared" si="58"/>
        <v>365</v>
      </c>
      <c r="R68" s="22">
        <f t="shared" si="58"/>
        <v>366</v>
      </c>
      <c r="S68" s="22">
        <f t="shared" si="58"/>
        <v>365</v>
      </c>
      <c r="T68" s="22">
        <f t="shared" si="58"/>
        <v>365</v>
      </c>
      <c r="U68" s="22">
        <f t="shared" si="58"/>
        <v>365</v>
      </c>
      <c r="V68" s="22">
        <f t="shared" si="58"/>
        <v>366</v>
      </c>
      <c r="W68" s="22">
        <f t="shared" si="58"/>
        <v>365</v>
      </c>
      <c r="X68" s="22">
        <f t="shared" si="58"/>
        <v>365</v>
      </c>
    </row>
    <row r="69" spans="2:24" s="11" customFormat="1" hidden="1" outlineLevel="1">
      <c r="B69" s="15" t="str">
        <f t="shared" si="54"/>
        <v>Fridays in Period</v>
      </c>
      <c r="L69" s="37">
        <f t="shared" ref="L69:X69" si="59">INT((L68-MOD(Fri-WEEKDAY(L65,2),Days_In_Wk)-1)/Days_In_Wk)+1</f>
        <v>52</v>
      </c>
      <c r="M69" s="37">
        <f t="shared" si="59"/>
        <v>52</v>
      </c>
      <c r="N69" s="37">
        <f t="shared" si="59"/>
        <v>52</v>
      </c>
      <c r="O69" s="37">
        <f t="shared" si="59"/>
        <v>52</v>
      </c>
      <c r="P69" s="37">
        <f t="shared" si="59"/>
        <v>53</v>
      </c>
      <c r="Q69" s="37">
        <f t="shared" si="59"/>
        <v>52</v>
      </c>
      <c r="R69" s="37">
        <f t="shared" si="59"/>
        <v>52</v>
      </c>
      <c r="S69" s="37">
        <f t="shared" si="59"/>
        <v>52</v>
      </c>
      <c r="T69" s="37">
        <f t="shared" si="59"/>
        <v>52</v>
      </c>
      <c r="U69" s="37">
        <f t="shared" si="59"/>
        <v>52</v>
      </c>
      <c r="V69" s="37">
        <f t="shared" si="59"/>
        <v>53</v>
      </c>
      <c r="W69" s="37">
        <f t="shared" si="59"/>
        <v>52</v>
      </c>
      <c r="X69" s="37">
        <f t="shared" si="59"/>
        <v>52</v>
      </c>
    </row>
    <row r="70" spans="2:24" s="11" customFormat="1" hidden="1" outlineLevel="1">
      <c r="B70" s="15" t="str">
        <f t="shared" si="54"/>
        <v>Year Fraction</v>
      </c>
      <c r="L70" s="23">
        <f t="shared" ref="L70:X70" si="60">YEARFRAC(L65,L66+1,1)</f>
        <v>1</v>
      </c>
      <c r="M70" s="23">
        <f t="shared" si="60"/>
        <v>1</v>
      </c>
      <c r="N70" s="23">
        <f t="shared" si="60"/>
        <v>1</v>
      </c>
      <c r="O70" s="23">
        <f t="shared" si="60"/>
        <v>1</v>
      </c>
      <c r="P70" s="23">
        <f t="shared" si="60"/>
        <v>1</v>
      </c>
      <c r="Q70" s="23">
        <f t="shared" si="60"/>
        <v>1</v>
      </c>
      <c r="R70" s="23">
        <f t="shared" si="60"/>
        <v>1</v>
      </c>
      <c r="S70" s="23">
        <f t="shared" si="60"/>
        <v>1</v>
      </c>
      <c r="T70" s="23">
        <f t="shared" si="60"/>
        <v>1</v>
      </c>
      <c r="U70" s="23">
        <f t="shared" si="60"/>
        <v>1</v>
      </c>
      <c r="V70" s="23">
        <f t="shared" si="60"/>
        <v>1</v>
      </c>
      <c r="W70" s="23">
        <f t="shared" si="60"/>
        <v>1</v>
      </c>
      <c r="X70" s="23">
        <f t="shared" si="60"/>
        <v>1</v>
      </c>
    </row>
    <row r="71" spans="2:24" s="11" customFormat="1" hidden="1" outlineLevel="1">
      <c r="B71" s="15" t="str">
        <f t="shared" si="54"/>
        <v>Cumulative Year Fraction</v>
      </c>
      <c r="L71" s="23">
        <f>IF(L74=1,L70,K71+L70)</f>
        <v>1</v>
      </c>
      <c r="M71" s="23">
        <f t="shared" ref="M71" si="61">IF(M74=1,M70,L71+M70)</f>
        <v>2</v>
      </c>
      <c r="N71" s="23">
        <f t="shared" ref="N71" si="62">IF(N74=1,N70,M71+N70)</f>
        <v>3</v>
      </c>
      <c r="O71" s="23">
        <f t="shared" ref="O71" si="63">IF(O74=1,O70,N71+O70)</f>
        <v>4</v>
      </c>
      <c r="P71" s="23">
        <f t="shared" ref="P71" si="64">IF(P74=1,P70,O71+P70)</f>
        <v>5</v>
      </c>
      <c r="Q71" s="23">
        <f t="shared" ref="Q71" si="65">IF(Q74=1,Q70,P71+Q70)</f>
        <v>6</v>
      </c>
      <c r="R71" s="23">
        <f t="shared" ref="R71" si="66">IF(R74=1,R70,Q71+R70)</f>
        <v>7</v>
      </c>
      <c r="S71" s="23">
        <f t="shared" ref="S71" si="67">IF(S74=1,S70,R71+S70)</f>
        <v>8</v>
      </c>
      <c r="T71" s="23">
        <f t="shared" ref="T71" si="68">IF(T74=1,T70,S71+T70)</f>
        <v>9</v>
      </c>
      <c r="U71" s="23">
        <f t="shared" ref="U71" si="69">IF(U74=1,U70,T71+U70)</f>
        <v>10</v>
      </c>
      <c r="V71" s="23">
        <f t="shared" ref="V71" si="70">IF(V74=1,V70,U71+V70)</f>
        <v>11</v>
      </c>
      <c r="W71" s="23">
        <f t="shared" ref="W71" si="71">IF(W74=1,W70,V71+W70)</f>
        <v>12</v>
      </c>
      <c r="X71" s="23">
        <f t="shared" ref="X71" si="72">IF(X74=1,X70,W71+X70)</f>
        <v>13</v>
      </c>
    </row>
    <row r="72" spans="2:24" s="11" customFormat="1" hidden="1" outlineLevel="1">
      <c r="B72" s="15" t="str">
        <f t="shared" si="54"/>
        <v>Days in Calendar Year</v>
      </c>
      <c r="L72" s="37">
        <f t="shared" ref="L72:X72" si="73">EOMONTH(DATE(L63,1,1),11)-DATE(L63,1,1)+1</f>
        <v>365</v>
      </c>
      <c r="M72" s="37">
        <f t="shared" si="73"/>
        <v>365</v>
      </c>
      <c r="N72" s="37">
        <f t="shared" si="73"/>
        <v>366</v>
      </c>
      <c r="O72" s="37">
        <f t="shared" si="73"/>
        <v>365</v>
      </c>
      <c r="P72" s="37">
        <f t="shared" si="73"/>
        <v>365</v>
      </c>
      <c r="Q72" s="37">
        <f t="shared" si="73"/>
        <v>365</v>
      </c>
      <c r="R72" s="37">
        <f t="shared" si="73"/>
        <v>366</v>
      </c>
      <c r="S72" s="37">
        <f t="shared" si="73"/>
        <v>365</v>
      </c>
      <c r="T72" s="37">
        <f t="shared" si="73"/>
        <v>365</v>
      </c>
      <c r="U72" s="37">
        <f t="shared" si="73"/>
        <v>365</v>
      </c>
      <c r="V72" s="37">
        <f t="shared" si="73"/>
        <v>366</v>
      </c>
      <c r="W72" s="37">
        <f t="shared" si="73"/>
        <v>365</v>
      </c>
      <c r="X72" s="37">
        <f t="shared" si="73"/>
        <v>365</v>
      </c>
    </row>
    <row r="73" spans="2:24" s="11" customFormat="1" hidden="1" outlineLevel="1">
      <c r="B73" s="15" t="str">
        <f t="shared" si="54"/>
        <v>Days in Financial Year</v>
      </c>
      <c r="L73" s="37">
        <f>EOMONTH(DATE(L63,Lookup!$F$14+1,1),11)-DATE(L63,Lookup!$F$14+1,1)+1</f>
        <v>365</v>
      </c>
      <c r="M73" s="37">
        <f>EOMONTH(DATE(M63,Lookup!$F$14+1,1),11)-DATE(M63,Lookup!$F$14+1,1)+1</f>
        <v>366</v>
      </c>
      <c r="N73" s="37">
        <f>EOMONTH(DATE(N63,Lookup!$F$14+1,1),11)-DATE(N63,Lookup!$F$14+1,1)+1</f>
        <v>365</v>
      </c>
      <c r="O73" s="37">
        <f>EOMONTH(DATE(O63,Lookup!$F$14+1,1),11)-DATE(O63,Lookup!$F$14+1,1)+1</f>
        <v>365</v>
      </c>
      <c r="P73" s="37">
        <f>EOMONTH(DATE(P63,Lookup!$F$14+1,1),11)-DATE(P63,Lookup!$F$14+1,1)+1</f>
        <v>365</v>
      </c>
      <c r="Q73" s="37">
        <f>EOMONTH(DATE(Q63,Lookup!$F$14+1,1),11)-DATE(Q63,Lookup!$F$14+1,1)+1</f>
        <v>366</v>
      </c>
      <c r="R73" s="37">
        <f>EOMONTH(DATE(R63,Lookup!$F$14+1,1),11)-DATE(R63,Lookup!$F$14+1,1)+1</f>
        <v>365</v>
      </c>
      <c r="S73" s="37">
        <f>EOMONTH(DATE(S63,Lookup!$F$14+1,1),11)-DATE(S63,Lookup!$F$14+1,1)+1</f>
        <v>365</v>
      </c>
      <c r="T73" s="37">
        <f>EOMONTH(DATE(T63,Lookup!$F$14+1,1),11)-DATE(T63,Lookup!$F$14+1,1)+1</f>
        <v>365</v>
      </c>
      <c r="U73" s="37">
        <f>EOMONTH(DATE(U63,Lookup!$F$14+1,1),11)-DATE(U63,Lookup!$F$14+1,1)+1</f>
        <v>366</v>
      </c>
      <c r="V73" s="37">
        <f>EOMONTH(DATE(V63,Lookup!$F$14+1,1),11)-DATE(V63,Lookup!$F$14+1,1)+1</f>
        <v>365</v>
      </c>
      <c r="W73" s="37">
        <f>EOMONTH(DATE(W63,Lookup!$F$14+1,1),11)-DATE(W63,Lookup!$F$14+1,1)+1</f>
        <v>365</v>
      </c>
      <c r="X73" s="37">
        <f>EOMONTH(DATE(X63,Lookup!$F$14+1,1),11)-DATE(X63,Lookup!$F$14+1,1)+1</f>
        <v>365</v>
      </c>
    </row>
    <row r="74" spans="2:24" s="11" customFormat="1" hidden="1" outlineLevel="1">
      <c r="B74" s="15" t="str">
        <f t="shared" si="54"/>
        <v>Counter</v>
      </c>
      <c r="L74" s="22">
        <f t="shared" ref="L74" si="74">K74+1</f>
        <v>1</v>
      </c>
      <c r="M74" s="22">
        <f t="shared" ref="M74" si="75">L74+1</f>
        <v>2</v>
      </c>
      <c r="N74" s="22">
        <f t="shared" ref="N74" si="76">M74+1</f>
        <v>3</v>
      </c>
      <c r="O74" s="22">
        <f t="shared" ref="O74" si="77">N74+1</f>
        <v>4</v>
      </c>
      <c r="P74" s="22">
        <f t="shared" ref="P74" si="78">O74+1</f>
        <v>5</v>
      </c>
      <c r="Q74" s="22">
        <f t="shared" ref="Q74" si="79">P74+1</f>
        <v>6</v>
      </c>
      <c r="R74" s="22">
        <f t="shared" ref="R74" si="80">Q74+1</f>
        <v>7</v>
      </c>
      <c r="S74" s="22">
        <f t="shared" ref="S74" si="81">R74+1</f>
        <v>8</v>
      </c>
      <c r="T74" s="22">
        <f t="shared" ref="T74" si="82">S74+1</f>
        <v>9</v>
      </c>
      <c r="U74" s="22">
        <f t="shared" ref="U74" si="83">T74+1</f>
        <v>10</v>
      </c>
      <c r="V74" s="22">
        <f t="shared" ref="V74" si="84">U74+1</f>
        <v>11</v>
      </c>
      <c r="W74" s="22">
        <f t="shared" ref="W74" si="85">V74+1</f>
        <v>12</v>
      </c>
      <c r="X74" s="22">
        <f t="shared" ref="X74" si="86">W74+1</f>
        <v>13</v>
      </c>
    </row>
    <row r="75" spans="2:24" s="11" customFormat="1" hidden="1" outlineLevel="1">
      <c r="B75" s="15" t="str">
        <f t="shared" si="54"/>
        <v>Quarter Counter</v>
      </c>
      <c r="L75" s="22">
        <v>0</v>
      </c>
      <c r="M75" s="22">
        <v>0</v>
      </c>
      <c r="N75" s="22">
        <v>0</v>
      </c>
      <c r="O75" s="22">
        <v>0</v>
      </c>
      <c r="P75" s="22">
        <v>0</v>
      </c>
      <c r="Q75" s="22">
        <v>0</v>
      </c>
      <c r="R75" s="22">
        <v>0</v>
      </c>
      <c r="S75" s="22">
        <v>0</v>
      </c>
      <c r="T75" s="22">
        <v>0</v>
      </c>
      <c r="U75" s="22">
        <v>0</v>
      </c>
      <c r="V75" s="22">
        <v>0</v>
      </c>
      <c r="W75" s="22">
        <v>0</v>
      </c>
      <c r="X75" s="22">
        <v>0</v>
      </c>
    </row>
    <row r="76" spans="2:24" s="11" customFormat="1" hidden="1" outlineLevel="1">
      <c r="B76" s="15" t="str">
        <f t="shared" si="54"/>
        <v>Calendar Year Counter</v>
      </c>
      <c r="L76" s="22">
        <f>IF(AND(MONTH(L65)=1,DAY(L65)=1),IF(L74=1,1,K76+1),0)</f>
        <v>1</v>
      </c>
      <c r="M76" s="22">
        <f t="shared" ref="M76:X76" si="87">IF(AND(MONTH(M65)=1,DAY(M65)=1),IF(M74=1,1,L76+1),0)</f>
        <v>2</v>
      </c>
      <c r="N76" s="22">
        <f t="shared" si="87"/>
        <v>3</v>
      </c>
      <c r="O76" s="22">
        <f t="shared" si="87"/>
        <v>4</v>
      </c>
      <c r="P76" s="22">
        <f t="shared" si="87"/>
        <v>5</v>
      </c>
      <c r="Q76" s="22">
        <f t="shared" si="87"/>
        <v>6</v>
      </c>
      <c r="R76" s="22">
        <f t="shared" si="87"/>
        <v>7</v>
      </c>
      <c r="S76" s="22">
        <f t="shared" si="87"/>
        <v>8</v>
      </c>
      <c r="T76" s="22">
        <f t="shared" si="87"/>
        <v>9</v>
      </c>
      <c r="U76" s="22">
        <f t="shared" si="87"/>
        <v>10</v>
      </c>
      <c r="V76" s="22">
        <f t="shared" si="87"/>
        <v>11</v>
      </c>
      <c r="W76" s="22">
        <f t="shared" si="87"/>
        <v>12</v>
      </c>
      <c r="X76" s="22">
        <f t="shared" si="87"/>
        <v>13</v>
      </c>
    </row>
    <row r="77" spans="2:24" s="11" customFormat="1" hidden="1" outlineLevel="1">
      <c r="B77" s="15" t="str">
        <f t="shared" si="54"/>
        <v>Financial Year Counter</v>
      </c>
      <c r="L77" s="22">
        <f>IF(AND(MONTH(L65)=(Lookup!$F$15),DAY(L65)=1),IF(L74=1,1,K77+1),0)</f>
        <v>1</v>
      </c>
      <c r="M77" s="22">
        <f>IF(AND(MONTH(M65)=(Lookup!$F$15),DAY(M65)=1),IF(M74=1,1,L77+1),0)</f>
        <v>2</v>
      </c>
      <c r="N77" s="22">
        <f>IF(AND(MONTH(N65)=(Lookup!$F$15),DAY(N65)=1),IF(N74=1,1,M77+1),0)</f>
        <v>3</v>
      </c>
      <c r="O77" s="22">
        <f>IF(AND(MONTH(O65)=(Lookup!$F$15),DAY(O65)=1),IF(O74=1,1,N77+1),0)</f>
        <v>4</v>
      </c>
      <c r="P77" s="22">
        <f>IF(AND(MONTH(P65)=(Lookup!$F$15),DAY(P65)=1),IF(P74=1,1,O77+1),0)</f>
        <v>5</v>
      </c>
      <c r="Q77" s="22">
        <f>IF(AND(MONTH(Q65)=(Lookup!$F$15),DAY(Q65)=1),IF(Q74=1,1,P77+1),0)</f>
        <v>6</v>
      </c>
      <c r="R77" s="22">
        <f>IF(AND(MONTH(R65)=(Lookup!$F$15),DAY(R65)=1),IF(R74=1,1,Q77+1),0)</f>
        <v>7</v>
      </c>
      <c r="S77" s="22">
        <f>IF(AND(MONTH(S65)=(Lookup!$F$15),DAY(S65)=1),IF(S74=1,1,R77+1),0)</f>
        <v>8</v>
      </c>
      <c r="T77" s="22">
        <f>IF(AND(MONTH(T65)=(Lookup!$F$15),DAY(T65)=1),IF(T74=1,1,S77+1),0)</f>
        <v>9</v>
      </c>
      <c r="U77" s="22">
        <f>IF(AND(MONTH(U65)=(Lookup!$F$15),DAY(U65)=1),IF(U74=1,1,T77+1),0)</f>
        <v>10</v>
      </c>
      <c r="V77" s="22">
        <f>IF(AND(MONTH(V65)=(Lookup!$F$15),DAY(V65)=1),IF(V74=1,1,U77+1),0)</f>
        <v>11</v>
      </c>
      <c r="W77" s="22">
        <f>IF(AND(MONTH(W65)=(Lookup!$F$15),DAY(W65)=1),IF(W74=1,1,V77+1),0)</f>
        <v>12</v>
      </c>
      <c r="X77" s="22">
        <f>IF(AND(MONTH(X65)=(Lookup!$F$15),DAY(X65)=1),IF(X74=1,1,W77+1),0)</f>
        <v>13</v>
      </c>
    </row>
    <row r="78" spans="2:24" s="9" customFormat="1" hidden="1" outlineLevel="1">
      <c r="B78" s="27" t="str">
        <f t="shared" ref="B78" si="88">B38</f>
        <v>Dashboard Counter</v>
      </c>
      <c r="L78" s="41" t="e">
        <f>CHOOSE(#REF!,0,0,L76,L77)</f>
        <v>#REF!</v>
      </c>
      <c r="M78" s="41" t="e">
        <f>CHOOSE(#REF!,0,0,M76,M77)</f>
        <v>#REF!</v>
      </c>
      <c r="N78" s="41" t="e">
        <f>CHOOSE(#REF!,0,0,N76,N77)</f>
        <v>#REF!</v>
      </c>
      <c r="O78" s="41" t="e">
        <f>CHOOSE(#REF!,0,0,O76,O77)</f>
        <v>#REF!</v>
      </c>
      <c r="P78" s="41" t="e">
        <f>CHOOSE(#REF!,0,0,P76,P77)</f>
        <v>#REF!</v>
      </c>
      <c r="Q78" s="41" t="e">
        <f>CHOOSE(#REF!,0,0,Q76,Q77)</f>
        <v>#REF!</v>
      </c>
      <c r="R78" s="41" t="e">
        <f>CHOOSE(#REF!,0,0,R76,R77)</f>
        <v>#REF!</v>
      </c>
      <c r="S78" s="41" t="e">
        <f>CHOOSE(#REF!,0,0,S76,S77)</f>
        <v>#REF!</v>
      </c>
      <c r="T78" s="41" t="e">
        <f>CHOOSE(#REF!,0,0,T76,T77)</f>
        <v>#REF!</v>
      </c>
      <c r="U78" s="41" t="e">
        <f>CHOOSE(#REF!,0,0,U76,U77)</f>
        <v>#REF!</v>
      </c>
      <c r="V78" s="41" t="e">
        <f>CHOOSE(#REF!,0,0,V76,V77)</f>
        <v>#REF!</v>
      </c>
      <c r="W78" s="41" t="e">
        <f>CHOOSE(#REF!,0,0,W76,W77)</f>
        <v>#REF!</v>
      </c>
      <c r="X78" s="41" t="e">
        <f>CHOOSE(#REF!,0,0,X76,X77)</f>
        <v>#REF!</v>
      </c>
    </row>
    <row r="79" spans="2:24" s="11" customFormat="1" collapsed="1"/>
    <row r="80" spans="2:24">
      <c r="C80" s="12" t="s">
        <v>1</v>
      </c>
      <c r="E80" s="30" t="s">
        <v>2</v>
      </c>
    </row>
    <row r="81" spans="4:5">
      <c r="E81" s="34"/>
    </row>
    <row r="82" spans="4:5">
      <c r="D82" s="24">
        <v>1</v>
      </c>
      <c r="E82" s="35" t="s">
        <v>3</v>
      </c>
    </row>
    <row r="83" spans="4:5">
      <c r="D83" s="24">
        <v>3</v>
      </c>
      <c r="E83" s="35" t="s">
        <v>4</v>
      </c>
    </row>
    <row r="84" spans="4:5">
      <c r="D84" s="24">
        <v>12</v>
      </c>
      <c r="E84" s="35" t="s">
        <v>5</v>
      </c>
    </row>
    <row r="85" spans="4:5" s="11" customFormat="1">
      <c r="D85" s="24">
        <v>7</v>
      </c>
      <c r="E85" s="35" t="s">
        <v>51</v>
      </c>
    </row>
    <row r="86" spans="4:5">
      <c r="D86" s="24" t="s">
        <v>6</v>
      </c>
      <c r="E86" s="35" t="s">
        <v>10</v>
      </c>
    </row>
    <row r="87" spans="4:5">
      <c r="D87" s="24" t="s">
        <v>7</v>
      </c>
      <c r="E87" s="35" t="s">
        <v>11</v>
      </c>
    </row>
    <row r="88" spans="4:5">
      <c r="D88" s="24" t="s">
        <v>8</v>
      </c>
      <c r="E88" s="35" t="s">
        <v>12</v>
      </c>
    </row>
    <row r="89" spans="4:5">
      <c r="D89" s="24" t="s">
        <v>9</v>
      </c>
      <c r="E89" s="35" t="s">
        <v>13</v>
      </c>
    </row>
    <row r="90" spans="4:5" s="11" customFormat="1">
      <c r="D90" s="24">
        <v>0.5</v>
      </c>
      <c r="E90" s="35" t="s">
        <v>44</v>
      </c>
    </row>
    <row r="91" spans="4:5" s="11" customFormat="1">
      <c r="D91" s="24">
        <v>365</v>
      </c>
      <c r="E91" s="35" t="s">
        <v>437</v>
      </c>
    </row>
    <row r="92" spans="4:5" s="11" customFormat="1">
      <c r="D92" s="150">
        <v>100</v>
      </c>
      <c r="E92" s="35" t="s">
        <v>317</v>
      </c>
    </row>
    <row r="93" spans="4:5" s="11" customFormat="1">
      <c r="D93" s="150">
        <v>1000</v>
      </c>
      <c r="E93" s="35" t="s">
        <v>247</v>
      </c>
    </row>
    <row r="94" spans="4:5" s="11" customFormat="1">
      <c r="D94" s="150">
        <v>1000000</v>
      </c>
      <c r="E94" s="35" t="s">
        <v>248</v>
      </c>
    </row>
    <row r="95" spans="4:5" s="11" customFormat="1">
      <c r="D95" s="150" t="s">
        <v>251</v>
      </c>
      <c r="E95" s="35" t="s">
        <v>252</v>
      </c>
    </row>
    <row r="96" spans="4:5">
      <c r="D96" s="24" t="s">
        <v>27</v>
      </c>
      <c r="E96" s="35" t="s">
        <v>27</v>
      </c>
    </row>
    <row r="97" spans="3:5">
      <c r="D97" s="24" t="s">
        <v>28</v>
      </c>
      <c r="E97" s="35" t="s">
        <v>28</v>
      </c>
    </row>
    <row r="98" spans="3:5">
      <c r="E98" s="34"/>
    </row>
    <row r="99" spans="3:5" s="11" customFormat="1">
      <c r="C99" s="12" t="s">
        <v>1</v>
      </c>
      <c r="E99" s="30" t="s">
        <v>2</v>
      </c>
    </row>
    <row r="100" spans="3:5" s="11" customFormat="1">
      <c r="E100" s="35" t="s">
        <v>47</v>
      </c>
    </row>
    <row r="101" spans="3:5" s="11" customFormat="1">
      <c r="D101" s="24" t="s">
        <v>45</v>
      </c>
      <c r="E101" s="35" t="s">
        <v>45</v>
      </c>
    </row>
    <row r="102" spans="3:5" s="11" customFormat="1">
      <c r="D102" s="24" t="s">
        <v>46</v>
      </c>
      <c r="E102" s="35" t="s">
        <v>46</v>
      </c>
    </row>
    <row r="103" spans="3:5" s="11" customFormat="1">
      <c r="E103" s="34"/>
    </row>
    <row r="104" spans="3:5">
      <c r="C104" s="12" t="s">
        <v>21</v>
      </c>
      <c r="E104" s="30" t="s">
        <v>2</v>
      </c>
    </row>
    <row r="105" spans="3:5">
      <c r="E105" s="35" t="s">
        <v>26</v>
      </c>
    </row>
    <row r="106" spans="3:5">
      <c r="D106" s="24" t="s">
        <v>23</v>
      </c>
    </row>
    <row r="107" spans="3:5">
      <c r="D107" s="24" t="s">
        <v>24</v>
      </c>
    </row>
    <row r="108" spans="3:5">
      <c r="D108" s="24" t="s">
        <v>25</v>
      </c>
    </row>
    <row r="110" spans="3:5" s="11" customFormat="1">
      <c r="C110" s="12" t="s">
        <v>64</v>
      </c>
      <c r="E110" s="30" t="s">
        <v>2</v>
      </c>
    </row>
    <row r="111" spans="3:5" s="11" customFormat="1">
      <c r="E111" s="35" t="s">
        <v>66</v>
      </c>
    </row>
    <row r="112" spans="3:5" s="11" customFormat="1">
      <c r="D112" s="24" t="s">
        <v>23</v>
      </c>
    </row>
    <row r="113" spans="3:5" s="11" customFormat="1">
      <c r="D113" s="24" t="s">
        <v>24</v>
      </c>
    </row>
    <row r="114" spans="3:5" s="11" customFormat="1">
      <c r="D114" s="24" t="s">
        <v>564</v>
      </c>
    </row>
    <row r="115" spans="3:5" s="11" customFormat="1">
      <c r="D115" s="24" t="s">
        <v>65</v>
      </c>
    </row>
    <row r="116" spans="3:5" s="11" customFormat="1">
      <c r="D116" s="42"/>
    </row>
    <row r="117" spans="3:5" s="11" customFormat="1">
      <c r="C117" s="12" t="s">
        <v>30</v>
      </c>
    </row>
    <row r="118" spans="3:5" s="11" customFormat="1"/>
    <row r="119" spans="3:5" s="11" customFormat="1">
      <c r="D119" s="30" t="s">
        <v>95</v>
      </c>
      <c r="E119" s="30" t="s">
        <v>49</v>
      </c>
    </row>
    <row r="120" spans="3:5" s="11" customFormat="1">
      <c r="D120" s="24" t="s">
        <v>31</v>
      </c>
      <c r="E120" s="24">
        <v>1</v>
      </c>
    </row>
    <row r="121" spans="3:5" s="11" customFormat="1">
      <c r="D121" s="24" t="s">
        <v>32</v>
      </c>
      <c r="E121" s="24">
        <v>2</v>
      </c>
    </row>
    <row r="122" spans="3:5" s="11" customFormat="1">
      <c r="D122" s="24" t="s">
        <v>33</v>
      </c>
      <c r="E122" s="24">
        <v>3</v>
      </c>
    </row>
    <row r="123" spans="3:5" s="11" customFormat="1">
      <c r="D123" s="24" t="s">
        <v>34</v>
      </c>
      <c r="E123" s="33">
        <f>E120</f>
        <v>1</v>
      </c>
    </row>
    <row r="124" spans="3:5" s="11" customFormat="1">
      <c r="D124" s="24" t="s">
        <v>35</v>
      </c>
      <c r="E124" s="33">
        <f t="shared" ref="E124:E131" si="89">E121</f>
        <v>2</v>
      </c>
    </row>
    <row r="125" spans="3:5" s="11" customFormat="1">
      <c r="D125" s="24" t="s">
        <v>36</v>
      </c>
      <c r="E125" s="33">
        <f t="shared" si="89"/>
        <v>3</v>
      </c>
    </row>
    <row r="126" spans="3:5" s="11" customFormat="1">
      <c r="D126" s="24" t="s">
        <v>37</v>
      </c>
      <c r="E126" s="33">
        <f t="shared" si="89"/>
        <v>1</v>
      </c>
    </row>
    <row r="127" spans="3:5" s="11" customFormat="1">
      <c r="D127" s="24" t="s">
        <v>38</v>
      </c>
      <c r="E127" s="33">
        <f t="shared" si="89"/>
        <v>2</v>
      </c>
    </row>
    <row r="128" spans="3:5" s="11" customFormat="1">
      <c r="D128" s="24" t="s">
        <v>39</v>
      </c>
      <c r="E128" s="33">
        <f t="shared" si="89"/>
        <v>3</v>
      </c>
    </row>
    <row r="129" spans="2:15" s="11" customFormat="1">
      <c r="D129" s="24" t="s">
        <v>40</v>
      </c>
      <c r="E129" s="33">
        <f t="shared" si="89"/>
        <v>1</v>
      </c>
    </row>
    <row r="130" spans="2:15" s="11" customFormat="1">
      <c r="D130" s="24" t="s">
        <v>41</v>
      </c>
      <c r="E130" s="33">
        <f t="shared" si="89"/>
        <v>2</v>
      </c>
    </row>
    <row r="131" spans="2:15" s="11" customFormat="1">
      <c r="D131" s="24" t="s">
        <v>42</v>
      </c>
      <c r="E131" s="33">
        <f t="shared" si="89"/>
        <v>3</v>
      </c>
    </row>
    <row r="132" spans="2:15" s="11" customFormat="1"/>
    <row r="133" spans="2:15">
      <c r="B133" s="11"/>
      <c r="C133" s="12" t="s">
        <v>52</v>
      </c>
      <c r="D133" s="11"/>
      <c r="E133" s="30" t="s">
        <v>2</v>
      </c>
      <c r="F133" s="11"/>
      <c r="G133" s="11"/>
      <c r="J133" s="11"/>
      <c r="K133" s="11"/>
      <c r="L133" s="11"/>
      <c r="M133" s="11"/>
      <c r="N133" s="11"/>
      <c r="O133" s="11"/>
    </row>
    <row r="134" spans="2:15">
      <c r="B134" s="11"/>
      <c r="C134" s="11"/>
      <c r="D134" s="30"/>
      <c r="E134" s="11"/>
      <c r="F134" s="11"/>
      <c r="G134" s="11"/>
      <c r="J134" s="11"/>
      <c r="K134" s="11"/>
      <c r="L134" s="11"/>
      <c r="M134" s="11"/>
      <c r="N134" s="11"/>
      <c r="O134" s="11"/>
    </row>
    <row r="135" spans="2:15">
      <c r="B135" s="11"/>
      <c r="C135" s="11"/>
      <c r="D135" s="24">
        <v>1</v>
      </c>
      <c r="E135" s="35" t="s">
        <v>54</v>
      </c>
      <c r="F135" s="11"/>
      <c r="G135" s="11"/>
    </row>
    <row r="136" spans="2:15">
      <c r="B136" s="11"/>
      <c r="C136" s="11"/>
      <c r="D136" s="24">
        <v>2</v>
      </c>
      <c r="E136" s="35" t="s">
        <v>55</v>
      </c>
      <c r="F136" s="11"/>
      <c r="G136" s="11"/>
    </row>
    <row r="137" spans="2:15">
      <c r="C137" s="11"/>
      <c r="D137" s="24">
        <v>3</v>
      </c>
      <c r="E137" s="35" t="s">
        <v>56</v>
      </c>
      <c r="F137" s="11"/>
      <c r="G137" s="11"/>
    </row>
    <row r="138" spans="2:15">
      <c r="C138" s="11"/>
      <c r="D138" s="24">
        <v>4</v>
      </c>
      <c r="E138" s="35" t="s">
        <v>57</v>
      </c>
      <c r="F138" s="11"/>
      <c r="G138" s="11"/>
    </row>
    <row r="139" spans="2:15">
      <c r="C139" s="11"/>
      <c r="D139" s="24">
        <v>5</v>
      </c>
      <c r="E139" s="35" t="s">
        <v>53</v>
      </c>
    </row>
    <row r="140" spans="2:15">
      <c r="C140" s="11"/>
      <c r="D140" s="24">
        <v>6</v>
      </c>
      <c r="E140" s="35" t="s">
        <v>58</v>
      </c>
    </row>
    <row r="141" spans="2:15">
      <c r="C141" s="11"/>
      <c r="D141" s="24">
        <v>7</v>
      </c>
      <c r="E141" s="35" t="s">
        <v>59</v>
      </c>
    </row>
    <row r="142" spans="2:15">
      <c r="E142" s="11"/>
    </row>
    <row r="143" spans="2:15">
      <c r="C143" s="12" t="s">
        <v>167</v>
      </c>
      <c r="D143" s="11"/>
      <c r="E143" s="30" t="s">
        <v>2</v>
      </c>
    </row>
    <row r="144" spans="2:15">
      <c r="C144" s="11"/>
      <c r="D144" s="30"/>
      <c r="E144" s="108" t="s">
        <v>168</v>
      </c>
    </row>
    <row r="145" spans="3:5">
      <c r="C145" s="11"/>
      <c r="D145" s="24" t="s">
        <v>172</v>
      </c>
    </row>
    <row r="146" spans="3:5">
      <c r="C146" s="11"/>
      <c r="D146" s="33" t="str">
        <f>LEFT(D145,4)+1&amp;"/"&amp;RIGHT(LEFT(D145,4)+2,2)</f>
        <v>2018/19</v>
      </c>
    </row>
    <row r="147" spans="3:5">
      <c r="C147" s="11"/>
      <c r="D147" s="33" t="str">
        <f t="shared" ref="D147:D151" si="90">LEFT(D146,4)+1&amp;"/"&amp;RIGHT(LEFT(D146,4)+2,2)</f>
        <v>2019/20</v>
      </c>
    </row>
    <row r="148" spans="3:5">
      <c r="C148" s="11"/>
      <c r="D148" s="33" t="str">
        <f t="shared" si="90"/>
        <v>2020/21</v>
      </c>
    </row>
    <row r="149" spans="3:5">
      <c r="C149" s="11"/>
      <c r="D149" s="33" t="str">
        <f t="shared" si="90"/>
        <v>2021/22</v>
      </c>
    </row>
    <row r="150" spans="3:5">
      <c r="D150" s="33" t="str">
        <f t="shared" si="90"/>
        <v>2022/23</v>
      </c>
    </row>
    <row r="151" spans="3:5">
      <c r="D151" s="33" t="str">
        <f t="shared" si="90"/>
        <v>2023/24</v>
      </c>
    </row>
    <row r="153" spans="3:5">
      <c r="C153" s="12" t="s">
        <v>302</v>
      </c>
      <c r="E153" s="30" t="s">
        <v>2</v>
      </c>
    </row>
    <row r="154" spans="3:5">
      <c r="E154" s="108" t="s">
        <v>301</v>
      </c>
    </row>
    <row r="155" spans="3:5">
      <c r="D155" s="24" t="s">
        <v>173</v>
      </c>
    </row>
    <row r="156" spans="3:5">
      <c r="D156" s="24" t="s">
        <v>174</v>
      </c>
    </row>
    <row r="158" spans="3:5">
      <c r="C158" s="73" t="s">
        <v>299</v>
      </c>
      <c r="D158" s="11"/>
      <c r="E158" s="30" t="s">
        <v>2</v>
      </c>
    </row>
    <row r="159" spans="3:5">
      <c r="C159" s="11"/>
      <c r="D159" s="11"/>
      <c r="E159" s="108" t="s">
        <v>300</v>
      </c>
    </row>
    <row r="160" spans="3:5">
      <c r="C160" s="11"/>
      <c r="D160" s="33" t="str">
        <f>Calc_Cost_of_Supply!F$8</f>
        <v>Residential</v>
      </c>
      <c r="E160" s="11"/>
    </row>
    <row r="161" spans="3:5">
      <c r="C161" s="11"/>
      <c r="D161" s="33" t="str">
        <f>Calc_Cost_of_Supply!G$8</f>
        <v>Non-residential</v>
      </c>
      <c r="E161" s="11"/>
    </row>
    <row r="162" spans="3:5">
      <c r="D162" s="33" t="str">
        <f>Calc_Cost_of_Supply!H$8</f>
        <v>Unmetered SL</v>
      </c>
    </row>
    <row r="163" spans="3:5">
      <c r="D163" s="33" t="str">
        <f>Calc_Cost_of_Supply!I$8</f>
        <v>Unmetered TL</v>
      </c>
    </row>
    <row r="164" spans="3:5">
      <c r="D164" s="33" t="str">
        <f>Calc_Cost_of_Supply!J$8</f>
        <v>LV Smart</v>
      </c>
    </row>
    <row r="165" spans="3:5">
      <c r="D165" s="33" t="str">
        <f>Calc_Cost_of_Supply!K$8</f>
        <v xml:space="preserve"> &gt;750 LV</v>
      </c>
    </row>
    <row r="166" spans="3:5">
      <c r="D166" s="33" t="str">
        <f>Calc_Cost_of_Supply!L$8</f>
        <v>HV</v>
      </c>
    </row>
    <row r="168" spans="3:5">
      <c r="C168" s="73" t="s">
        <v>333</v>
      </c>
      <c r="D168" s="11"/>
      <c r="E168" s="30" t="s">
        <v>2</v>
      </c>
    </row>
    <row r="169" spans="3:5">
      <c r="C169" s="11"/>
      <c r="D169" s="11"/>
      <c r="E169" s="108" t="s">
        <v>334</v>
      </c>
    </row>
    <row r="170" spans="3:5">
      <c r="C170" s="11"/>
      <c r="D170" s="24" t="s">
        <v>190</v>
      </c>
      <c r="E170" s="11"/>
    </row>
    <row r="171" spans="3:5">
      <c r="C171" s="11"/>
      <c r="D171" s="24" t="s">
        <v>191</v>
      </c>
      <c r="E171" s="11"/>
    </row>
    <row r="172" spans="3:5">
      <c r="C172" s="11"/>
      <c r="D172" s="24" t="s">
        <v>192</v>
      </c>
      <c r="E172" s="11"/>
    </row>
    <row r="173" spans="3:5">
      <c r="C173" s="11"/>
      <c r="D173" s="24" t="s">
        <v>193</v>
      </c>
      <c r="E173" s="11"/>
    </row>
    <row r="174" spans="3:5">
      <c r="C174" s="11"/>
      <c r="D174" s="24" t="s">
        <v>185</v>
      </c>
      <c r="E174" s="11"/>
    </row>
    <row r="175" spans="3:5" s="11" customFormat="1">
      <c r="D175" s="24" t="s">
        <v>194</v>
      </c>
    </row>
    <row r="176" spans="3:5">
      <c r="C176" s="11"/>
      <c r="D176" s="24" t="s">
        <v>251</v>
      </c>
      <c r="E176" s="11"/>
    </row>
    <row r="178" spans="3:5">
      <c r="C178" s="73" t="s">
        <v>337</v>
      </c>
      <c r="E178" s="30" t="s">
        <v>2</v>
      </c>
    </row>
    <row r="179" spans="3:5">
      <c r="E179" s="108" t="s">
        <v>340</v>
      </c>
    </row>
    <row r="180" spans="3:5">
      <c r="D180" s="24" t="s">
        <v>330</v>
      </c>
    </row>
    <row r="181" spans="3:5">
      <c r="D181" s="24" t="s">
        <v>331</v>
      </c>
    </row>
    <row r="182" spans="3:5">
      <c r="D182" s="24" t="s">
        <v>338</v>
      </c>
    </row>
    <row r="183" spans="3:5" s="11" customFormat="1">
      <c r="D183" s="24" t="s">
        <v>339</v>
      </c>
    </row>
    <row r="184" spans="3:5">
      <c r="D184" s="24" t="s">
        <v>251</v>
      </c>
    </row>
  </sheetData>
  <conditionalFormatting sqref="B2">
    <cfRule type="cellIs" dxfId="3" priority="1" operator="notEqual">
      <formula>"No Errors Found"</formula>
    </cfRule>
  </conditionalFormatting>
  <dataValidations disablePrompts="1" count="3">
    <dataValidation type="whole" allowBlank="1" showInputMessage="1" showErrorMessage="1" promptTitle="Periodicity" prompt="1=Monthly_x000a_2=Quarterly_x000a_3=Yearly" sqref="F11" xr:uid="{00000000-0002-0000-0F00-000000000000}">
      <formula1>1</formula1>
      <formula2>ROWS(D82:D84)</formula2>
    </dataValidation>
    <dataValidation type="whole" allowBlank="1" showInputMessage="1" showErrorMessage="1" promptTitle="Calander Month" prompt="1=January_x000a_2=February_x000a_3=March_x000a_4=April_x000a_5=May_x000a_6=June_x000a_7=July_x000a_8=August_x000a_9=September_x000a_10=October_x000a_11=November_x000a_12=December" sqref="F14" xr:uid="{00000000-0002-0000-0F00-000001000000}">
      <formula1>1</formula1>
      <formula2>ROWS($D$120:$D$131)</formula2>
    </dataValidation>
    <dataValidation allowBlank="1" showInputMessage="1" showErrorMessage="1" promptTitle="Start Date" prompt="This should be the first day of the first period. _x000a_Monthly: 1/3/2011_x000a_Quarterly: 1/4/2011_x000a_Yearly: 1/1/2011" sqref="F13" xr:uid="{00000000-0002-0000-0F00-000002000000}"/>
  </dataValidations>
  <hyperlinks>
    <hyperlink ref="B4" location="'ToC'!$A$1" tooltip="Go To Table of Contents" display="='ToC'!B1"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sheetPr>
  <dimension ref="A1:XFD31"/>
  <sheetViews>
    <sheetView showGridLines="0" workbookViewId="0">
      <pane xSplit="6" ySplit="4" topLeftCell="G5" activePane="bottomRight" state="frozen"/>
      <selection activeCell="D155" sqref="D155"/>
      <selection pane="topRight" activeCell="D155" sqref="D155"/>
      <selection pane="bottomLeft" activeCell="D155" sqref="D155"/>
      <selection pane="bottomRight" activeCell="G5" sqref="G5"/>
    </sheetView>
  </sheetViews>
  <sheetFormatPr defaultRowHeight="12.9"/>
  <cols>
    <col min="1" max="3" width="2.703125" customWidth="1"/>
    <col min="4" max="4" width="25.703125" customWidth="1"/>
    <col min="5" max="7" width="3.703125" customWidth="1"/>
  </cols>
  <sheetData>
    <row r="1" spans="1:16384" ht="20.399999999999999">
      <c r="A1" s="11"/>
      <c r="B1" s="8" t="s">
        <v>75</v>
      </c>
      <c r="C1" s="11"/>
      <c r="D1" s="11"/>
      <c r="E1" s="11"/>
      <c r="F1" s="11"/>
      <c r="G1" s="11"/>
      <c r="H1" s="11"/>
      <c r="I1" s="11"/>
    </row>
    <row r="2" spans="1:16384" s="13" customFormat="1">
      <c r="A2" s="11"/>
      <c r="B2" s="28" t="str">
        <f>Title_Msg</f>
        <v>No Errors Found</v>
      </c>
      <c r="C2" s="11"/>
      <c r="D2" s="11"/>
      <c r="E2" s="11"/>
      <c r="F2" s="11"/>
      <c r="G2" s="11"/>
      <c r="H2" s="11"/>
      <c r="I2" s="11"/>
    </row>
    <row r="3" spans="1:16384" s="11" customFormat="1">
      <c r="B3" s="65" t="str">
        <f>Model_Name</f>
        <v>Power and Water Corporation (PWC) Network Pricing Model</v>
      </c>
    </row>
    <row r="4" spans="1:16384" s="13" customFormat="1">
      <c r="A4" s="11"/>
      <c r="B4" s="337" t="str">
        <f>TOC!$B$1</f>
        <v>Table of Contents</v>
      </c>
      <c r="C4" s="11"/>
      <c r="D4" s="11"/>
      <c r="E4" s="11"/>
      <c r="F4" s="11"/>
      <c r="G4" s="11"/>
      <c r="H4" s="11"/>
      <c r="I4" s="11"/>
    </row>
    <row r="5" spans="1:16384">
      <c r="A5" s="11"/>
      <c r="B5" s="44"/>
      <c r="C5" s="11"/>
      <c r="D5" s="11"/>
      <c r="E5" s="11"/>
      <c r="F5" s="11"/>
      <c r="G5" s="11"/>
      <c r="H5" s="11"/>
      <c r="I5" s="11"/>
    </row>
    <row r="6" spans="1:16384" s="13" customFormat="1">
      <c r="A6" s="11"/>
      <c r="B6" s="44"/>
      <c r="C6" s="11"/>
      <c r="D6" s="11"/>
      <c r="E6" s="11"/>
      <c r="F6" s="11"/>
      <c r="G6" s="11"/>
      <c r="H6" s="11"/>
      <c r="I6" s="11"/>
    </row>
    <row r="7" spans="1:16384" s="7" customFormat="1" ht="15.6">
      <c r="B7" s="7" t="s">
        <v>77</v>
      </c>
    </row>
    <row r="8" spans="1:16384" s="13" customFormat="1">
      <c r="A8" s="11"/>
      <c r="B8" s="44"/>
      <c r="C8" s="11"/>
      <c r="D8" s="11"/>
      <c r="E8" s="11"/>
      <c r="F8" s="11"/>
      <c r="G8" s="11"/>
      <c r="H8" s="11"/>
      <c r="I8" s="11"/>
    </row>
    <row r="9" spans="1:16384" s="13" customFormat="1">
      <c r="A9" s="11"/>
      <c r="D9" s="14" t="s">
        <v>76</v>
      </c>
      <c r="E9" s="11"/>
      <c r="F9" s="11"/>
      <c r="G9" s="11"/>
      <c r="H9" s="15" t="str">
        <f>IF(H29=0,"No Errors Found","Errors Found")</f>
        <v>No Errors Found</v>
      </c>
      <c r="I9" s="11"/>
    </row>
    <row r="10" spans="1:16384" s="13" customFormat="1">
      <c r="A10" s="11"/>
      <c r="D10" s="14" t="s">
        <v>78</v>
      </c>
      <c r="E10" s="11"/>
      <c r="F10" s="11"/>
      <c r="G10" s="11"/>
      <c r="H10" s="14"/>
      <c r="I10" s="11"/>
    </row>
    <row r="11" spans="1:16384" s="13" customFormat="1">
      <c r="A11" s="11"/>
      <c r="D11" s="14" t="s">
        <v>79</v>
      </c>
      <c r="E11" s="11"/>
      <c r="F11" s="11"/>
      <c r="G11" s="11"/>
      <c r="H11" s="47" t="str">
        <f>H9&amp;IF(H10="","",", " &amp;H10)</f>
        <v>No Errors Found</v>
      </c>
      <c r="I11" s="11"/>
    </row>
    <row r="12" spans="1:16384" s="13" customFormat="1">
      <c r="A12" s="11"/>
      <c r="B12" s="44"/>
      <c r="C12" s="11"/>
      <c r="D12" s="11"/>
      <c r="E12" s="11"/>
      <c r="F12" s="11"/>
      <c r="G12" s="11"/>
      <c r="H12" s="11"/>
      <c r="I12" s="11"/>
    </row>
    <row r="13" spans="1:16384" s="13" customFormat="1">
      <c r="A13" s="11"/>
      <c r="B13" s="44"/>
      <c r="C13" s="11"/>
      <c r="D13" s="11"/>
      <c r="E13" s="11"/>
      <c r="F13" s="11"/>
      <c r="G13" s="11"/>
      <c r="H13" s="11"/>
      <c r="I13" s="11"/>
    </row>
    <row r="14" spans="1:16384" s="7" customFormat="1" ht="15.6">
      <c r="B14" s="7" t="s">
        <v>48</v>
      </c>
    </row>
    <row r="15" spans="1:16384" s="43" customFormat="1" ht="15.6">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c r="WVB15" s="11"/>
      <c r="WVC15" s="11"/>
      <c r="WVD15" s="11"/>
      <c r="WVE15" s="11"/>
      <c r="WVF15" s="11"/>
      <c r="WVG15" s="11"/>
      <c r="WVH15" s="11"/>
      <c r="WVI15" s="11"/>
      <c r="WVJ15" s="11"/>
      <c r="WVK15" s="11"/>
      <c r="WVL15" s="11"/>
      <c r="WVM15" s="11"/>
      <c r="WVN15" s="11"/>
      <c r="WVO15" s="11"/>
      <c r="WVP15" s="11"/>
      <c r="WVQ15" s="11"/>
      <c r="WVR15" s="11"/>
      <c r="WVS15" s="11"/>
      <c r="WVT15" s="11"/>
      <c r="WVU15" s="11"/>
      <c r="WVV15" s="11"/>
      <c r="WVW15" s="11"/>
      <c r="WVX15" s="11"/>
      <c r="WVY15" s="11"/>
      <c r="WVZ15" s="11"/>
      <c r="WWA15" s="11"/>
      <c r="WWB15" s="11"/>
      <c r="WWC15" s="11"/>
      <c r="WWD15" s="11"/>
      <c r="WWE15" s="11"/>
      <c r="WWF15" s="11"/>
      <c r="WWG15" s="11"/>
      <c r="WWH15" s="11"/>
      <c r="WWI15" s="11"/>
      <c r="WWJ15" s="11"/>
      <c r="WWK15" s="11"/>
      <c r="WWL15" s="11"/>
      <c r="WWM15" s="11"/>
      <c r="WWN15" s="11"/>
      <c r="WWO15" s="11"/>
      <c r="WWP15" s="11"/>
      <c r="WWQ15" s="11"/>
      <c r="WWR15" s="11"/>
      <c r="WWS15" s="11"/>
      <c r="WWT15" s="11"/>
      <c r="WWU15" s="11"/>
      <c r="WWV15" s="11"/>
      <c r="WWW15" s="11"/>
      <c r="WWX15" s="11"/>
      <c r="WWY15" s="11"/>
      <c r="WWZ15" s="11"/>
      <c r="WXA15" s="11"/>
      <c r="WXB15" s="11"/>
      <c r="WXC15" s="11"/>
      <c r="WXD15" s="11"/>
      <c r="WXE15" s="11"/>
      <c r="WXF15" s="11"/>
      <c r="WXG15" s="11"/>
      <c r="WXH15" s="11"/>
      <c r="WXI15" s="11"/>
      <c r="WXJ15" s="11"/>
      <c r="WXK15" s="11"/>
      <c r="WXL15" s="11"/>
      <c r="WXM15" s="11"/>
      <c r="WXN15" s="11"/>
      <c r="WXO15" s="11"/>
      <c r="WXP15" s="11"/>
      <c r="WXQ15" s="11"/>
      <c r="WXR15" s="11"/>
      <c r="WXS15" s="11"/>
      <c r="WXT15" s="11"/>
      <c r="WXU15" s="11"/>
      <c r="WXV15" s="11"/>
      <c r="WXW15" s="11"/>
      <c r="WXX15" s="11"/>
      <c r="WXY15" s="11"/>
      <c r="WXZ15" s="11"/>
      <c r="WYA15" s="11"/>
      <c r="WYB15" s="11"/>
      <c r="WYC15" s="11"/>
      <c r="WYD15" s="11"/>
      <c r="WYE15" s="11"/>
      <c r="WYF15" s="11"/>
      <c r="WYG15" s="11"/>
      <c r="WYH15" s="11"/>
      <c r="WYI15" s="11"/>
      <c r="WYJ15" s="11"/>
      <c r="WYK15" s="11"/>
      <c r="WYL15" s="11"/>
      <c r="WYM15" s="11"/>
      <c r="WYN15" s="11"/>
      <c r="WYO15" s="11"/>
      <c r="WYP15" s="11"/>
      <c r="WYQ15" s="11"/>
      <c r="WYR15" s="11"/>
      <c r="WYS15" s="11"/>
      <c r="WYT15" s="11"/>
      <c r="WYU15" s="11"/>
      <c r="WYV15" s="11"/>
      <c r="WYW15" s="11"/>
      <c r="WYX15" s="11"/>
      <c r="WYY15" s="11"/>
      <c r="WYZ15" s="11"/>
      <c r="WZA15" s="11"/>
      <c r="WZB15" s="11"/>
      <c r="WZC15" s="11"/>
      <c r="WZD15" s="11"/>
      <c r="WZE15" s="11"/>
      <c r="WZF15" s="11"/>
      <c r="WZG15" s="11"/>
      <c r="WZH15" s="11"/>
      <c r="WZI15" s="11"/>
      <c r="WZJ15" s="11"/>
      <c r="WZK15" s="11"/>
      <c r="WZL15" s="11"/>
      <c r="WZM15" s="11"/>
      <c r="WZN15" s="11"/>
      <c r="WZO15" s="11"/>
      <c r="WZP15" s="11"/>
      <c r="WZQ15" s="11"/>
      <c r="WZR15" s="11"/>
      <c r="WZS15" s="11"/>
      <c r="WZT15" s="11"/>
      <c r="WZU15" s="11"/>
      <c r="WZV15" s="11"/>
      <c r="WZW15" s="11"/>
      <c r="WZX15" s="11"/>
      <c r="WZY15" s="11"/>
      <c r="WZZ15" s="11"/>
      <c r="XAA15" s="11"/>
      <c r="XAB15" s="11"/>
      <c r="XAC15" s="11"/>
      <c r="XAD15" s="11"/>
      <c r="XAE15" s="11"/>
      <c r="XAF15" s="11"/>
      <c r="XAG15" s="11"/>
      <c r="XAH15" s="11"/>
      <c r="XAI15" s="11"/>
      <c r="XAJ15" s="11"/>
      <c r="XAK15" s="11"/>
      <c r="XAL15" s="11"/>
      <c r="XAM15" s="11"/>
      <c r="XAN15" s="11"/>
      <c r="XAO15" s="11"/>
      <c r="XAP15" s="11"/>
      <c r="XAQ15" s="11"/>
      <c r="XAR15" s="11"/>
      <c r="XAS15" s="11"/>
      <c r="XAT15" s="11"/>
      <c r="XAU15" s="11"/>
      <c r="XAV15" s="11"/>
      <c r="XAW15" s="11"/>
      <c r="XAX15" s="11"/>
      <c r="XAY15" s="11"/>
      <c r="XAZ15" s="11"/>
      <c r="XBA15" s="11"/>
      <c r="XBB15" s="11"/>
      <c r="XBC15" s="11"/>
      <c r="XBD15" s="11"/>
      <c r="XBE15" s="11"/>
      <c r="XBF15" s="11"/>
      <c r="XBG15" s="11"/>
      <c r="XBH15" s="11"/>
      <c r="XBI15" s="11"/>
      <c r="XBJ15" s="11"/>
      <c r="XBK15" s="11"/>
      <c r="XBL15" s="11"/>
      <c r="XBM15" s="11"/>
      <c r="XBN15" s="11"/>
      <c r="XBO15" s="11"/>
      <c r="XBP15" s="11"/>
      <c r="XBQ15" s="11"/>
      <c r="XBR15" s="11"/>
      <c r="XBS15" s="11"/>
      <c r="XBT15" s="11"/>
      <c r="XBU15" s="11"/>
      <c r="XBV15" s="11"/>
      <c r="XBW15" s="11"/>
      <c r="XBX15" s="11"/>
      <c r="XBY15" s="11"/>
      <c r="XBZ15" s="11"/>
      <c r="XCA15" s="11"/>
      <c r="XCB15" s="11"/>
      <c r="XCC15" s="11"/>
      <c r="XCD15" s="11"/>
      <c r="XCE15" s="11"/>
      <c r="XCF15" s="11"/>
      <c r="XCG15" s="11"/>
      <c r="XCH15" s="11"/>
      <c r="XCI15" s="11"/>
      <c r="XCJ15" s="11"/>
      <c r="XCK15" s="11"/>
      <c r="XCL15" s="11"/>
      <c r="XCM15" s="11"/>
      <c r="XCN15" s="11"/>
      <c r="XCO15" s="11"/>
      <c r="XCP15" s="11"/>
      <c r="XCQ15" s="11"/>
      <c r="XCR15" s="11"/>
      <c r="XCS15" s="11"/>
      <c r="XCT15" s="11"/>
      <c r="XCU15" s="11"/>
      <c r="XCV15" s="11"/>
      <c r="XCW15" s="11"/>
      <c r="XCX15" s="11"/>
      <c r="XCY15" s="11"/>
      <c r="XCZ15" s="11"/>
      <c r="XDA15" s="11"/>
      <c r="XDB15" s="11"/>
      <c r="XDC15" s="11"/>
      <c r="XDD15" s="11"/>
      <c r="XDE15" s="11"/>
      <c r="XDF15" s="11"/>
      <c r="XDG15" s="11"/>
      <c r="XDH15" s="11"/>
      <c r="XDI15" s="11"/>
      <c r="XDJ15" s="11"/>
      <c r="XDK15" s="11"/>
      <c r="XDL15" s="11"/>
      <c r="XDM15" s="11"/>
      <c r="XDN15" s="11"/>
      <c r="XDO15" s="11"/>
      <c r="XDP15" s="11"/>
      <c r="XDQ15" s="11"/>
      <c r="XDR15" s="11"/>
      <c r="XDS15" s="11"/>
      <c r="XDT15" s="11"/>
      <c r="XDU15" s="11"/>
      <c r="XDV15" s="11"/>
      <c r="XDW15" s="11"/>
      <c r="XDX15" s="11"/>
      <c r="XDY15" s="11"/>
      <c r="XDZ15" s="11"/>
      <c r="XEA15" s="11"/>
      <c r="XEB15" s="11"/>
      <c r="XEC15" s="11"/>
      <c r="XED15" s="11"/>
      <c r="XEE15" s="11"/>
      <c r="XEF15" s="11"/>
      <c r="XEG15" s="11"/>
      <c r="XEH15" s="11"/>
      <c r="XEI15" s="11"/>
      <c r="XEJ15" s="11"/>
      <c r="XEK15" s="11"/>
      <c r="XEL15" s="11"/>
      <c r="XEM15" s="11"/>
      <c r="XEN15" s="11"/>
      <c r="XEO15" s="11"/>
      <c r="XEP15" s="11"/>
      <c r="XEQ15" s="11"/>
      <c r="XER15" s="11"/>
      <c r="XES15" s="11"/>
      <c r="XET15" s="11"/>
      <c r="XEU15" s="11"/>
      <c r="XEV15" s="11"/>
      <c r="XEW15" s="11"/>
      <c r="XEX15" s="11"/>
      <c r="XEY15" s="11"/>
      <c r="XEZ15" s="11"/>
      <c r="XFA15" s="11"/>
      <c r="XFB15" s="11"/>
      <c r="XFC15" s="11"/>
      <c r="XFD15" s="11"/>
    </row>
    <row r="16" spans="1:16384">
      <c r="A16" s="11"/>
      <c r="C16" s="18" t="s">
        <v>72</v>
      </c>
      <c r="D16" s="11"/>
      <c r="E16" s="11"/>
      <c r="F16" s="11"/>
      <c r="G16" s="11"/>
      <c r="H16" s="11"/>
      <c r="I16" s="11"/>
    </row>
    <row r="17" spans="1:10">
      <c r="A17" s="11"/>
      <c r="B17" s="11"/>
      <c r="C17" s="11"/>
      <c r="D17" s="11"/>
      <c r="E17" s="11"/>
      <c r="F17" s="11"/>
      <c r="G17" s="11"/>
      <c r="H17" s="11"/>
      <c r="I17" s="11"/>
      <c r="J17" s="13"/>
    </row>
    <row r="18" spans="1:10">
      <c r="A18" s="11"/>
      <c r="D18" s="15" t="str">
        <f>Calc_Network_Cost_Alloc!$D$36</f>
        <v>System and Non-System Assets Error Check</v>
      </c>
      <c r="E18" s="11"/>
      <c r="F18" s="11"/>
      <c r="G18" s="11"/>
      <c r="H18" s="268" t="str">
        <f>Calc_Network_Cost_Alloc!$H$36</f>
        <v>Ok</v>
      </c>
      <c r="I18" s="11"/>
    </row>
    <row r="19" spans="1:10">
      <c r="A19" s="11"/>
      <c r="D19" s="15" t="str">
        <f>Calc_Network_Cost_Alloc!$D$45</f>
        <v>Land Allocation Error Check</v>
      </c>
      <c r="E19" s="11"/>
      <c r="F19" s="11"/>
      <c r="G19" s="11"/>
      <c r="H19" s="268" t="str">
        <f>Calc_Network_Cost_Alloc!$H$45</f>
        <v>Ok</v>
      </c>
      <c r="I19" s="11"/>
      <c r="J19" s="13"/>
    </row>
    <row r="20" spans="1:10">
      <c r="A20" s="11"/>
      <c r="D20" s="15" t="str">
        <f>Calc_Network_Cost_Alloc!$D$58</f>
        <v>Reallocate System Shared Assets and Remove Non-System Shared Assets Error Check</v>
      </c>
      <c r="E20" s="11"/>
      <c r="F20" s="11"/>
      <c r="G20" s="11"/>
      <c r="H20" s="268" t="str">
        <f>Calc_Network_Cost_Alloc!$H$58</f>
        <v>Ok</v>
      </c>
      <c r="I20" s="11"/>
      <c r="J20" s="13"/>
    </row>
    <row r="21" spans="1:10" s="13" customFormat="1">
      <c r="A21" s="11"/>
      <c r="D21" s="15"/>
      <c r="E21" s="11"/>
      <c r="F21" s="11"/>
      <c r="G21" s="11"/>
      <c r="H21" s="45"/>
      <c r="I21" s="11"/>
    </row>
    <row r="22" spans="1:10" s="13" customFormat="1">
      <c r="A22" s="11"/>
      <c r="D22" s="15" t="str">
        <f>Calc_Network_Cost_Alloc!$D$73</f>
        <v>Allocate Optimised Replacement Cost Across Voltages Error Check</v>
      </c>
      <c r="E22" s="11"/>
      <c r="F22" s="11"/>
      <c r="G22" s="11"/>
      <c r="H22" s="268" t="str">
        <f>Calc_Network_Cost_Alloc!$I$73</f>
        <v>Ok</v>
      </c>
      <c r="I22" s="11"/>
    </row>
    <row r="23" spans="1:10" s="13" customFormat="1">
      <c r="A23" s="11"/>
      <c r="D23" s="15" t="str">
        <f>Output_Cost_of_Supply!$D$33</f>
        <v>Cost Error Check</v>
      </c>
      <c r="E23" s="11"/>
      <c r="F23" s="11"/>
      <c r="G23" s="11"/>
      <c r="H23" s="268" t="str">
        <f>Output_Cost_of_Supply!$G$33</f>
        <v>Ok</v>
      </c>
      <c r="I23" s="11"/>
    </row>
    <row r="24" spans="1:10" s="13" customFormat="1">
      <c r="A24" s="11"/>
      <c r="D24" s="15" t="str">
        <f>Output_Cost_of_Supply!$D$55</f>
        <v>Allocation Error Check</v>
      </c>
      <c r="E24" s="11"/>
      <c r="F24" s="11"/>
      <c r="G24" s="11"/>
      <c r="H24" s="268" t="str">
        <f>Output_Cost_of_Supply!$G$55</f>
        <v>Ok</v>
      </c>
      <c r="I24" s="11"/>
    </row>
    <row r="25" spans="1:10" s="13" customFormat="1">
      <c r="A25" s="11"/>
      <c r="D25" s="15" t="str">
        <f>Output_Cost_of_Supply!$D$34</f>
        <v>Network Cost Error Check</v>
      </c>
      <c r="E25" s="11"/>
      <c r="F25" s="11"/>
      <c r="G25" s="11"/>
      <c r="H25" s="268" t="str">
        <f>Output_Cost_of_Supply!$N$34</f>
        <v>Ok</v>
      </c>
      <c r="I25" s="11"/>
    </row>
    <row r="26" spans="1:10" s="13" customFormat="1">
      <c r="A26" s="11"/>
      <c r="D26" s="15"/>
      <c r="E26" s="11"/>
      <c r="F26" s="11"/>
      <c r="G26" s="11"/>
      <c r="H26" s="45"/>
      <c r="I26" s="11"/>
    </row>
    <row r="27" spans="1:10" s="13" customFormat="1">
      <c r="A27" s="11"/>
      <c r="D27" s="62" t="s">
        <v>73</v>
      </c>
      <c r="E27" s="11"/>
      <c r="F27" s="11"/>
      <c r="G27" s="11"/>
      <c r="H27" s="354">
        <f>COUNTIF($H$18:$H$26,Error)</f>
        <v>0</v>
      </c>
      <c r="I27" s="11"/>
    </row>
    <row r="28" spans="1:10" s="13" customFormat="1">
      <c r="A28" s="11"/>
      <c r="B28" s="39"/>
      <c r="C28" s="11"/>
      <c r="D28" s="63"/>
      <c r="E28" s="11"/>
      <c r="F28" s="11"/>
      <c r="G28" s="11"/>
      <c r="H28" s="46"/>
      <c r="I28" s="11"/>
    </row>
    <row r="29" spans="1:10">
      <c r="C29" s="18" t="s">
        <v>74</v>
      </c>
      <c r="H29" s="354">
        <f>H27</f>
        <v>0</v>
      </c>
    </row>
    <row r="31" spans="1:10" s="7" customFormat="1" ht="15.6">
      <c r="B31" s="7" t="s">
        <v>80</v>
      </c>
    </row>
  </sheetData>
  <conditionalFormatting sqref="B8 B12:B13 B2 B5:B6">
    <cfRule type="cellIs" dxfId="2" priority="4" operator="notEqual">
      <formula>"No Errors Found"</formula>
    </cfRule>
  </conditionalFormatting>
  <conditionalFormatting sqref="H18:H20">
    <cfRule type="expression" dxfId="1" priority="2">
      <formula>H18&lt;&gt;Ok</formula>
    </cfRule>
  </conditionalFormatting>
  <conditionalFormatting sqref="H22:H25">
    <cfRule type="expression" dxfId="0" priority="1">
      <formula>H22&lt;&gt;Ok</formula>
    </cfRule>
  </conditionalFormatting>
  <hyperlinks>
    <hyperlink ref="B4" location="'ToC'!$A$1" tooltip="Go To Table of Contents" display="='ToC'!B1" xr:uid="{00000000-0004-0000-10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4" ma:contentTypeDescription="Create a new document." ma:contentTypeScope="" ma:versionID="adc0807dace506080b80eaaea3507f1c">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a11288c608cf05ce5d6a34290543d294"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eb6023d-658b-4527-be73-24b0518f0bf9">
      <UserInfo>
        <DisplayName>Keith Hutchinson</DisplayName>
        <AccountId>281</AccountId>
        <AccountType/>
      </UserInfo>
    </SharedWithUsers>
  </documentManagement>
</p:properties>
</file>

<file path=customXml/itemProps1.xml><?xml version="1.0" encoding="utf-8"?>
<ds:datastoreItem xmlns:ds="http://schemas.openxmlformats.org/officeDocument/2006/customXml" ds:itemID="{E9FF6621-D14A-4047-8E0C-3A20DFF09A5B}">
  <ds:schemaRefs>
    <ds:schemaRef ds:uri="http://schemas.microsoft.com/sharepoint/v3/contenttype/forms"/>
  </ds:schemaRefs>
</ds:datastoreItem>
</file>

<file path=customXml/itemProps2.xml><?xml version="1.0" encoding="utf-8"?>
<ds:datastoreItem xmlns:ds="http://schemas.openxmlformats.org/officeDocument/2006/customXml" ds:itemID="{F11B5459-78ED-4120-8EC5-DE012C686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B3CD7-875F-4072-AE52-5D76A7B24CBF}">
  <ds:schemaRefs>
    <ds:schemaRef ds:uri="http://purl.org/dc/elements/1.1/"/>
    <ds:schemaRef ds:uri="http://schemas.microsoft.com/office/2006/metadata/properties"/>
    <ds:schemaRef ds:uri="4eb6023d-658b-4527-be73-24b0518f0bf9"/>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7aa583b4-7878-4620-ad4f-d1b58649830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44</vt:i4>
      </vt:variant>
    </vt:vector>
  </HeadingPairs>
  <TitlesOfParts>
    <vt:vector size="61" baseType="lpstr">
      <vt:lpstr>Cover</vt:lpstr>
      <vt:lpstr>TOC</vt:lpstr>
      <vt:lpstr>Sources</vt:lpstr>
      <vt:lpstr>Inputs_General</vt:lpstr>
      <vt:lpstr>Inputs_&gt;750MWh</vt:lpstr>
      <vt:lpstr>Calc_Cost_of_Supply</vt:lpstr>
      <vt:lpstr>Calc_A_SA_Costs</vt:lpstr>
      <vt:lpstr>Calc_LRMC</vt:lpstr>
      <vt:lpstr>Calc_Network_Cost_Alloc</vt:lpstr>
      <vt:lpstr>Output_AER_Compliance</vt:lpstr>
      <vt:lpstr>Output_Cost_of_Supply</vt:lpstr>
      <vt:lpstr>Output_Impact&lt;750</vt:lpstr>
      <vt:lpstr>Output_Impact&gt;750</vt:lpstr>
      <vt:lpstr>Output_Tariff_Schedules_No GST</vt:lpstr>
      <vt:lpstr>Output_Tariff_Schedules_GST</vt:lpstr>
      <vt:lpstr>Lookup</vt:lpstr>
      <vt:lpstr>Checks</vt:lpstr>
      <vt:lpstr>Asset_Class_Allocation</vt:lpstr>
      <vt:lpstr>Calender_Months</vt:lpstr>
      <vt:lpstr>Cents_In_Dollar</vt:lpstr>
      <vt:lpstr>Currency</vt:lpstr>
      <vt:lpstr>Cust_Type</vt:lpstr>
      <vt:lpstr>Dash_Periods</vt:lpstr>
      <vt:lpstr>Days_In_Wk</vt:lpstr>
      <vt:lpstr>Days_In_Yr</vt:lpstr>
      <vt:lpstr>Dep_Method</vt:lpstr>
      <vt:lpstr>Error</vt:lpstr>
      <vt:lpstr>Fri</vt:lpstr>
      <vt:lpstr>GST</vt:lpstr>
      <vt:lpstr>Half</vt:lpstr>
      <vt:lpstr>Million</vt:lpstr>
      <vt:lpstr>Model_Name</vt:lpstr>
      <vt:lpstr>Mon</vt:lpstr>
      <vt:lpstr>Mth_Count_In_Qtr</vt:lpstr>
      <vt:lpstr>Mths_In_Mth</vt:lpstr>
      <vt:lpstr>Mths_In_Qtr</vt:lpstr>
      <vt:lpstr>Mths_In_Yr</vt:lpstr>
      <vt:lpstr>NA</vt:lpstr>
      <vt:lpstr>No</vt:lpstr>
      <vt:lpstr>Ok</vt:lpstr>
      <vt:lpstr>Period_Length</vt:lpstr>
      <vt:lpstr>Periods_Per_Year</vt:lpstr>
      <vt:lpstr>'Output_Impact&lt;750'!Print_Area</vt:lpstr>
      <vt:lpstr>Qtr_1</vt:lpstr>
      <vt:lpstr>Qtr_2</vt:lpstr>
      <vt:lpstr>Qtr_3</vt:lpstr>
      <vt:lpstr>Qtr_4</vt:lpstr>
      <vt:lpstr>Sat</vt:lpstr>
      <vt:lpstr>Sun</vt:lpstr>
      <vt:lpstr>Sys_Non_Sys_Assets</vt:lpstr>
      <vt:lpstr>Tariff_Type</vt:lpstr>
      <vt:lpstr>Tariff_Year</vt:lpstr>
      <vt:lpstr>Tariff_Year_List</vt:lpstr>
      <vt:lpstr>Thousand</vt:lpstr>
      <vt:lpstr>Thu</vt:lpstr>
      <vt:lpstr>Title_Msg</vt:lpstr>
      <vt:lpstr>Transtariff</vt:lpstr>
      <vt:lpstr>Tue</vt:lpstr>
      <vt:lpstr>Wed</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Ryan</cp:lastModifiedBy>
  <cp:lastPrinted>2018-01-16T02:20:03Z</cp:lastPrinted>
  <dcterms:created xsi:type="dcterms:W3CDTF">2012-02-19T06:14:59Z</dcterms:created>
  <dcterms:modified xsi:type="dcterms:W3CDTF">2018-03-15T06:09:44Z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0x0101003BA3B04C24F8D74DBE21978B58C569F6</vt:lpwstr>
  </property>
</Properties>
</file>