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029"/>
  <workbookPr showInkAnnotation="0" codeName="ThisWorkbook" defaultThemeVersion="124226"/>
  <mc:AlternateContent xmlns:mc="http://schemas.openxmlformats.org/markup-compatibility/2006">
    <mc:Choice Requires="x15">
      <x15ac:absPath xmlns:x15ac="http://schemas.microsoft.com/office/spreadsheetml/2010/11/ac" url="https://farrierswier.sharepoint.com/48417 PWC Modelling WACC/03. Working/Revenue Scenarios/IP13/Submission/"/>
    </mc:Choice>
  </mc:AlternateContent>
  <xr:revisionPtr revIDLastSave="1" documentId="11_8CBD394FBBEAAE07DDBF4E8FD2FAA0F7B3F8240A" xr6:coauthVersionLast="28" xr6:coauthVersionMax="28" xr10:uidLastSave="{E58969D9-0149-4A17-B9BC-E7DCA0E7707C}"/>
  <bookViews>
    <workbookView xWindow="0" yWindow="0" windowWidth="23040" windowHeight="7944" tabRatio="854" xr2:uid="{00000000-000D-0000-FFFF-FFFF00000000}"/>
  </bookViews>
  <sheets>
    <sheet name="Cover" sheetId="27" r:id="rId1"/>
    <sheet name="TOC" sheetId="45" r:id="rId2"/>
    <sheet name="Sources" sheetId="48" r:id="rId3"/>
    <sheet name="Inputs_General" sheetId="30" r:id="rId4"/>
    <sheet name="Inputs_&gt;750MWh" sheetId="31" r:id="rId5"/>
    <sheet name="Calc_Cost_of_Supply" sheetId="33" r:id="rId6"/>
    <sheet name="Calc_A_SA_Costs" sheetId="39" r:id="rId7"/>
    <sheet name="Calc_LRMC" sheetId="40" r:id="rId8"/>
    <sheet name="Calc_Network_Cost_Alloc" sheetId="36" r:id="rId9"/>
    <sheet name="Output_AER_Compliance" sheetId="32" r:id="rId10"/>
    <sheet name="Output_Cost_of_Supply" sheetId="34" r:id="rId11"/>
    <sheet name="Output_Impact&lt;750" sheetId="44" r:id="rId12"/>
    <sheet name="Output_Impact&gt;750" sheetId="41" r:id="rId13"/>
    <sheet name="Output_Tariff_Schedules_No GST" sheetId="37" r:id="rId14"/>
    <sheet name="Output_Tariff_Schedules_GST" sheetId="38" r:id="rId15"/>
    <sheet name="Lookup" sheetId="4" r:id="rId16"/>
    <sheet name="Checks" sheetId="25" r:id="rId17"/>
  </sheets>
  <externalReferences>
    <externalReference r:id="rId18"/>
    <externalReference r:id="rId19"/>
    <externalReference r:id="rId20"/>
  </externalReferences>
  <definedNames>
    <definedName name="_xlnm._FilterDatabase" localSheetId="12" hidden="1">'Output_Impact&gt;750'!$D$34:$AH$219</definedName>
    <definedName name="_SS_AC_0237486917" comment="Advanced Comment Name" hidden="1">Calc_Cost_of_Supply!$J$90:$AB$92</definedName>
    <definedName name="_SS_AC_0379579317" comment="Advanced Comment Name" hidden="1">Inputs_General!$L$177:$N$191</definedName>
    <definedName name="_SS_AC_1099353796" comment="Advanced Comment Name" localSheetId="2" hidden="1">'Inputs_&gt;750MWh'!#REF!</definedName>
    <definedName name="_SS_AC_1099353796" comment="Advanced Comment Name" hidden="1">'Inputs_&gt;750MWh'!$D$191:$CM$191</definedName>
    <definedName name="Asset_Class_Allocation">Lookup!$D$170:$D$176</definedName>
    <definedName name="Calender_Months">Lookup!$D$120:$D$131</definedName>
    <definedName name="Cents_In_Dollar">Lookup!$D$92</definedName>
    <definedName name="Currency">Lookup!$F$16</definedName>
    <definedName name="Cust_Type">Lookup!$D$160:$D$166</definedName>
    <definedName name="Dash_Periods">Lookup!$D$112:$D$115</definedName>
    <definedName name="Days_In_Wk">Lookup!$D$85</definedName>
    <definedName name="Days_In_Yr">Lookup!$D$91</definedName>
    <definedName name="Dep_Method">Lookup!$D$134:$D$135</definedName>
    <definedName name="Error">Lookup!$D$97</definedName>
    <definedName name="Fri">Lookup!$D$139</definedName>
    <definedName name="GST">Inputs_General!$F$10</definedName>
    <definedName name="Half">Lookup!$D$90</definedName>
    <definedName name="HTML_CodePage" hidden="1">1252</definedName>
    <definedName name="HTML_Control" localSheetId="2" hidden="1">{"'petroleum sales data'!$A$1:$L$49"}</definedName>
    <definedName name="HTML_Control" hidden="1">{"'petroleum sales data'!$A$1:$L$49"}</definedName>
    <definedName name="HTML_Description" hidden="1">"This is a chart of Petroleum Sales figures up to and including June 1998"</definedName>
    <definedName name="HTML_Email" hidden="1">"tony.waite@dme.nt.gov.au"</definedName>
    <definedName name="HTML_Header" hidden="1">"Petroleum Sales Figures 1998"</definedName>
    <definedName name="HTML_LastUpdate" hidden="1">"24/08/98"</definedName>
    <definedName name="HTML_LineAfter" hidden="1">FALSE</definedName>
    <definedName name="HTML_LineBefore" hidden="1">FALSE</definedName>
    <definedName name="HTML_Name" hidden="1">"Tony Waite"</definedName>
    <definedName name="HTML_OBDlg2" hidden="1">TRUE</definedName>
    <definedName name="HTML_OBDlg4" hidden="1">TRUE</definedName>
    <definedName name="HTML_OS" hidden="1">0</definedName>
    <definedName name="HTML_PathFile" hidden="1">"G:\Energy\Safety &amp; Environment\WEBPAGES\statistics\Production\MyHTML.htm"</definedName>
    <definedName name="HTML_Title" hidden="1">"petsale_1998"</definedName>
    <definedName name="Million">Lookup!$D$94</definedName>
    <definedName name="Model_Name">Cover!$B$3</definedName>
    <definedName name="Mon">Lookup!$D$135</definedName>
    <definedName name="Mth_Count_In_Qtr">Lookup!$E$120:$E$131</definedName>
    <definedName name="Mths_In_Mth">Lookup!$D$82</definedName>
    <definedName name="Mths_In_Qtr">Lookup!$D$83</definedName>
    <definedName name="Mths_In_Yr">Lookup!$D$84</definedName>
    <definedName name="NA">Lookup!$D$95</definedName>
    <definedName name="No">Lookup!$D$102</definedName>
    <definedName name="Ok">Lookup!$D$96</definedName>
    <definedName name="Period_Length">Lookup!$D$106:$D$108</definedName>
    <definedName name="Periods_Per_Year">Lookup!$F$12</definedName>
    <definedName name="_xlnm.Print_Area" localSheetId="11">'Output_Impact&lt;750'!$AC$44:$AJ$61</definedName>
    <definedName name="Qtr_1">Lookup!$D$86</definedName>
    <definedName name="Qtr_2">Lookup!$D$87</definedName>
    <definedName name="Qtr_3">Lookup!$D$88</definedName>
    <definedName name="Qtr_4">Lookup!$D$89</definedName>
    <definedName name="Sat">Lookup!$D$140</definedName>
    <definedName name="solver_cvg" hidden="1">0.0000001</definedName>
    <definedName name="solver_drv" hidden="1">1</definedName>
    <definedName name="solver_est" hidden="1">1</definedName>
    <definedName name="solver_itr" hidden="1">10000</definedName>
    <definedName name="solver_lin" hidden="1">2</definedName>
    <definedName name="solver_neg" hidden="1">2</definedName>
    <definedName name="solver_num" hidden="1">0</definedName>
    <definedName name="solver_nwt" hidden="1">1</definedName>
    <definedName name="solver_pre" hidden="1">0.000000001</definedName>
    <definedName name="solver_scl" hidden="1">2</definedName>
    <definedName name="solver_sho" hidden="1">2</definedName>
    <definedName name="solver_tim" hidden="1">1000</definedName>
    <definedName name="solver_tol" hidden="1">0.000000001</definedName>
    <definedName name="solver_typ" hidden="1">3</definedName>
    <definedName name="solver_val" hidden="1">0</definedName>
    <definedName name="Sun">Lookup!$D$141</definedName>
    <definedName name="Sys_Non_Sys_Assets">Lookup!$D$180:$D$184</definedName>
    <definedName name="Tariff_Type">Lookup!$D$155:$D$156</definedName>
    <definedName name="Tariff_Year">Inputs_General!$F$9</definedName>
    <definedName name="Tariff_Year_List">Lookup!$D$145:$D$151</definedName>
    <definedName name="Thousand">Lookup!$D$93</definedName>
    <definedName name="Thu">Lookup!$D$138</definedName>
    <definedName name="Title_Msg">Checks!$H$11</definedName>
    <definedName name="TiTree" localSheetId="2" hidden="1">{"'petroleum sales data'!$A$1:$L$49"}</definedName>
    <definedName name="TiTree" hidden="1">{"'petroleum sales data'!$A$1:$L$49"}</definedName>
    <definedName name="Transtariff">Lookup!$D$155</definedName>
    <definedName name="Tue">Lookup!$D$136</definedName>
    <definedName name="Wed">Lookup!$D$137</definedName>
    <definedName name="Yes">Lookup!$D$101</definedName>
    <definedName name="Yes_No">Lookup!$D$101:$D$102</definedName>
  </definedNames>
  <calcPr calcId="171027"/>
</workbook>
</file>

<file path=xl/calcChain.xml><?xml version="1.0" encoding="utf-8"?>
<calcChain xmlns="http://schemas.openxmlformats.org/spreadsheetml/2006/main">
  <c r="N164" i="30" l="1"/>
  <c r="M164" i="30"/>
  <c r="L164" i="30"/>
  <c r="K164" i="30"/>
  <c r="J164" i="30"/>
  <c r="N163" i="30"/>
  <c r="M163" i="30"/>
  <c r="L163" i="30"/>
  <c r="K163" i="30"/>
  <c r="J163" i="30"/>
  <c r="N162" i="30"/>
  <c r="M162" i="30"/>
  <c r="L162" i="30"/>
  <c r="K162" i="30"/>
  <c r="J162" i="30"/>
  <c r="N161" i="30"/>
  <c r="M161" i="30"/>
  <c r="L161" i="30"/>
  <c r="K161" i="30"/>
  <c r="J161" i="30"/>
  <c r="N160" i="30"/>
  <c r="M160" i="30"/>
  <c r="L160" i="30"/>
  <c r="K160" i="30"/>
  <c r="J160" i="30"/>
  <c r="N159" i="30"/>
  <c r="M159" i="30"/>
  <c r="L159" i="30"/>
  <c r="K159" i="30"/>
  <c r="J159" i="30"/>
  <c r="N158" i="30"/>
  <c r="M158" i="30"/>
  <c r="L158" i="30"/>
  <c r="K158" i="30"/>
  <c r="J158" i="30"/>
  <c r="N157" i="30"/>
  <c r="M157" i="30"/>
  <c r="L157" i="30"/>
  <c r="K157" i="30"/>
  <c r="J157" i="30"/>
  <c r="N156" i="30"/>
  <c r="M156" i="30"/>
  <c r="L156" i="30"/>
  <c r="K156" i="30"/>
  <c r="J156" i="30"/>
  <c r="N155" i="30"/>
  <c r="M155" i="30"/>
  <c r="L155" i="30"/>
  <c r="K155" i="30"/>
  <c r="J155" i="30"/>
  <c r="N154" i="30"/>
  <c r="M154" i="30"/>
  <c r="L154" i="30"/>
  <c r="K154" i="30"/>
  <c r="J154" i="30"/>
  <c r="N153" i="30"/>
  <c r="M153" i="30"/>
  <c r="L153" i="30"/>
  <c r="K153" i="30"/>
  <c r="J153" i="30"/>
  <c r="N152" i="30"/>
  <c r="M152" i="30"/>
  <c r="L152" i="30"/>
  <c r="K152" i="30"/>
  <c r="J152" i="30"/>
  <c r="N151" i="30"/>
  <c r="M151" i="30"/>
  <c r="L151" i="30"/>
  <c r="K151" i="30"/>
  <c r="J151" i="30"/>
  <c r="N150" i="30"/>
  <c r="M150" i="30"/>
  <c r="L150" i="30"/>
  <c r="K150" i="30"/>
  <c r="J150" i="30"/>
  <c r="N138" i="30"/>
  <c r="M138" i="30"/>
  <c r="L138" i="30"/>
  <c r="K138" i="30"/>
  <c r="J138" i="30"/>
  <c r="N137" i="30"/>
  <c r="M137" i="30"/>
  <c r="L137" i="30"/>
  <c r="K137" i="30"/>
  <c r="J137" i="30"/>
  <c r="N136" i="30"/>
  <c r="M136" i="30"/>
  <c r="L136" i="30"/>
  <c r="K136" i="30"/>
  <c r="J136" i="30"/>
  <c r="N135" i="30"/>
  <c r="M135" i="30"/>
  <c r="L135" i="30"/>
  <c r="K135" i="30"/>
  <c r="J135" i="30"/>
  <c r="N134" i="30"/>
  <c r="M134" i="30"/>
  <c r="L134" i="30"/>
  <c r="K134" i="30"/>
  <c r="J134" i="30"/>
  <c r="N133" i="30"/>
  <c r="M133" i="30"/>
  <c r="L133" i="30"/>
  <c r="K133" i="30"/>
  <c r="J133" i="30"/>
  <c r="N132" i="30"/>
  <c r="M132" i="30"/>
  <c r="L132" i="30"/>
  <c r="K132" i="30"/>
  <c r="J132" i="30"/>
  <c r="N131" i="30"/>
  <c r="M131" i="30"/>
  <c r="L131" i="30"/>
  <c r="K131" i="30"/>
  <c r="J131" i="30"/>
  <c r="N130" i="30"/>
  <c r="M130" i="30"/>
  <c r="L130" i="30"/>
  <c r="K130" i="30"/>
  <c r="J130" i="30"/>
  <c r="N129" i="30"/>
  <c r="M129" i="30"/>
  <c r="L129" i="30"/>
  <c r="K129" i="30"/>
  <c r="J129" i="30"/>
  <c r="N128" i="30"/>
  <c r="M128" i="30"/>
  <c r="L128" i="30"/>
  <c r="K128" i="30"/>
  <c r="J128" i="30"/>
  <c r="N127" i="30"/>
  <c r="M127" i="30"/>
  <c r="L127" i="30"/>
  <c r="K127" i="30"/>
  <c r="J127" i="30"/>
  <c r="N126" i="30"/>
  <c r="M126" i="30"/>
  <c r="L126" i="30"/>
  <c r="K126" i="30"/>
  <c r="J126" i="30"/>
  <c r="N125" i="30"/>
  <c r="M125" i="30"/>
  <c r="L125" i="30"/>
  <c r="K125" i="30"/>
  <c r="J125" i="30"/>
  <c r="N124" i="30"/>
  <c r="M124" i="30"/>
  <c r="L124" i="30"/>
  <c r="K124" i="30"/>
  <c r="J124" i="30"/>
  <c r="S18" i="30"/>
  <c r="R18" i="30"/>
  <c r="K18" i="30"/>
  <c r="J18" i="30"/>
  <c r="H263" i="30" l="1"/>
  <c r="H262" i="30"/>
  <c r="H261" i="30"/>
  <c r="I237" i="30"/>
  <c r="I236" i="30"/>
  <c r="I235" i="30"/>
  <c r="I234" i="30"/>
  <c r="I233" i="30"/>
  <c r="I232" i="30"/>
  <c r="I231" i="30"/>
  <c r="I230" i="30"/>
  <c r="I229" i="30"/>
  <c r="I228" i="30"/>
  <c r="I227" i="30"/>
  <c r="I226" i="30"/>
  <c r="I225" i="30"/>
  <c r="I224" i="30"/>
  <c r="H62" i="30"/>
  <c r="H61" i="30"/>
  <c r="N58" i="30"/>
  <c r="M58" i="30"/>
  <c r="L58" i="30"/>
  <c r="K58" i="30"/>
  <c r="J58" i="30"/>
  <c r="N57" i="30"/>
  <c r="M57" i="30"/>
  <c r="L57" i="30"/>
  <c r="K57" i="30"/>
  <c r="J57" i="30"/>
  <c r="I57" i="30"/>
  <c r="D26" i="45" l="1"/>
  <c r="B4" i="25" l="1"/>
  <c r="D19" i="45" l="1"/>
  <c r="B4" i="48" l="1"/>
  <c r="D10" i="45"/>
  <c r="B3" i="48"/>
  <c r="D13" i="27" l="1"/>
  <c r="B3" i="25"/>
  <c r="B4" i="4"/>
  <c r="B4" i="44"/>
  <c r="B4" i="41"/>
  <c r="B4" i="31"/>
  <c r="B4" i="30"/>
  <c r="D11" i="45"/>
  <c r="D12" i="45"/>
  <c r="D13" i="45"/>
  <c r="D14" i="45"/>
  <c r="D15" i="45"/>
  <c r="D16" i="45"/>
  <c r="D17" i="45"/>
  <c r="D18" i="45"/>
  <c r="D20" i="45"/>
  <c r="D21" i="45"/>
  <c r="D22" i="45"/>
  <c r="D27" i="45"/>
  <c r="B6" i="45"/>
  <c r="B4" i="45"/>
  <c r="B3" i="44" l="1"/>
  <c r="B25" i="38" l="1"/>
  <c r="B12" i="38"/>
  <c r="G8" i="38"/>
  <c r="G7" i="38"/>
  <c r="B36" i="38"/>
  <c r="N68" i="30" l="1"/>
  <c r="M68" i="30"/>
  <c r="L68" i="30"/>
  <c r="K68" i="30"/>
  <c r="J68" i="30"/>
  <c r="J189" i="30" l="1"/>
  <c r="S189" i="30" l="1"/>
  <c r="Z189" i="30" s="1"/>
  <c r="S190" i="30"/>
  <c r="Z190" i="30" s="1"/>
  <c r="S191" i="30"/>
  <c r="Z191" i="30" s="1"/>
  <c r="R177" i="30"/>
  <c r="Y177" i="30" s="1"/>
  <c r="R178" i="30"/>
  <c r="Y178" i="30" s="1"/>
  <c r="R179" i="30"/>
  <c r="Y179" i="30" s="1"/>
  <c r="R180" i="30"/>
  <c r="Y180" i="30" s="1"/>
  <c r="R181" i="30"/>
  <c r="R182" i="30"/>
  <c r="Y182" i="30" s="1"/>
  <c r="V19" i="30"/>
  <c r="B35" i="38"/>
  <c r="B34" i="38"/>
  <c r="J191" i="30"/>
  <c r="Q191" i="30" s="1"/>
  <c r="J190" i="30"/>
  <c r="Q190" i="30" s="1"/>
  <c r="X190" i="30" s="1"/>
  <c r="Q189" i="30"/>
  <c r="X189" i="30" s="1"/>
  <c r="U37" i="30"/>
  <c r="U38" i="30"/>
  <c r="U39" i="30"/>
  <c r="U40" i="30"/>
  <c r="U36" i="30"/>
  <c r="U34" i="30"/>
  <c r="V34" i="30" s="1"/>
  <c r="U33" i="30"/>
  <c r="V33" i="30" s="1"/>
  <c r="U32" i="30"/>
  <c r="V32" i="30" s="1"/>
  <c r="U31" i="30"/>
  <c r="V31" i="30" s="1"/>
  <c r="U30" i="30"/>
  <c r="U28" i="30"/>
  <c r="U27" i="30"/>
  <c r="U26" i="30"/>
  <c r="U25" i="30"/>
  <c r="U24" i="30"/>
  <c r="F24" i="38" s="1"/>
  <c r="B29" i="38"/>
  <c r="B3" i="38"/>
  <c r="B16" i="38"/>
  <c r="I52" i="30"/>
  <c r="V201" i="30"/>
  <c r="V202" i="30"/>
  <c r="V203" i="30"/>
  <c r="V204" i="30"/>
  <c r="V205" i="30"/>
  <c r="V206" i="30"/>
  <c r="V207" i="30"/>
  <c r="V208" i="30"/>
  <c r="V209" i="30"/>
  <c r="V210" i="30"/>
  <c r="V211" i="30"/>
  <c r="V212" i="30"/>
  <c r="V213" i="30"/>
  <c r="V214" i="30"/>
  <c r="V215" i="30"/>
  <c r="V216" i="30"/>
  <c r="V217" i="30"/>
  <c r="V218" i="30"/>
  <c r="V219" i="30"/>
  <c r="D18" i="25"/>
  <c r="D19" i="25"/>
  <c r="D20" i="25"/>
  <c r="AD52" i="30"/>
  <c r="AC52" i="30"/>
  <c r="V52" i="30"/>
  <c r="U52" i="30"/>
  <c r="H52" i="30"/>
  <c r="M52" i="30"/>
  <c r="N52" i="30"/>
  <c r="I51" i="30"/>
  <c r="J51" i="30"/>
  <c r="K51" i="30"/>
  <c r="L51" i="30"/>
  <c r="M51" i="30"/>
  <c r="N51" i="30"/>
  <c r="H51" i="30"/>
  <c r="B3" i="41"/>
  <c r="J168" i="30"/>
  <c r="K168" i="30" s="1"/>
  <c r="L168" i="30" s="1"/>
  <c r="M168" i="30" s="1"/>
  <c r="N168" i="30" s="1"/>
  <c r="O168" i="30" s="1"/>
  <c r="P168" i="30" s="1"/>
  <c r="Q168" i="30" s="1"/>
  <c r="R168" i="30" s="1"/>
  <c r="S168" i="30" s="1"/>
  <c r="T168" i="30" s="1"/>
  <c r="U168" i="30" s="1"/>
  <c r="V168" i="30" s="1"/>
  <c r="W168" i="30" s="1"/>
  <c r="X168" i="30" s="1"/>
  <c r="Y168" i="30" s="1"/>
  <c r="Z168" i="30" s="1"/>
  <c r="AA168" i="30" s="1"/>
  <c r="AB168" i="30" s="1"/>
  <c r="AC168" i="30" s="1"/>
  <c r="AD168" i="30" s="1"/>
  <c r="D169" i="30"/>
  <c r="D111" i="30"/>
  <c r="D112" i="30"/>
  <c r="D113" i="30"/>
  <c r="D114" i="30"/>
  <c r="D115" i="30"/>
  <c r="D116" i="30"/>
  <c r="D25" i="25"/>
  <c r="D24" i="25"/>
  <c r="D23" i="25"/>
  <c r="D22" i="25"/>
  <c r="G47" i="38"/>
  <c r="G44" i="38"/>
  <c r="G43" i="38"/>
  <c r="D162" i="4"/>
  <c r="V15" i="30"/>
  <c r="AD15" i="30" s="1"/>
  <c r="AD51" i="30" s="1"/>
  <c r="U15" i="30"/>
  <c r="T15" i="30"/>
  <c r="S15" i="30"/>
  <c r="R15" i="30"/>
  <c r="R51" i="30" s="1"/>
  <c r="Q15" i="30"/>
  <c r="Q51" i="30" s="1"/>
  <c r="P15" i="30"/>
  <c r="O193" i="30"/>
  <c r="O192" i="30"/>
  <c r="Q180" i="30"/>
  <c r="U191" i="30"/>
  <c r="AB191" i="30" s="1"/>
  <c r="U182" i="30"/>
  <c r="AB182" i="30" s="1"/>
  <c r="U190" i="30"/>
  <c r="AB190" i="30" s="1"/>
  <c r="U181" i="30"/>
  <c r="AB181" i="30" s="1"/>
  <c r="U178" i="30"/>
  <c r="AB178" i="30" s="1"/>
  <c r="U177" i="30"/>
  <c r="AB177" i="30" s="1"/>
  <c r="T191" i="30"/>
  <c r="AA191" i="30" s="1"/>
  <c r="T182" i="30"/>
  <c r="AA182" i="30" s="1"/>
  <c r="T190" i="30"/>
  <c r="AA190" i="30" s="1"/>
  <c r="T181" i="30"/>
  <c r="AA181" i="30" s="1"/>
  <c r="T178" i="30"/>
  <c r="AA178" i="30" s="1"/>
  <c r="T189" i="30"/>
  <c r="AA189" i="30" s="1"/>
  <c r="T180" i="30"/>
  <c r="AA180" i="30" s="1"/>
  <c r="T177" i="30"/>
  <c r="AA177" i="30" s="1"/>
  <c r="O190" i="30"/>
  <c r="O178" i="30"/>
  <c r="S177" i="30"/>
  <c r="Z177" i="30" s="1"/>
  <c r="O191" i="30"/>
  <c r="S182" i="30"/>
  <c r="Z182" i="30" s="1"/>
  <c r="S181" i="30"/>
  <c r="Z181" i="30" s="1"/>
  <c r="S180" i="30"/>
  <c r="Z180" i="30" s="1"/>
  <c r="AC194" i="30"/>
  <c r="V194" i="30"/>
  <c r="U194" i="30"/>
  <c r="AB194" i="30" s="1"/>
  <c r="T194" i="30"/>
  <c r="AA194" i="30" s="1"/>
  <c r="S194" i="30"/>
  <c r="Z194" i="30" s="1"/>
  <c r="R194" i="30"/>
  <c r="Y194" i="30" s="1"/>
  <c r="Q194" i="30"/>
  <c r="X194" i="30" s="1"/>
  <c r="U193" i="30"/>
  <c r="AB193" i="30" s="1"/>
  <c r="T193" i="30"/>
  <c r="AA193" i="30" s="1"/>
  <c r="S193" i="30"/>
  <c r="Z193" i="30" s="1"/>
  <c r="R193" i="30"/>
  <c r="Y193" i="30" s="1"/>
  <c r="Q193" i="30"/>
  <c r="X193" i="30" s="1"/>
  <c r="U192" i="30"/>
  <c r="AB192" i="30" s="1"/>
  <c r="T192" i="30"/>
  <c r="AA192" i="30" s="1"/>
  <c r="S192" i="30"/>
  <c r="Z192" i="30" s="1"/>
  <c r="R192" i="30"/>
  <c r="Y192" i="30" s="1"/>
  <c r="Q192" i="30"/>
  <c r="X192" i="30" s="1"/>
  <c r="R191" i="30"/>
  <c r="Y191" i="30" s="1"/>
  <c r="R190" i="30"/>
  <c r="Y190" i="30" s="1"/>
  <c r="AC190" i="30" s="1"/>
  <c r="R189" i="30"/>
  <c r="U188" i="30"/>
  <c r="AB188" i="30" s="1"/>
  <c r="T188" i="30"/>
  <c r="AA188" i="30" s="1"/>
  <c r="S188" i="30"/>
  <c r="Z188" i="30" s="1"/>
  <c r="R188" i="30"/>
  <c r="Y188" i="30" s="1"/>
  <c r="Q188" i="30"/>
  <c r="X188" i="30" s="1"/>
  <c r="U187" i="30"/>
  <c r="AB187" i="30" s="1"/>
  <c r="T187" i="30"/>
  <c r="AA187" i="30" s="1"/>
  <c r="S187" i="30"/>
  <c r="Z187" i="30" s="1"/>
  <c r="R187" i="30"/>
  <c r="Q187" i="30"/>
  <c r="X187" i="30" s="1"/>
  <c r="U186" i="30"/>
  <c r="AB186" i="30" s="1"/>
  <c r="T186" i="30"/>
  <c r="AA186" i="30" s="1"/>
  <c r="S186" i="30"/>
  <c r="Z186" i="30" s="1"/>
  <c r="R186" i="30"/>
  <c r="Q186" i="30"/>
  <c r="X186" i="30" s="1"/>
  <c r="U185" i="30"/>
  <c r="AB185" i="30" s="1"/>
  <c r="T185" i="30"/>
  <c r="AA185" i="30" s="1"/>
  <c r="S185" i="30"/>
  <c r="Z185" i="30" s="1"/>
  <c r="R185" i="30"/>
  <c r="Q185" i="30"/>
  <c r="X185" i="30" s="1"/>
  <c r="U184" i="30"/>
  <c r="AB184" i="30" s="1"/>
  <c r="T184" i="30"/>
  <c r="AA184" i="30" s="1"/>
  <c r="S184" i="30"/>
  <c r="R184" i="30"/>
  <c r="Y184" i="30" s="1"/>
  <c r="Q184" i="30"/>
  <c r="X184" i="30" s="1"/>
  <c r="U183" i="30"/>
  <c r="AB183" i="30" s="1"/>
  <c r="T183" i="30"/>
  <c r="AA183" i="30" s="1"/>
  <c r="S183" i="30"/>
  <c r="Z183" i="30" s="1"/>
  <c r="R183" i="30"/>
  <c r="Q183" i="30"/>
  <c r="X183" i="30" s="1"/>
  <c r="Q182" i="30"/>
  <c r="Q181" i="30"/>
  <c r="X181" i="30" s="1"/>
  <c r="U179" i="30"/>
  <c r="AB179" i="30" s="1"/>
  <c r="T179" i="30"/>
  <c r="AA179" i="30" s="1"/>
  <c r="S179" i="30"/>
  <c r="Q179" i="30"/>
  <c r="Q178" i="30"/>
  <c r="X178" i="30" s="1"/>
  <c r="AC219" i="30"/>
  <c r="AC218" i="30"/>
  <c r="AC217" i="30"/>
  <c r="AC216" i="30"/>
  <c r="AC215" i="30"/>
  <c r="AC214" i="30"/>
  <c r="AC213" i="30"/>
  <c r="AC212" i="30"/>
  <c r="AC211" i="30"/>
  <c r="AC210" i="30"/>
  <c r="AC209" i="30"/>
  <c r="AC208" i="30"/>
  <c r="AC207" i="30"/>
  <c r="AC206" i="30"/>
  <c r="AC205" i="30"/>
  <c r="AC204" i="30"/>
  <c r="AC203" i="30"/>
  <c r="AC202" i="30"/>
  <c r="AC201" i="30"/>
  <c r="AC200" i="30"/>
  <c r="AB200" i="30"/>
  <c r="AA200" i="30"/>
  <c r="Z200" i="30"/>
  <c r="Y200" i="30"/>
  <c r="X200" i="30"/>
  <c r="V200" i="30"/>
  <c r="U200" i="30"/>
  <c r="T200" i="30"/>
  <c r="S200" i="30"/>
  <c r="R200" i="30"/>
  <c r="Q200" i="30"/>
  <c r="Q177" i="30"/>
  <c r="X177" i="30" s="1"/>
  <c r="O188" i="30"/>
  <c r="O187" i="30"/>
  <c r="O186" i="30"/>
  <c r="O185" i="30"/>
  <c r="O184" i="30"/>
  <c r="O183" i="30"/>
  <c r="O179" i="30"/>
  <c r="G35" i="38"/>
  <c r="S178" i="30"/>
  <c r="O177" i="30"/>
  <c r="O182" i="30"/>
  <c r="O180" i="30"/>
  <c r="U180" i="30"/>
  <c r="AB180" i="30" s="1"/>
  <c r="U189" i="30"/>
  <c r="AB189" i="30" s="1"/>
  <c r="O181" i="30"/>
  <c r="O189" i="30"/>
  <c r="X180" i="30"/>
  <c r="I73" i="30"/>
  <c r="K73" i="30"/>
  <c r="L73" i="30"/>
  <c r="M73" i="30"/>
  <c r="N73" i="30"/>
  <c r="J73" i="30"/>
  <c r="I69" i="30"/>
  <c r="I70" i="30" s="1"/>
  <c r="I67" i="30"/>
  <c r="I65" i="30"/>
  <c r="B3" i="31"/>
  <c r="J149" i="30"/>
  <c r="J123" i="30"/>
  <c r="K123" i="30" s="1"/>
  <c r="L123" i="30" s="1"/>
  <c r="M123" i="30" s="1"/>
  <c r="N123" i="30" s="1"/>
  <c r="J89" i="30"/>
  <c r="J85" i="30"/>
  <c r="J78" i="30"/>
  <c r="K78" i="30" s="1"/>
  <c r="L78" i="30" s="1"/>
  <c r="M78" i="30" s="1"/>
  <c r="N78" i="30" s="1"/>
  <c r="O78" i="30" s="1"/>
  <c r="P78" i="30" s="1"/>
  <c r="Q78" i="30" s="1"/>
  <c r="R78" i="30" s="1"/>
  <c r="J56" i="30"/>
  <c r="K56" i="30" s="1"/>
  <c r="D146" i="4"/>
  <c r="D147" i="4" s="1"/>
  <c r="D148" i="4" s="1"/>
  <c r="D149" i="4" s="1"/>
  <c r="D150" i="4" s="1"/>
  <c r="D151" i="4" s="1"/>
  <c r="B3" i="30"/>
  <c r="G14" i="4"/>
  <c r="F15" i="4"/>
  <c r="F12" i="4"/>
  <c r="G11" i="4"/>
  <c r="B3" i="4"/>
  <c r="L74" i="4"/>
  <c r="B69" i="4"/>
  <c r="B70" i="4"/>
  <c r="B71" i="4"/>
  <c r="B72" i="4"/>
  <c r="B73" i="4"/>
  <c r="B74" i="4"/>
  <c r="B75" i="4"/>
  <c r="B50" i="4"/>
  <c r="B51" i="4"/>
  <c r="B52" i="4"/>
  <c r="B53" i="4"/>
  <c r="B77" i="4"/>
  <c r="B57" i="4"/>
  <c r="B76" i="4"/>
  <c r="B55" i="4"/>
  <c r="B56" i="4"/>
  <c r="B78" i="4"/>
  <c r="B68" i="4"/>
  <c r="B67" i="4"/>
  <c r="B66" i="4"/>
  <c r="B65" i="4"/>
  <c r="B64" i="4"/>
  <c r="B63" i="4"/>
  <c r="B62" i="4"/>
  <c r="B58" i="4"/>
  <c r="B54" i="4"/>
  <c r="B49" i="4"/>
  <c r="B48" i="4"/>
  <c r="B47" i="4"/>
  <c r="B46" i="4"/>
  <c r="B45" i="4"/>
  <c r="B44" i="4"/>
  <c r="B43" i="4"/>
  <c r="B42" i="4"/>
  <c r="E125" i="4"/>
  <c r="E128" i="4" s="1"/>
  <c r="E131" i="4" s="1"/>
  <c r="E124" i="4"/>
  <c r="E127" i="4" s="1"/>
  <c r="E130" i="4" s="1"/>
  <c r="E123" i="4"/>
  <c r="E126" i="4" s="1"/>
  <c r="E129" i="4" s="1"/>
  <c r="M27" i="4"/>
  <c r="N27" i="4"/>
  <c r="O27" i="4"/>
  <c r="P27" i="4"/>
  <c r="Q27" i="4"/>
  <c r="R27" i="4"/>
  <c r="S27" i="4"/>
  <c r="T27" i="4"/>
  <c r="U27" i="4"/>
  <c r="V27" i="4"/>
  <c r="W27" i="4"/>
  <c r="X27" i="4"/>
  <c r="L27" i="4"/>
  <c r="L54" i="4"/>
  <c r="M54" i="4" s="1"/>
  <c r="N54" i="4" s="1"/>
  <c r="N55" i="4" s="1"/>
  <c r="L34" i="4"/>
  <c r="L37" i="4" s="1"/>
  <c r="L58" i="4"/>
  <c r="L38" i="4"/>
  <c r="L78" i="4"/>
  <c r="M58" i="4"/>
  <c r="N58" i="4"/>
  <c r="O58" i="4"/>
  <c r="M78" i="4"/>
  <c r="M38" i="4"/>
  <c r="N38" i="4"/>
  <c r="P58" i="4"/>
  <c r="N78" i="4"/>
  <c r="O38" i="4"/>
  <c r="P38" i="4"/>
  <c r="Q58" i="4"/>
  <c r="O78" i="4"/>
  <c r="R58" i="4"/>
  <c r="Q38" i="4"/>
  <c r="R38" i="4"/>
  <c r="S58" i="4"/>
  <c r="T58" i="4"/>
  <c r="P78" i="4"/>
  <c r="S38" i="4"/>
  <c r="U58" i="4"/>
  <c r="T38" i="4"/>
  <c r="U38" i="4"/>
  <c r="V58" i="4"/>
  <c r="Q78" i="4"/>
  <c r="W58" i="4"/>
  <c r="X58" i="4"/>
  <c r="V38" i="4"/>
  <c r="W38" i="4"/>
  <c r="X38" i="4"/>
  <c r="R78" i="4"/>
  <c r="S78" i="4"/>
  <c r="T78" i="4"/>
  <c r="U78" i="4"/>
  <c r="V78" i="4"/>
  <c r="W78" i="4"/>
  <c r="X78" i="4"/>
  <c r="AL15" i="30" l="1"/>
  <c r="V190" i="30"/>
  <c r="D163" i="4"/>
  <c r="L55" i="4"/>
  <c r="AC193" i="30"/>
  <c r="C22" i="38"/>
  <c r="C9" i="38"/>
  <c r="D164" i="4"/>
  <c r="Y15" i="30"/>
  <c r="Y51" i="30" s="1"/>
  <c r="L36" i="4"/>
  <c r="L35" i="4"/>
  <c r="V180" i="30"/>
  <c r="Z15" i="30"/>
  <c r="Z51" i="30" s="1"/>
  <c r="Y181" i="30"/>
  <c r="AC181" i="30" s="1"/>
  <c r="V181" i="30"/>
  <c r="V193" i="30"/>
  <c r="L25" i="4"/>
  <c r="L26" i="4" s="1"/>
  <c r="L21" i="4" s="1"/>
  <c r="J65" i="30"/>
  <c r="V182" i="30"/>
  <c r="V177" i="30"/>
  <c r="X191" i="30"/>
  <c r="AB52" i="30" s="1"/>
  <c r="S51" i="30"/>
  <c r="AA15" i="30"/>
  <c r="K254" i="30"/>
  <c r="V188" i="30"/>
  <c r="D160" i="4"/>
  <c r="N47" i="4"/>
  <c r="M47" i="4"/>
  <c r="M74" i="4"/>
  <c r="L65" i="4"/>
  <c r="L67" i="4" s="1"/>
  <c r="L66" i="4" s="1"/>
  <c r="M34" i="4"/>
  <c r="L45" i="4"/>
  <c r="L47" i="4" s="1"/>
  <c r="L46" i="4" s="1"/>
  <c r="L56" i="4"/>
  <c r="O54" i="4"/>
  <c r="M55" i="4"/>
  <c r="L57" i="4"/>
  <c r="L56" i="30"/>
  <c r="K65" i="30"/>
  <c r="AC15" i="30"/>
  <c r="U51" i="30"/>
  <c r="D165" i="4"/>
  <c r="G12" i="38"/>
  <c r="AC192" i="30"/>
  <c r="V191" i="30"/>
  <c r="V51" i="30"/>
  <c r="L254" i="30"/>
  <c r="I254" i="30"/>
  <c r="AC188" i="30"/>
  <c r="V192" i="30"/>
  <c r="AC182" i="30"/>
  <c r="T52" i="30"/>
  <c r="G32" i="38"/>
  <c r="P51" i="30"/>
  <c r="X15" i="30"/>
  <c r="T51" i="30"/>
  <c r="AB15" i="30"/>
  <c r="Q52" i="30"/>
  <c r="X182" i="30"/>
  <c r="Y52" i="30" s="1"/>
  <c r="V184" i="30"/>
  <c r="Z184" i="30"/>
  <c r="AC184" i="30" s="1"/>
  <c r="Z178" i="30"/>
  <c r="AC178" i="30" s="1"/>
  <c r="V178" i="30"/>
  <c r="V179" i="30"/>
  <c r="Z179" i="30"/>
  <c r="AC179" i="30" s="1"/>
  <c r="Y183" i="30"/>
  <c r="AC183" i="30" s="1"/>
  <c r="V183" i="30"/>
  <c r="Y189" i="30"/>
  <c r="AC189" i="30" s="1"/>
  <c r="V189" i="30"/>
  <c r="Y186" i="30"/>
  <c r="AC186" i="30" s="1"/>
  <c r="V186" i="30"/>
  <c r="J254" i="30"/>
  <c r="X179" i="30"/>
  <c r="X52" i="30" s="1"/>
  <c r="P52" i="30"/>
  <c r="V185" i="30"/>
  <c r="Y185" i="30"/>
  <c r="AC185" i="30" s="1"/>
  <c r="M254" i="30"/>
  <c r="Y187" i="30"/>
  <c r="AC187" i="30" s="1"/>
  <c r="V187" i="30"/>
  <c r="AC191" i="30"/>
  <c r="V30" i="30"/>
  <c r="AC180" i="30"/>
  <c r="D161" i="4"/>
  <c r="AC177" i="30"/>
  <c r="L52" i="30"/>
  <c r="K149" i="30"/>
  <c r="D166" i="4"/>
  <c r="G49" i="38"/>
  <c r="G33" i="38"/>
  <c r="I71" i="30"/>
  <c r="I74" i="30" s="1"/>
  <c r="AH15" i="30" l="1"/>
  <c r="G46" i="38"/>
  <c r="L28" i="4"/>
  <c r="L29" i="4" s="1"/>
  <c r="G51" i="38"/>
  <c r="AG15" i="30"/>
  <c r="L149" i="30"/>
  <c r="L23" i="4"/>
  <c r="L24" i="4" s="1"/>
  <c r="AA51" i="30"/>
  <c r="AI15" i="30"/>
  <c r="L30" i="4"/>
  <c r="L31" i="4" s="1"/>
  <c r="E23" i="38"/>
  <c r="O55" i="4"/>
  <c r="P54" i="4"/>
  <c r="O47" i="4"/>
  <c r="L33" i="4"/>
  <c r="L65" i="30"/>
  <c r="M56" i="30"/>
  <c r="L41" i="4"/>
  <c r="L48" i="4"/>
  <c r="L49" i="4" s="1"/>
  <c r="L43" i="4"/>
  <c r="L50" i="4"/>
  <c r="L51" i="4" s="1"/>
  <c r="M45" i="4"/>
  <c r="M46" i="4" s="1"/>
  <c r="L76" i="4"/>
  <c r="L77" i="4"/>
  <c r="AK15" i="30"/>
  <c r="AC51" i="30"/>
  <c r="L63" i="4"/>
  <c r="L68" i="4"/>
  <c r="L69" i="4" s="1"/>
  <c r="L70" i="4"/>
  <c r="L71" i="4" s="1"/>
  <c r="L61" i="4"/>
  <c r="M67" i="4"/>
  <c r="M65" i="4"/>
  <c r="N74" i="4"/>
  <c r="N34" i="4"/>
  <c r="M25" i="4"/>
  <c r="M26" i="4" s="1"/>
  <c r="G34" i="38"/>
  <c r="AB51" i="30"/>
  <c r="AJ15" i="30"/>
  <c r="G39" i="38"/>
  <c r="AF15" i="30"/>
  <c r="X51" i="30"/>
  <c r="D23" i="38"/>
  <c r="G38" i="38"/>
  <c r="E10" i="38"/>
  <c r="D10" i="38"/>
  <c r="G41" i="38"/>
  <c r="G40" i="38"/>
  <c r="M66" i="4" l="1"/>
  <c r="M68" i="4" s="1"/>
  <c r="M69" i="4" s="1"/>
  <c r="L32" i="4"/>
  <c r="L22" i="4"/>
  <c r="G52" i="38"/>
  <c r="G25" i="38"/>
  <c r="M35" i="4"/>
  <c r="M149" i="30"/>
  <c r="M48" i="4"/>
  <c r="M49" i="4" s="1"/>
  <c r="M41" i="4"/>
  <c r="M43" i="4"/>
  <c r="M42" i="4" s="1"/>
  <c r="M50" i="4"/>
  <c r="M51" i="4" s="1"/>
  <c r="N45" i="4"/>
  <c r="N46" i="4" s="1"/>
  <c r="L53" i="4"/>
  <c r="L44" i="4"/>
  <c r="L52" i="4"/>
  <c r="N56" i="30"/>
  <c r="M65" i="30"/>
  <c r="N67" i="4"/>
  <c r="O74" i="4"/>
  <c r="L73" i="4"/>
  <c r="L72" i="4"/>
  <c r="L64" i="4"/>
  <c r="M28" i="4"/>
  <c r="M29" i="4" s="1"/>
  <c r="M30" i="4"/>
  <c r="M31" i="4" s="1"/>
  <c r="M23" i="4"/>
  <c r="M22" i="4" s="1"/>
  <c r="M21" i="4"/>
  <c r="L42" i="4"/>
  <c r="N25" i="4"/>
  <c r="N26" i="4" s="1"/>
  <c r="O34" i="4"/>
  <c r="M76" i="4"/>
  <c r="M77" i="4"/>
  <c r="L62" i="4"/>
  <c r="P47" i="4"/>
  <c r="Q54" i="4"/>
  <c r="P55" i="4"/>
  <c r="F11" i="38"/>
  <c r="M61" i="4" l="1"/>
  <c r="N65" i="4"/>
  <c r="N66" i="4" s="1"/>
  <c r="O65" i="4" s="1"/>
  <c r="M70" i="4"/>
  <c r="M71" i="4" s="1"/>
  <c r="M63" i="4"/>
  <c r="M62" i="4" s="1"/>
  <c r="N149" i="30"/>
  <c r="N35" i="4"/>
  <c r="O67" i="4"/>
  <c r="P74" i="4"/>
  <c r="N43" i="4"/>
  <c r="N50" i="4"/>
  <c r="N51" i="4" s="1"/>
  <c r="N41" i="4"/>
  <c r="N48" i="4"/>
  <c r="N49" i="4" s="1"/>
  <c r="O45" i="4"/>
  <c r="O46" i="4" s="1"/>
  <c r="N23" i="4"/>
  <c r="N22" i="4" s="1"/>
  <c r="N28" i="4"/>
  <c r="N29" i="4" s="1"/>
  <c r="N21" i="4"/>
  <c r="N30" i="4"/>
  <c r="N31" i="4" s="1"/>
  <c r="N76" i="4"/>
  <c r="N77" i="4"/>
  <c r="R54" i="4"/>
  <c r="Q55" i="4"/>
  <c r="Q47" i="4"/>
  <c r="M33" i="4"/>
  <c r="M24" i="4"/>
  <c r="M37" i="4" s="1"/>
  <c r="M32" i="4"/>
  <c r="M36" i="4"/>
  <c r="M52" i="4"/>
  <c r="M44" i="4"/>
  <c r="M57" i="4" s="1"/>
  <c r="M53" i="4"/>
  <c r="M56" i="4"/>
  <c r="O25" i="4"/>
  <c r="O26" i="4" s="1"/>
  <c r="P34" i="4"/>
  <c r="N65" i="30"/>
  <c r="M64" i="4" l="1"/>
  <c r="M72" i="4"/>
  <c r="M73" i="4"/>
  <c r="N70" i="4"/>
  <c r="N71" i="4" s="1"/>
  <c r="N68" i="4"/>
  <c r="N69" i="4" s="1"/>
  <c r="N61" i="4"/>
  <c r="N63" i="4"/>
  <c r="N62" i="4" s="1"/>
  <c r="N36" i="4"/>
  <c r="O66" i="4"/>
  <c r="O63" i="4" s="1"/>
  <c r="O62" i="4" s="1"/>
  <c r="O35" i="4"/>
  <c r="N56" i="4"/>
  <c r="Q34" i="4"/>
  <c r="P25" i="4"/>
  <c r="P26" i="4" s="1"/>
  <c r="O48" i="4"/>
  <c r="O49" i="4" s="1"/>
  <c r="O43" i="4"/>
  <c r="O41" i="4"/>
  <c r="O50" i="4"/>
  <c r="O51" i="4" s="1"/>
  <c r="P45" i="4"/>
  <c r="P46" i="4" s="1"/>
  <c r="O23" i="4"/>
  <c r="O21" i="4"/>
  <c r="O30" i="4"/>
  <c r="O31" i="4" s="1"/>
  <c r="O28" i="4"/>
  <c r="O29" i="4" s="1"/>
  <c r="O22" i="4"/>
  <c r="S54" i="4"/>
  <c r="R47" i="4"/>
  <c r="R55" i="4"/>
  <c r="N53" i="4"/>
  <c r="N52" i="4"/>
  <c r="N44" i="4"/>
  <c r="N57" i="4" s="1"/>
  <c r="O76" i="4"/>
  <c r="O77" i="4"/>
  <c r="N24" i="4"/>
  <c r="N37" i="4" s="1"/>
  <c r="N32" i="4"/>
  <c r="N33" i="4"/>
  <c r="N42" i="4"/>
  <c r="Q74" i="4"/>
  <c r="P67" i="4"/>
  <c r="O56" i="4" l="1"/>
  <c r="N64" i="4"/>
  <c r="O68" i="4"/>
  <c r="O69" i="4" s="1"/>
  <c r="N72" i="4"/>
  <c r="N73" i="4"/>
  <c r="O70" i="4"/>
  <c r="O71" i="4" s="1"/>
  <c r="P65" i="4"/>
  <c r="P77" i="4" s="1"/>
  <c r="O61" i="4"/>
  <c r="S55" i="4"/>
  <c r="T54" i="4"/>
  <c r="S47" i="4"/>
  <c r="O32" i="4"/>
  <c r="O33" i="4"/>
  <c r="O24" i="4"/>
  <c r="O37" i="4" s="1"/>
  <c r="O36" i="4"/>
  <c r="O52" i="4"/>
  <c r="O53" i="4"/>
  <c r="O44" i="4"/>
  <c r="O57" i="4" s="1"/>
  <c r="Q25" i="4"/>
  <c r="Q26" i="4" s="1"/>
  <c r="R34" i="4"/>
  <c r="O73" i="4"/>
  <c r="O72" i="4"/>
  <c r="O64" i="4"/>
  <c r="P43" i="4"/>
  <c r="P41" i="4"/>
  <c r="P48" i="4"/>
  <c r="P49" i="4" s="1"/>
  <c r="P50" i="4"/>
  <c r="P51" i="4" s="1"/>
  <c r="Q45" i="4"/>
  <c r="Q46" i="4" s="1"/>
  <c r="Q67" i="4"/>
  <c r="R74" i="4"/>
  <c r="O42" i="4"/>
  <c r="P35" i="4"/>
  <c r="P30" i="4"/>
  <c r="P31" i="4" s="1"/>
  <c r="P21" i="4"/>
  <c r="P23" i="4"/>
  <c r="P22" i="4" s="1"/>
  <c r="P28" i="4"/>
  <c r="P29" i="4" s="1"/>
  <c r="P56" i="4" l="1"/>
  <c r="P42" i="4"/>
  <c r="P66" i="4"/>
  <c r="P68" i="4" s="1"/>
  <c r="P69" i="4" s="1"/>
  <c r="P76" i="4"/>
  <c r="Q35" i="4"/>
  <c r="P33" i="4"/>
  <c r="P24" i="4"/>
  <c r="P37" i="4" s="1"/>
  <c r="P32" i="4"/>
  <c r="R67" i="4"/>
  <c r="S74" i="4"/>
  <c r="P36" i="4"/>
  <c r="T55" i="4"/>
  <c r="T47" i="4"/>
  <c r="U54" i="4"/>
  <c r="S34" i="4"/>
  <c r="R25" i="4"/>
  <c r="R26" i="4" s="1"/>
  <c r="Q43" i="4"/>
  <c r="Q50" i="4"/>
  <c r="Q51" i="4" s="1"/>
  <c r="Q48" i="4"/>
  <c r="Q49" i="4" s="1"/>
  <c r="Q41" i="4"/>
  <c r="R45" i="4"/>
  <c r="R46" i="4" s="1"/>
  <c r="P52" i="4"/>
  <c r="P44" i="4"/>
  <c r="P57" i="4" s="1"/>
  <c r="P53" i="4"/>
  <c r="Q23" i="4"/>
  <c r="Q22" i="4" s="1"/>
  <c r="Q21" i="4"/>
  <c r="Q28" i="4"/>
  <c r="Q29" i="4" s="1"/>
  <c r="Q30" i="4"/>
  <c r="Q31" i="4" s="1"/>
  <c r="H23" i="25"/>
  <c r="P63" i="4" l="1"/>
  <c r="P70" i="4"/>
  <c r="P71" i="4" s="1"/>
  <c r="P61" i="4"/>
  <c r="Q65" i="4"/>
  <c r="R35" i="4"/>
  <c r="Q52" i="4"/>
  <c r="Q44" i="4"/>
  <c r="Q57" i="4" s="1"/>
  <c r="Q53" i="4"/>
  <c r="T34" i="4"/>
  <c r="S25" i="4"/>
  <c r="S26" i="4" s="1"/>
  <c r="Q36" i="4"/>
  <c r="Q32" i="4"/>
  <c r="Q24" i="4"/>
  <c r="Q37" i="4" s="1"/>
  <c r="Q33" i="4"/>
  <c r="R43" i="4"/>
  <c r="R42" i="4" s="1"/>
  <c r="R50" i="4"/>
  <c r="R51" i="4" s="1"/>
  <c r="R41" i="4"/>
  <c r="R48" i="4"/>
  <c r="R49" i="4" s="1"/>
  <c r="S45" i="4"/>
  <c r="S46" i="4" s="1"/>
  <c r="Q42" i="4"/>
  <c r="R23" i="4"/>
  <c r="R30" i="4"/>
  <c r="R31" i="4" s="1"/>
  <c r="R21" i="4"/>
  <c r="R28" i="4"/>
  <c r="R29" i="4" s="1"/>
  <c r="U55" i="4"/>
  <c r="U47" i="4"/>
  <c r="V54" i="4"/>
  <c r="S67" i="4"/>
  <c r="T74" i="4"/>
  <c r="Q56" i="4"/>
  <c r="H24" i="25"/>
  <c r="P62" i="4" l="1"/>
  <c r="P64" i="4"/>
  <c r="P72" i="4"/>
  <c r="P73" i="4"/>
  <c r="Q66" i="4"/>
  <c r="Q77" i="4"/>
  <c r="Q76" i="4"/>
  <c r="R56" i="4"/>
  <c r="V47" i="4"/>
  <c r="V55" i="4"/>
  <c r="W54" i="4"/>
  <c r="R44" i="4"/>
  <c r="R57" i="4" s="1"/>
  <c r="R53" i="4"/>
  <c r="R52" i="4"/>
  <c r="R24" i="4"/>
  <c r="R37" i="4" s="1"/>
  <c r="R32" i="4"/>
  <c r="R33" i="4"/>
  <c r="S35" i="4"/>
  <c r="U34" i="4"/>
  <c r="T25" i="4"/>
  <c r="T26" i="4" s="1"/>
  <c r="R36" i="4"/>
  <c r="S23" i="4"/>
  <c r="S22" i="4" s="1"/>
  <c r="S28" i="4"/>
  <c r="S29" i="4" s="1"/>
  <c r="S30" i="4"/>
  <c r="S31" i="4" s="1"/>
  <c r="S21" i="4"/>
  <c r="T67" i="4"/>
  <c r="U74" i="4"/>
  <c r="R22" i="4"/>
  <c r="S41" i="4"/>
  <c r="S43" i="4"/>
  <c r="S42" i="4" s="1"/>
  <c r="S50" i="4"/>
  <c r="S51" i="4" s="1"/>
  <c r="S48" i="4"/>
  <c r="S49" i="4" s="1"/>
  <c r="T45" i="4"/>
  <c r="T46" i="4" s="1"/>
  <c r="Q70" i="4" l="1"/>
  <c r="Q71" i="4" s="1"/>
  <c r="Q68" i="4"/>
  <c r="Q69" i="4" s="1"/>
  <c r="Q63" i="4"/>
  <c r="Q61" i="4"/>
  <c r="R65" i="4"/>
  <c r="S36" i="4"/>
  <c r="T21" i="4"/>
  <c r="T30" i="4"/>
  <c r="T31" i="4" s="1"/>
  <c r="T28" i="4"/>
  <c r="T29" i="4" s="1"/>
  <c r="T23" i="4"/>
  <c r="V34" i="4"/>
  <c r="U25" i="4"/>
  <c r="U26" i="4" s="1"/>
  <c r="X54" i="4"/>
  <c r="W47" i="4"/>
  <c r="W55" i="4"/>
  <c r="T35" i="4"/>
  <c r="T41" i="4"/>
  <c r="T43" i="4"/>
  <c r="T42" i="4" s="1"/>
  <c r="T50" i="4"/>
  <c r="T51" i="4" s="1"/>
  <c r="T48" i="4"/>
  <c r="T49" i="4" s="1"/>
  <c r="U45" i="4"/>
  <c r="U46" i="4" s="1"/>
  <c r="S52" i="4"/>
  <c r="S53" i="4"/>
  <c r="S44" i="4"/>
  <c r="S57" i="4" s="1"/>
  <c r="S32" i="4"/>
  <c r="S33" i="4"/>
  <c r="S24" i="4"/>
  <c r="S37" i="4" s="1"/>
  <c r="S56" i="4"/>
  <c r="V74" i="4"/>
  <c r="U67" i="4"/>
  <c r="R76" i="4" l="1"/>
  <c r="R66" i="4"/>
  <c r="R77" i="4"/>
  <c r="Q62" i="4"/>
  <c r="Q73" i="4"/>
  <c r="Q64" i="4"/>
  <c r="Q72" i="4"/>
  <c r="U35" i="4"/>
  <c r="T56" i="4"/>
  <c r="U28" i="4"/>
  <c r="U29" i="4" s="1"/>
  <c r="U21" i="4"/>
  <c r="U23" i="4"/>
  <c r="U30" i="4"/>
  <c r="U31" i="4" s="1"/>
  <c r="T33" i="4"/>
  <c r="T24" i="4"/>
  <c r="T37" i="4" s="1"/>
  <c r="T32" i="4"/>
  <c r="T36" i="4"/>
  <c r="W74" i="4"/>
  <c r="V67" i="4"/>
  <c r="X47" i="4"/>
  <c r="X55" i="4"/>
  <c r="U41" i="4"/>
  <c r="U50" i="4"/>
  <c r="U51" i="4" s="1"/>
  <c r="U43" i="4"/>
  <c r="U42" i="4" s="1"/>
  <c r="U48" i="4"/>
  <c r="U49" i="4" s="1"/>
  <c r="V45" i="4"/>
  <c r="V46" i="4" s="1"/>
  <c r="T44" i="4"/>
  <c r="T57" i="4" s="1"/>
  <c r="T53" i="4"/>
  <c r="T52" i="4"/>
  <c r="V25" i="4"/>
  <c r="V26" i="4" s="1"/>
  <c r="W34" i="4"/>
  <c r="T22" i="4"/>
  <c r="R61" i="4" l="1"/>
  <c r="R70" i="4"/>
  <c r="R71" i="4" s="1"/>
  <c r="R63" i="4"/>
  <c r="R68" i="4"/>
  <c r="R69" i="4" s="1"/>
  <c r="S65" i="4"/>
  <c r="U36" i="4"/>
  <c r="V21" i="4"/>
  <c r="V23" i="4"/>
  <c r="V28" i="4"/>
  <c r="V29" i="4" s="1"/>
  <c r="V30" i="4"/>
  <c r="V31" i="4" s="1"/>
  <c r="V43" i="4"/>
  <c r="V48" i="4"/>
  <c r="V49" i="4" s="1"/>
  <c r="V41" i="4"/>
  <c r="V50" i="4"/>
  <c r="V51" i="4" s="1"/>
  <c r="W45" i="4"/>
  <c r="W46" i="4" s="1"/>
  <c r="X74" i="4"/>
  <c r="W67" i="4"/>
  <c r="U33" i="4"/>
  <c r="U32" i="4"/>
  <c r="U24" i="4"/>
  <c r="U37" i="4" s="1"/>
  <c r="X34" i="4"/>
  <c r="W25" i="4"/>
  <c r="W26" i="4" s="1"/>
  <c r="V35" i="4"/>
  <c r="U52" i="4"/>
  <c r="U53" i="4"/>
  <c r="U44" i="4"/>
  <c r="U57" i="4" s="1"/>
  <c r="U22" i="4"/>
  <c r="U56" i="4"/>
  <c r="S76" i="4" l="1"/>
  <c r="S77" i="4"/>
  <c r="S66" i="4"/>
  <c r="R73" i="4"/>
  <c r="R64" i="4"/>
  <c r="R72" i="4"/>
  <c r="R62" i="4"/>
  <c r="V56" i="4"/>
  <c r="W35" i="4"/>
  <c r="W28" i="4"/>
  <c r="W29" i="4" s="1"/>
  <c r="W23" i="4"/>
  <c r="W21" i="4"/>
  <c r="W30" i="4"/>
  <c r="W31" i="4" s="1"/>
  <c r="V53" i="4"/>
  <c r="V52" i="4"/>
  <c r="V44" i="4"/>
  <c r="V57" i="4" s="1"/>
  <c r="W41" i="4"/>
  <c r="W48" i="4"/>
  <c r="W49" i="4" s="1"/>
  <c r="W43" i="4"/>
  <c r="W50" i="4"/>
  <c r="W51" i="4" s="1"/>
  <c r="X45" i="4"/>
  <c r="X46" i="4" s="1"/>
  <c r="X25" i="4"/>
  <c r="X26" i="4" s="1"/>
  <c r="V32" i="4"/>
  <c r="V33" i="4"/>
  <c r="V24" i="4"/>
  <c r="V37" i="4" s="1"/>
  <c r="V36" i="4"/>
  <c r="X67" i="4"/>
  <c r="V42" i="4"/>
  <c r="V22" i="4"/>
  <c r="S61" i="4" l="1"/>
  <c r="S68" i="4"/>
  <c r="S69" i="4" s="1"/>
  <c r="S70" i="4"/>
  <c r="S71" i="4" s="1"/>
  <c r="S63" i="4"/>
  <c r="T65" i="4"/>
  <c r="W44" i="4"/>
  <c r="W57" i="4" s="1"/>
  <c r="W53" i="4"/>
  <c r="W52" i="4"/>
  <c r="W33" i="4"/>
  <c r="W32" i="4"/>
  <c r="W24" i="4"/>
  <c r="W37" i="4" s="1"/>
  <c r="W36" i="4"/>
  <c r="X23" i="4"/>
  <c r="X22" i="4" s="1"/>
  <c r="X28" i="4"/>
  <c r="X29" i="4" s="1"/>
  <c r="X30" i="4"/>
  <c r="X31" i="4" s="1"/>
  <c r="X21" i="4"/>
  <c r="X48" i="4"/>
  <c r="X49" i="4" s="1"/>
  <c r="X41" i="4"/>
  <c r="X43" i="4"/>
  <c r="X42" i="4" s="1"/>
  <c r="X50" i="4"/>
  <c r="X51" i="4" s="1"/>
  <c r="W42" i="4"/>
  <c r="X35" i="4"/>
  <c r="W22" i="4"/>
  <c r="W56" i="4"/>
  <c r="S62" i="4" l="1"/>
  <c r="S72" i="4"/>
  <c r="S64" i="4"/>
  <c r="S73" i="4"/>
  <c r="T76" i="4"/>
  <c r="T77" i="4"/>
  <c r="T66" i="4"/>
  <c r="X56" i="4"/>
  <c r="X33" i="4"/>
  <c r="X24" i="4"/>
  <c r="X37" i="4" s="1"/>
  <c r="X32" i="4"/>
  <c r="X36" i="4"/>
  <c r="X52" i="4"/>
  <c r="X53" i="4"/>
  <c r="X44" i="4"/>
  <c r="X57" i="4" s="1"/>
  <c r="T63" i="4" l="1"/>
  <c r="T70" i="4"/>
  <c r="T71" i="4" s="1"/>
  <c r="T68" i="4"/>
  <c r="T69" i="4" s="1"/>
  <c r="T61" i="4"/>
  <c r="U65" i="4"/>
  <c r="T62" i="4" l="1"/>
  <c r="T64" i="4"/>
  <c r="T73" i="4"/>
  <c r="T72" i="4"/>
  <c r="U77" i="4"/>
  <c r="U66" i="4"/>
  <c r="U76" i="4"/>
  <c r="U63" i="4" l="1"/>
  <c r="V65" i="4"/>
  <c r="U70" i="4"/>
  <c r="U71" i="4" s="1"/>
  <c r="U61" i="4"/>
  <c r="U68" i="4"/>
  <c r="U69" i="4" s="1"/>
  <c r="V77" i="4" l="1"/>
  <c r="V76" i="4"/>
  <c r="V66" i="4"/>
  <c r="U62" i="4"/>
  <c r="U73" i="4"/>
  <c r="U64" i="4"/>
  <c r="U72" i="4"/>
  <c r="V63" i="4" l="1"/>
  <c r="V68" i="4"/>
  <c r="V69" i="4" s="1"/>
  <c r="V61" i="4"/>
  <c r="W65" i="4"/>
  <c r="V70" i="4"/>
  <c r="V71" i="4" s="1"/>
  <c r="V62" i="4" l="1"/>
  <c r="V64" i="4"/>
  <c r="V73" i="4"/>
  <c r="V72" i="4"/>
  <c r="W76" i="4"/>
  <c r="W66" i="4"/>
  <c r="W77" i="4"/>
  <c r="W68" i="4" l="1"/>
  <c r="W69" i="4" s="1"/>
  <c r="W61" i="4"/>
  <c r="W70" i="4"/>
  <c r="W71" i="4" s="1"/>
  <c r="W63" i="4"/>
  <c r="X65" i="4"/>
  <c r="X77" i="4" l="1"/>
  <c r="X66" i="4"/>
  <c r="X76" i="4"/>
  <c r="W62" i="4"/>
  <c r="W64" i="4"/>
  <c r="W73" i="4"/>
  <c r="W72" i="4"/>
  <c r="X61" i="4" l="1"/>
  <c r="X68" i="4"/>
  <c r="X69" i="4" s="1"/>
  <c r="X70" i="4"/>
  <c r="X71" i="4" s="1"/>
  <c r="X63" i="4"/>
  <c r="X62" i="4" l="1"/>
  <c r="X64" i="4"/>
  <c r="X72" i="4"/>
  <c r="X73" i="4"/>
  <c r="L169" i="30" l="1"/>
  <c r="K170" i="30"/>
  <c r="M169" i="30"/>
  <c r="L170" i="30"/>
  <c r="J169" i="30"/>
  <c r="N170" i="30"/>
  <c r="N169" i="30"/>
  <c r="M170" i="30"/>
  <c r="K169" i="30"/>
  <c r="J170" i="30"/>
  <c r="L171" i="30" l="1"/>
  <c r="J171" i="30"/>
  <c r="Q169" i="30"/>
  <c r="X169" i="30"/>
  <c r="AD169" i="30"/>
  <c r="V169" i="30"/>
  <c r="T169" i="30"/>
  <c r="U169" i="30"/>
  <c r="P169" i="30"/>
  <c r="S169" i="30"/>
  <c r="AC169" i="30"/>
  <c r="Y169" i="30"/>
  <c r="AB169" i="30"/>
  <c r="O169" i="30"/>
  <c r="Z169" i="30"/>
  <c r="R169" i="30"/>
  <c r="AA169" i="30"/>
  <c r="W169" i="30"/>
  <c r="P170" i="30"/>
  <c r="S170" i="30"/>
  <c r="R170" i="30"/>
  <c r="AA170" i="30"/>
  <c r="Q170" i="30"/>
  <c r="V170" i="30"/>
  <c r="AC170" i="30"/>
  <c r="T170" i="30"/>
  <c r="U170" i="30"/>
  <c r="Y170" i="30"/>
  <c r="Z170" i="30"/>
  <c r="X170" i="30"/>
  <c r="AD170" i="30"/>
  <c r="O170" i="30"/>
  <c r="AB170" i="30"/>
  <c r="W170" i="30"/>
  <c r="M171" i="30"/>
  <c r="K171" i="30"/>
  <c r="N171" i="30"/>
  <c r="Z171" i="30" l="1"/>
  <c r="AC171" i="30"/>
  <c r="T171" i="30"/>
  <c r="Q171" i="30"/>
  <c r="W171" i="30"/>
  <c r="O171" i="30"/>
  <c r="S171" i="30"/>
  <c r="V171" i="30"/>
  <c r="AA171" i="30"/>
  <c r="AB171" i="30"/>
  <c r="P171" i="30"/>
  <c r="AD171" i="30"/>
  <c r="R171" i="30"/>
  <c r="Y171" i="30"/>
  <c r="U171" i="30"/>
  <c r="X171" i="30"/>
  <c r="I66" i="30" l="1"/>
  <c r="K66" i="30"/>
  <c r="J66" i="30"/>
  <c r="L66" i="30"/>
  <c r="M66" i="30"/>
  <c r="N66" i="30"/>
  <c r="J67" i="30" l="1"/>
  <c r="K67" i="30" s="1"/>
  <c r="L67" i="30" s="1"/>
  <c r="M67" i="30" s="1"/>
  <c r="N67" i="30" s="1"/>
  <c r="H63" i="30" l="1"/>
  <c r="J69" i="30"/>
  <c r="J70" i="30" s="1"/>
  <c r="J71" i="30" s="1"/>
  <c r="J74" i="30" s="1"/>
  <c r="K69" i="30" l="1"/>
  <c r="K70" i="30" s="1"/>
  <c r="K71" i="30" s="1"/>
  <c r="K74" i="30" s="1"/>
  <c r="L69" i="30" l="1"/>
  <c r="L70" i="30" s="1"/>
  <c r="L71" i="30" s="1"/>
  <c r="L74" i="30" s="1"/>
  <c r="N69" i="30" l="1"/>
  <c r="N70" i="30" s="1"/>
  <c r="M69" i="30"/>
  <c r="M70" i="30" s="1"/>
  <c r="M71" i="30" s="1"/>
  <c r="M74" i="30" s="1"/>
  <c r="N71" i="30" l="1"/>
  <c r="N74" i="30" s="1"/>
  <c r="H19" i="25" l="1"/>
  <c r="I238" i="30"/>
  <c r="H18" i="25" l="1"/>
  <c r="H20" i="25" l="1"/>
  <c r="H22" i="25" l="1"/>
  <c r="I261" i="30" l="1"/>
  <c r="I263" i="30"/>
  <c r="H25" i="25" l="1"/>
  <c r="H27" i="25" s="1"/>
  <c r="H29" i="25" s="1"/>
  <c r="H9" i="25" s="1"/>
  <c r="H11" i="25" s="1"/>
  <c r="B2" i="44" l="1"/>
  <c r="B2" i="48"/>
  <c r="B2" i="45"/>
  <c r="B2" i="30"/>
  <c r="B2" i="31"/>
  <c r="B2" i="25"/>
  <c r="B2" i="41"/>
  <c r="B2" i="4"/>
  <c r="V20" i="30" l="1"/>
  <c r="V17" i="30"/>
  <c r="G36" i="38" l="1"/>
  <c r="G48" i="3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Hutchinson, Keith</author>
    <author>Moon, Lucy</author>
    <author>Eli Grace-Webb</author>
  </authors>
  <commentList>
    <comment ref="T16" authorId="0" shapeId="0" xr:uid="{00000000-0006-0000-0300-000001000000}">
      <text>
        <r>
          <rPr>
            <b/>
            <sz val="9"/>
            <color indexed="81"/>
            <rFont val="Tahoma"/>
            <family val="2"/>
          </rPr>
          <t>Hutchinson, Keith:</t>
        </r>
        <r>
          <rPr>
            <sz val="9"/>
            <color indexed="81"/>
            <rFont val="Tahoma"/>
            <family val="2"/>
          </rPr>
          <t xml:space="preserve">
This is below 40MWH SAC
</t>
        </r>
      </text>
    </comment>
    <comment ref="T17" authorId="0" shapeId="0" xr:uid="{00000000-0006-0000-0300-000002000000}">
      <text>
        <r>
          <rPr>
            <b/>
            <sz val="9"/>
            <color indexed="81"/>
            <rFont val="Tahoma"/>
            <family val="2"/>
          </rPr>
          <t>Hutchinson, Keith:</t>
        </r>
        <r>
          <rPr>
            <sz val="9"/>
            <color indexed="81"/>
            <rFont val="Tahoma"/>
            <family val="2"/>
          </rPr>
          <t xml:space="preserve">
Above 40MWh SAC
</t>
        </r>
      </text>
    </comment>
    <comment ref="O177" authorId="1" shapeId="0" xr:uid="{00000000-0006-0000-0300-000003000000}">
      <text>
        <r>
          <rPr>
            <sz val="9"/>
            <color indexed="81"/>
            <rFont val="Tahoma"/>
            <family val="2"/>
          </rPr>
          <t xml:space="preserve">&lt;750MWh pa Domestic Demand = energy consumption/(365 days * 24 hours)/average load factor*diversity factor/power factor
Average load factor = 0.1623
Diversity factor = 45%
Power factor = 0.9812
</t>
        </r>
      </text>
    </comment>
    <comment ref="V177" authorId="1" shapeId="0" xr:uid="{00000000-0006-0000-0300-000004000000}">
      <text>
        <r>
          <rPr>
            <sz val="9"/>
            <color indexed="81"/>
            <rFont val="Tahoma"/>
            <family val="2"/>
          </rPr>
          <t xml:space="preserve">&lt;750MWh pa Domestic Demand = energy consumption/(365 days * 24 hours)/average load factor*diversity factor/power factor
Average load factor = 0.1623
Diversity factor = 45%
Power factor = 0.9812
</t>
        </r>
      </text>
    </comment>
    <comment ref="AC177" authorId="1" shapeId="0" xr:uid="{00000000-0006-0000-0300-000005000000}">
      <text>
        <r>
          <rPr>
            <sz val="9"/>
            <color indexed="81"/>
            <rFont val="Tahoma"/>
            <family val="2"/>
          </rPr>
          <t xml:space="preserve">&lt;750MWh pa Domestic Demand = energy consumption/(365 days * 24 hours)/average load factor*diversity factor/power factor
Average load factor = 0.1623
Diversity factor = 45%
Power factor = 0.9812
</t>
        </r>
      </text>
    </comment>
    <comment ref="O178" authorId="1" shapeId="0" xr:uid="{00000000-0006-0000-0300-000006000000}">
      <text>
        <r>
          <rPr>
            <sz val="9"/>
            <color indexed="81"/>
            <rFont val="Tahoma"/>
            <family val="2"/>
          </rPr>
          <t xml:space="preserve">&lt;750MWh pa Domestic Demand = energy consumption/(365 days * 24 hours)/average load factor*diversity factor/power factor
Average load factor = 0.1623
Diversity factor = 45%
Power factor = 0.9812
</t>
        </r>
      </text>
    </comment>
    <comment ref="V178" authorId="1" shapeId="0" xr:uid="{00000000-0006-0000-0300-000007000000}">
      <text>
        <r>
          <rPr>
            <sz val="9"/>
            <color indexed="81"/>
            <rFont val="Tahoma"/>
            <family val="2"/>
          </rPr>
          <t xml:space="preserve">&lt;750MWh pa Domestic Demand = energy consumption/(365 days * 24 hours)/average load factor*diversity factor/power factor
Average load factor = 0.1623
Diversity factor = 45%
Power factor = 0.9812
</t>
        </r>
      </text>
    </comment>
    <comment ref="AC178" authorId="1" shapeId="0" xr:uid="{00000000-0006-0000-0300-000008000000}">
      <text>
        <r>
          <rPr>
            <sz val="9"/>
            <color indexed="81"/>
            <rFont val="Tahoma"/>
            <family val="2"/>
          </rPr>
          <t xml:space="preserve">&lt;750MWh pa Domestic Demand = energy consumption/(365 days * 24 hours)/average load factor*diversity factor/power factor
Average load factor = 0.1623
Diversity factor = 45%
Power factor = 0.9812
</t>
        </r>
      </text>
    </comment>
    <comment ref="O179" authorId="1" shapeId="0" xr:uid="{00000000-0006-0000-0300-000009000000}">
      <text>
        <r>
          <rPr>
            <sz val="9"/>
            <color indexed="81"/>
            <rFont val="Tahoma"/>
            <family val="2"/>
          </rPr>
          <t xml:space="preserve">&lt;750MWh pa Domestic Demand = energy consumption/(365 days * 24 hours)/average load factor*diversity factor/power factor
Average load factor = 0.1623
Diversity factor = 45%
Power factor = 0.9812
</t>
        </r>
      </text>
    </comment>
    <comment ref="V179" authorId="1" shapeId="0" xr:uid="{00000000-0006-0000-0300-00000A000000}">
      <text>
        <r>
          <rPr>
            <sz val="9"/>
            <color indexed="81"/>
            <rFont val="Tahoma"/>
            <family val="2"/>
          </rPr>
          <t xml:space="preserve">&lt;750MWh pa Domestic Demand = energy consumption/(365 days * 24 hours)/average load factor*diversity factor/power factor
Average load factor = 0.1623
Diversity factor = 45%
Power factor = 0.9812
</t>
        </r>
      </text>
    </comment>
    <comment ref="AC179" authorId="1" shapeId="0" xr:uid="{00000000-0006-0000-0300-00000B000000}">
      <text>
        <r>
          <rPr>
            <sz val="9"/>
            <color indexed="81"/>
            <rFont val="Tahoma"/>
            <family val="2"/>
          </rPr>
          <t xml:space="preserve">&lt;750MWh pa Domestic Demand = energy consumption/(365 days * 24 hours)/average load factor*diversity factor/power factor
Average load factor = 0.1623
Diversity factor = 45%
Power factor = 0.9812
</t>
        </r>
      </text>
    </comment>
    <comment ref="O180" authorId="1" shapeId="0" xr:uid="{00000000-0006-0000-0300-00000C000000}">
      <text>
        <r>
          <rPr>
            <sz val="9"/>
            <color indexed="81"/>
            <rFont val="Tahoma"/>
            <family val="2"/>
          </rPr>
          <t>&lt;750MWh pa Commercial Demand = energy consumption/(365 days * 24 hours)/average load factor*diversity factor/power factor
Average load factor = 0.2756 
Diversity factor = 85% 
Power factor = 0.8634</t>
        </r>
      </text>
    </comment>
    <comment ref="V180" authorId="1" shapeId="0" xr:uid="{00000000-0006-0000-0300-00000D000000}">
      <text>
        <r>
          <rPr>
            <sz val="9"/>
            <color indexed="81"/>
            <rFont val="Tahoma"/>
            <family val="2"/>
          </rPr>
          <t>&lt;750MWh pa Commercial Demand = energy consumption/(365 days * 24 hours)/average load factor*diversity factor/power factor
Average load factor = 0.2756 
Diversity factor = 85% 
Power factor = 0.8634</t>
        </r>
      </text>
    </comment>
    <comment ref="AC180" authorId="1" shapeId="0" xr:uid="{00000000-0006-0000-0300-00000E000000}">
      <text>
        <r>
          <rPr>
            <sz val="9"/>
            <color indexed="81"/>
            <rFont val="Tahoma"/>
            <family val="2"/>
          </rPr>
          <t>&lt;750MWh pa Commercial Demand = energy consumption/(365 days * 24 hours)/average load factor*diversity factor/power factor
Average load factor = 0.2756 
Diversity factor = 85% 
Power factor = 0.8634</t>
        </r>
      </text>
    </comment>
    <comment ref="O181" authorId="1" shapeId="0" xr:uid="{00000000-0006-0000-0300-00000F000000}">
      <text>
        <r>
          <rPr>
            <sz val="9"/>
            <color indexed="81"/>
            <rFont val="Tahoma"/>
            <family val="2"/>
          </rPr>
          <t>&lt;750MWh pa Commercial Demand = energy consumption/(365 days * 24 hours)/average load factor*diversity factor/power factor
Average load factor = 0.2756 
Diversity factor = 85% 
Power factor = 0.8634</t>
        </r>
      </text>
    </comment>
    <comment ref="V181" authorId="1" shapeId="0" xr:uid="{00000000-0006-0000-0300-000010000000}">
      <text>
        <r>
          <rPr>
            <sz val="9"/>
            <color indexed="81"/>
            <rFont val="Tahoma"/>
            <family val="2"/>
          </rPr>
          <t>&lt;750MWh pa Commercial Demand = energy consumption/(365 days * 24 hours)/average load factor*diversity factor/power factor
Average load factor = 0.2756 
Diversity factor = 85% 
Power factor = 0.8634</t>
        </r>
      </text>
    </comment>
    <comment ref="AC181" authorId="1" shapeId="0" xr:uid="{00000000-0006-0000-0300-000011000000}">
      <text>
        <r>
          <rPr>
            <sz val="9"/>
            <color indexed="81"/>
            <rFont val="Tahoma"/>
            <family val="2"/>
          </rPr>
          <t>&lt;750MWh pa Commercial Demand = energy consumption/(365 days * 24 hours)/average load factor*diversity factor/power factor
Average load factor = 0.2756 
Diversity factor = 85% 
Power factor = 0.8634</t>
        </r>
      </text>
    </comment>
    <comment ref="O182" authorId="1" shapeId="0" xr:uid="{00000000-0006-0000-0300-000012000000}">
      <text>
        <r>
          <rPr>
            <sz val="9"/>
            <color indexed="81"/>
            <rFont val="Tahoma"/>
            <family val="2"/>
          </rPr>
          <t>&lt;750MWh pa Commercial Demand = energy consumption/(365 days * 24 hours)/average load factor*diversity factor/power factor
Average load factor = 0.2756 
Diversity factor = 85% 
Power factor = 0.8634</t>
        </r>
      </text>
    </comment>
    <comment ref="V182" authorId="1" shapeId="0" xr:uid="{00000000-0006-0000-0300-000013000000}">
      <text>
        <r>
          <rPr>
            <sz val="9"/>
            <color indexed="81"/>
            <rFont val="Tahoma"/>
            <family val="2"/>
          </rPr>
          <t>&lt;750MWh pa Commercial Demand = energy consumption/(365 days * 24 hours)/average load factor*diversity factor/power factor
Average load factor = 0.2756 
Diversity factor = 85% 
Power factor = 0.8634</t>
        </r>
      </text>
    </comment>
    <comment ref="AC182" authorId="1" shapeId="0" xr:uid="{00000000-0006-0000-0300-000014000000}">
      <text>
        <r>
          <rPr>
            <sz val="9"/>
            <color indexed="81"/>
            <rFont val="Tahoma"/>
            <family val="2"/>
          </rPr>
          <t>&lt;750MWh pa Commercial Demand = energy consumption/(365 days * 24 hours)/average load factor*diversity factor/power factor
Average load factor = 0.2756 
Diversity factor = 85% 
Power factor = 0.8634</t>
        </r>
      </text>
    </comment>
    <comment ref="O183" authorId="1" shapeId="0" xr:uid="{00000000-0006-0000-0300-000015000000}">
      <text>
        <r>
          <rPr>
            <sz val="9"/>
            <color indexed="81"/>
            <rFont val="Tahoma"/>
            <family val="2"/>
          </rPr>
          <t>Unmetered Streetlight Demand = energy consumption/(365 days * 24 hours)*diversity factor
Diversity factor = 15%</t>
        </r>
      </text>
    </comment>
    <comment ref="V183" authorId="1" shapeId="0" xr:uid="{00000000-0006-0000-0300-000016000000}">
      <text>
        <r>
          <rPr>
            <sz val="9"/>
            <color indexed="81"/>
            <rFont val="Tahoma"/>
            <family val="2"/>
          </rPr>
          <t>Unmetered Streetlight Demand = energy consumption/(365 days * 24 hours)*diversity factor
Diversity factor = 15%</t>
        </r>
      </text>
    </comment>
    <comment ref="AC183" authorId="1" shapeId="0" xr:uid="{00000000-0006-0000-0300-000017000000}">
      <text>
        <r>
          <rPr>
            <sz val="9"/>
            <color indexed="81"/>
            <rFont val="Tahoma"/>
            <family val="2"/>
          </rPr>
          <t>Unmetered Streetlight Demand = energy consumption/(365 days * 24 hours)*diversity factor
Diversity factor = 15%</t>
        </r>
      </text>
    </comment>
    <comment ref="O184" authorId="1" shapeId="0" xr:uid="{00000000-0006-0000-0300-000018000000}">
      <text>
        <r>
          <rPr>
            <sz val="9"/>
            <color indexed="81"/>
            <rFont val="Tahoma"/>
            <family val="2"/>
          </rPr>
          <t>Unmetered Streetlight Demand = energy consumption/(365 days * 24 hours)*diversity factor
Diversity factor = 15%</t>
        </r>
      </text>
    </comment>
    <comment ref="V184" authorId="1" shapeId="0" xr:uid="{00000000-0006-0000-0300-000019000000}">
      <text>
        <r>
          <rPr>
            <sz val="9"/>
            <color indexed="81"/>
            <rFont val="Tahoma"/>
            <family val="2"/>
          </rPr>
          <t>Unmetered Streetlight Demand = energy consumption/(365 days * 24 hours)*diversity factor
Diversity factor = 15%</t>
        </r>
      </text>
    </comment>
    <comment ref="AC184" authorId="1" shapeId="0" xr:uid="{00000000-0006-0000-0300-00001A000000}">
      <text>
        <r>
          <rPr>
            <sz val="9"/>
            <color indexed="81"/>
            <rFont val="Tahoma"/>
            <family val="2"/>
          </rPr>
          <t>Unmetered Streetlight Demand = energy consumption/(365 days * 24 hours)*diversity factor
Diversity factor = 15%</t>
        </r>
      </text>
    </comment>
    <comment ref="O185" authorId="1" shapeId="0" xr:uid="{00000000-0006-0000-0300-00001B000000}">
      <text>
        <r>
          <rPr>
            <sz val="9"/>
            <color indexed="81"/>
            <rFont val="Tahoma"/>
            <family val="2"/>
          </rPr>
          <t>Unmetered Streetlight Demand = energy consumption/(365 days * 24 hours)*diversity factor
Diversity factor = 15%</t>
        </r>
      </text>
    </comment>
    <comment ref="V185" authorId="1" shapeId="0" xr:uid="{00000000-0006-0000-0300-00001C000000}">
      <text>
        <r>
          <rPr>
            <sz val="9"/>
            <color indexed="81"/>
            <rFont val="Tahoma"/>
            <family val="2"/>
          </rPr>
          <t>Unmetered Streetlight Demand = energy consumption/(365 days * 24 hours)*diversity factor
Diversity factor = 15%</t>
        </r>
      </text>
    </comment>
    <comment ref="AC185" authorId="1" shapeId="0" xr:uid="{00000000-0006-0000-0300-00001D000000}">
      <text>
        <r>
          <rPr>
            <sz val="9"/>
            <color indexed="81"/>
            <rFont val="Tahoma"/>
            <family val="2"/>
          </rPr>
          <t>Unmetered Streetlight Demand = energy consumption/(365 days * 24 hours)*diversity factor
Diversity factor = 15%</t>
        </r>
      </text>
    </comment>
    <comment ref="O186" authorId="1" shapeId="0" xr:uid="{00000000-0006-0000-0300-00001E000000}">
      <text>
        <r>
          <rPr>
            <sz val="9"/>
            <color indexed="81"/>
            <rFont val="Tahoma"/>
            <family val="2"/>
          </rPr>
          <t>Unmetered Traffic Light Demand = energy consumption/(365 days * 24 hours)
Assumes a constant load</t>
        </r>
      </text>
    </comment>
    <comment ref="V186" authorId="1" shapeId="0" xr:uid="{00000000-0006-0000-0300-00001F000000}">
      <text>
        <r>
          <rPr>
            <sz val="9"/>
            <color indexed="81"/>
            <rFont val="Tahoma"/>
            <family val="2"/>
          </rPr>
          <t>Unmetered Traffic Light Demand = energy consumption/(365 days * 24 hours)
Assumes a constant load</t>
        </r>
      </text>
    </comment>
    <comment ref="AC186" authorId="1" shapeId="0" xr:uid="{00000000-0006-0000-0300-000020000000}">
      <text>
        <r>
          <rPr>
            <sz val="9"/>
            <color indexed="81"/>
            <rFont val="Tahoma"/>
            <family val="2"/>
          </rPr>
          <t>Unmetered Traffic Light Demand = energy consumption/(365 days * 24 hours)
Assumes a constant load</t>
        </r>
      </text>
    </comment>
    <comment ref="K187" authorId="0" shapeId="0" xr:uid="{00000000-0006-0000-0300-000021000000}">
      <text>
        <r>
          <rPr>
            <b/>
            <sz val="9"/>
            <color indexed="81"/>
            <rFont val="Tahoma"/>
            <family val="2"/>
          </rPr>
          <t>Hutchinson, Keith:</t>
        </r>
        <r>
          <rPr>
            <sz val="9"/>
            <color indexed="81"/>
            <rFont val="Tahoma"/>
            <family val="2"/>
          </rPr>
          <t xml:space="preserve">
Includes NBN Sites</t>
        </r>
      </text>
    </comment>
    <comment ref="O187" authorId="1" shapeId="0" xr:uid="{00000000-0006-0000-0300-000022000000}">
      <text>
        <r>
          <rPr>
            <sz val="9"/>
            <color indexed="81"/>
            <rFont val="Tahoma"/>
            <family val="2"/>
          </rPr>
          <t>Unmetered Traffic Light Demand = energy consumption/(365 days * 24 hours)
Assumes a constant load</t>
        </r>
      </text>
    </comment>
    <comment ref="V187" authorId="1" shapeId="0" xr:uid="{00000000-0006-0000-0300-000023000000}">
      <text>
        <r>
          <rPr>
            <sz val="9"/>
            <color indexed="81"/>
            <rFont val="Tahoma"/>
            <family val="2"/>
          </rPr>
          <t>Unmetered Traffic Light Demand = energy consumption/(365 days * 24 hours)
Assumes a constant load</t>
        </r>
      </text>
    </comment>
    <comment ref="AC187" authorId="1" shapeId="0" xr:uid="{00000000-0006-0000-0300-000024000000}">
      <text>
        <r>
          <rPr>
            <sz val="9"/>
            <color indexed="81"/>
            <rFont val="Tahoma"/>
            <family val="2"/>
          </rPr>
          <t>Unmetered Traffic Light Demand = energy consumption/(365 days * 24 hours)
Assumes a constant load</t>
        </r>
      </text>
    </comment>
    <comment ref="K188" authorId="0" shapeId="0" xr:uid="{00000000-0006-0000-0300-000025000000}">
      <text>
        <r>
          <rPr>
            <b/>
            <sz val="9"/>
            <color indexed="81"/>
            <rFont val="Tahoma"/>
            <family val="2"/>
          </rPr>
          <t>Hutchinson, Keith:</t>
        </r>
        <r>
          <rPr>
            <sz val="9"/>
            <color indexed="81"/>
            <rFont val="Tahoma"/>
            <family val="2"/>
          </rPr>
          <t xml:space="preserve">
Includes NBN Sites
</t>
        </r>
      </text>
    </comment>
    <comment ref="O188" authorId="1" shapeId="0" xr:uid="{00000000-0006-0000-0300-000026000000}">
      <text>
        <r>
          <rPr>
            <sz val="9"/>
            <color indexed="81"/>
            <rFont val="Tahoma"/>
            <family val="2"/>
          </rPr>
          <t>Unmetered Traffic Light Demand = energy consumption/(365 days * 24 hours)
Assumes a constant load</t>
        </r>
      </text>
    </comment>
    <comment ref="V188" authorId="1" shapeId="0" xr:uid="{00000000-0006-0000-0300-000027000000}">
      <text>
        <r>
          <rPr>
            <sz val="9"/>
            <color indexed="81"/>
            <rFont val="Tahoma"/>
            <family val="2"/>
          </rPr>
          <t>Unmetered Traffic Light Demand = energy consumption/(365 days * 24 hours)
Assumes a constant load</t>
        </r>
      </text>
    </comment>
    <comment ref="AC188" authorId="1" shapeId="0" xr:uid="{00000000-0006-0000-0300-000028000000}">
      <text>
        <r>
          <rPr>
            <sz val="9"/>
            <color indexed="81"/>
            <rFont val="Tahoma"/>
            <family val="2"/>
          </rPr>
          <t>Unmetered Traffic Light Demand = energy consumption/(365 days * 24 hours)
Assumes a constant load</t>
        </r>
      </text>
    </comment>
    <comment ref="K189" authorId="0" shapeId="0" xr:uid="{00000000-0006-0000-0300-000029000000}">
      <text>
        <r>
          <rPr>
            <b/>
            <sz val="9"/>
            <color indexed="81"/>
            <rFont val="Tahoma"/>
            <family val="2"/>
          </rPr>
          <t>Hutchinson, Keith:</t>
        </r>
        <r>
          <rPr>
            <sz val="9"/>
            <color indexed="81"/>
            <rFont val="Tahoma"/>
            <family val="2"/>
          </rPr>
          <t xml:space="preserve">
Below 40MWh SAC
</t>
        </r>
      </text>
    </comment>
    <comment ref="O189" authorId="1" shapeId="0" xr:uid="{00000000-0006-0000-0300-00002A000000}">
      <text>
        <r>
          <rPr>
            <sz val="9"/>
            <color indexed="81"/>
            <rFont val="Tahoma"/>
            <family val="2"/>
          </rPr>
          <t>&lt;750MWh pa Commercial Demand = energy consumption/(365 days * 24 hours)/average load factor*diversity factor/power factor
Average load factor = 0.2756 
Diversity factor = 85% 
Power factor = 0.8634</t>
        </r>
      </text>
    </comment>
    <comment ref="V189" authorId="1" shapeId="0" xr:uid="{00000000-0006-0000-0300-00002B000000}">
      <text>
        <r>
          <rPr>
            <sz val="9"/>
            <color indexed="81"/>
            <rFont val="Tahoma"/>
            <family val="2"/>
          </rPr>
          <t>&lt;750MWh pa Commercial Demand = energy consumption/(365 days * 24 hours)/average load factor*diversity factor/power factor
Average load factor = 0.2756 
Diversity factor = 85% 
Power factor = 0.8634</t>
        </r>
      </text>
    </comment>
    <comment ref="AC189" authorId="1" shapeId="0" xr:uid="{00000000-0006-0000-0300-00002C000000}">
      <text>
        <r>
          <rPr>
            <sz val="9"/>
            <color indexed="81"/>
            <rFont val="Tahoma"/>
            <family val="2"/>
          </rPr>
          <t>&lt;750MWh pa Commercial Demand = energy consumption/(365 days * 24 hours)/average load factor*diversity factor/power factor
Average load factor = 0.2756 
Diversity factor = 85% 
Power factor = 0.8634</t>
        </r>
      </text>
    </comment>
    <comment ref="O190" authorId="1" shapeId="0" xr:uid="{00000000-0006-0000-0300-00002D000000}">
      <text>
        <r>
          <rPr>
            <sz val="9"/>
            <color indexed="81"/>
            <rFont val="Tahoma"/>
            <family val="2"/>
          </rPr>
          <t>&lt;750MWh pa Commercial Demand = energy consumption/(365 days * 24 hours)/average load factor*diversity factor/power factor
Average load factor = 0.2756 
Diversity factor = 85% 
Power factor = 0.8634</t>
        </r>
      </text>
    </comment>
    <comment ref="V190" authorId="1" shapeId="0" xr:uid="{00000000-0006-0000-0300-00002E000000}">
      <text>
        <r>
          <rPr>
            <sz val="9"/>
            <color indexed="81"/>
            <rFont val="Tahoma"/>
            <family val="2"/>
          </rPr>
          <t>&lt;750MWh pa Commercial Demand = energy consumption/(365 days * 24 hours)/average load factor*diversity factor/power factor
Average load factor = 0.2756 
Diversity factor = 85% 
Power factor = 0.8634</t>
        </r>
      </text>
    </comment>
    <comment ref="AC190" authorId="1" shapeId="0" xr:uid="{00000000-0006-0000-0300-00002F000000}">
      <text>
        <r>
          <rPr>
            <sz val="9"/>
            <color indexed="81"/>
            <rFont val="Tahoma"/>
            <family val="2"/>
          </rPr>
          <t>&lt;750MWh pa Commercial Demand = energy consumption/(365 days * 24 hours)/average load factor*diversity factor/power factor
Average load factor = 0.2756 
Diversity factor = 85% 
Power factor = 0.8634</t>
        </r>
      </text>
    </comment>
    <comment ref="O191" authorId="1" shapeId="0" xr:uid="{00000000-0006-0000-0300-000030000000}">
      <text>
        <r>
          <rPr>
            <sz val="9"/>
            <color indexed="81"/>
            <rFont val="Tahoma"/>
            <family val="2"/>
          </rPr>
          <t>&lt;750MWh pa Commercial Demand = energy consumption/(365 days * 24 hours)/average load factor*diversity factor/power factor
Average load factor = 0.2756 
Diversity factor = 85% 
Power factor = 0.8634</t>
        </r>
      </text>
    </comment>
    <comment ref="V191" authorId="1" shapeId="0" xr:uid="{00000000-0006-0000-0300-000031000000}">
      <text>
        <r>
          <rPr>
            <sz val="9"/>
            <color indexed="81"/>
            <rFont val="Tahoma"/>
            <family val="2"/>
          </rPr>
          <t>&lt;750MWh pa Commercial Demand = energy consumption/(365 days * 24 hours)/average load factor*diversity factor/power factor
Average load factor = 0.2756 
Diversity factor = 85% 
Power factor = 0.8634</t>
        </r>
      </text>
    </comment>
    <comment ref="AC191" authorId="1" shapeId="0" xr:uid="{00000000-0006-0000-0300-000032000000}">
      <text>
        <r>
          <rPr>
            <sz val="9"/>
            <color indexed="81"/>
            <rFont val="Tahoma"/>
            <family val="2"/>
          </rPr>
          <t>&lt;750MWh pa Commercial Demand = energy consumption/(365 days * 24 hours)/average load factor*diversity factor/power factor
Average load factor = 0.2756 
Diversity factor = 85% 
Power factor = 0.8634</t>
        </r>
      </text>
    </comment>
    <comment ref="O192" authorId="1" shapeId="0" xr:uid="{00000000-0006-0000-0300-000033000000}">
      <text>
        <r>
          <rPr>
            <sz val="9"/>
            <color indexed="81"/>
            <rFont val="Tahoma"/>
            <family val="2"/>
          </rPr>
          <t>&lt;750MWh pa Commercial Demand = energy consumption/(365 days * 24 hours)/average load factor*diversity factor/power factor
Average load factor = 0.2756 
Diversity factor = 85% 
Power factor = 0.8634</t>
        </r>
      </text>
    </comment>
    <comment ref="V192" authorId="1" shapeId="0" xr:uid="{00000000-0006-0000-0300-000034000000}">
      <text>
        <r>
          <rPr>
            <sz val="9"/>
            <color indexed="81"/>
            <rFont val="Tahoma"/>
            <family val="2"/>
          </rPr>
          <t>&lt;750MWh pa Commercial Demand = energy consumption/(365 days * 24 hours)/average load factor*diversity factor/power factor
Average load factor = 0.2756 
Diversity factor = 85% 
Power factor = 0.8634</t>
        </r>
      </text>
    </comment>
    <comment ref="AC192" authorId="1" shapeId="0" xr:uid="{00000000-0006-0000-0300-000035000000}">
      <text>
        <r>
          <rPr>
            <sz val="9"/>
            <color indexed="81"/>
            <rFont val="Tahoma"/>
            <family val="2"/>
          </rPr>
          <t>&lt;750MWh pa Commercial Demand = energy consumption/(365 days * 24 hours)/average load factor*diversity factor/power factor
Average load factor = 0.2756 
Diversity factor = 85% 
Power factor = 0.8634</t>
        </r>
      </text>
    </comment>
    <comment ref="X219" authorId="2" shapeId="0" xr:uid="{00000000-0006-0000-0300-000036000000}">
      <text>
        <r>
          <rPr>
            <b/>
            <sz val="9"/>
            <color indexed="81"/>
            <rFont val="Tahoma"/>
            <family val="2"/>
          </rPr>
          <t>Note:</t>
        </r>
        <r>
          <rPr>
            <sz val="9"/>
            <color indexed="81"/>
            <rFont val="Tahoma"/>
            <family val="2"/>
          </rPr>
          <t xml:space="preserve">
Adjusts LV growth and HV growth customer entries below</t>
        </r>
      </text>
    </comment>
    <comment ref="Y219" authorId="2" shapeId="0" xr:uid="{00000000-0006-0000-0300-000037000000}">
      <text>
        <r>
          <rPr>
            <b/>
            <sz val="9"/>
            <color indexed="81"/>
            <rFont val="Tahoma"/>
            <family val="2"/>
          </rPr>
          <t>Note:</t>
        </r>
        <r>
          <rPr>
            <sz val="9"/>
            <color indexed="81"/>
            <rFont val="Tahoma"/>
            <family val="2"/>
          </rPr>
          <t xml:space="preserve">
Adjusts LV growth and HV growth customer entries below</t>
        </r>
      </text>
    </comment>
    <comment ref="AA219" authorId="2" shapeId="0" xr:uid="{00000000-0006-0000-0300-000038000000}">
      <text>
        <r>
          <rPr>
            <b/>
            <sz val="9"/>
            <color indexed="81"/>
            <rFont val="Tahoma"/>
            <family val="2"/>
          </rPr>
          <t>Note:</t>
        </r>
        <r>
          <rPr>
            <sz val="9"/>
            <color indexed="81"/>
            <rFont val="Tahoma"/>
            <family val="2"/>
          </rPr>
          <t xml:space="preserve">
Adjusts LV growth and HV growth customer entries below</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Spreadsheet Studio Advanced Comment</author>
  </authors>
  <commentList>
    <comment ref="I4" authorId="0" shapeId="0" xr:uid="{00000000-0006-0000-0500-000001000000}">
      <text>
        <r>
          <rPr>
            <b/>
            <sz val="9"/>
            <color indexed="21"/>
            <rFont val="Tahoma"/>
            <family val="2"/>
          </rPr>
          <t xml:space="preserve">General
</t>
        </r>
        <r>
          <rPr>
            <sz val="9"/>
            <color indexed="8"/>
            <rFont val="Tahoma"/>
            <family val="2"/>
          </rPr>
          <t xml:space="preserve">Revenue calculated based on whether tariffs 
used for &gt;750 seems strange (DBT or cost 
reflective)
</t>
        </r>
        <r>
          <rPr>
            <sz val="8"/>
            <color indexed="21"/>
            <rFont val="Tahoma"/>
            <family val="2"/>
          </rPr>
          <t xml:space="preserve">Henry Wu </t>
        </r>
        <r>
          <rPr>
            <sz val="8"/>
            <color indexed="8"/>
            <rFont val="Wingdings"/>
            <charset val="2"/>
          </rPr>
          <t>º</t>
        </r>
        <r>
          <rPr>
            <sz val="8"/>
            <color indexed="21"/>
            <rFont val="Tahoma"/>
            <family val="2"/>
          </rPr>
          <t xml:space="preserve"> 2/11/2017
</t>
        </r>
        <r>
          <rPr>
            <b/>
            <sz val="8"/>
            <color indexed="53"/>
            <rFont val="Tahoma"/>
            <family val="2"/>
          </rPr>
          <t xml:space="preserve">
Warning: </t>
        </r>
        <r>
          <rPr>
            <sz val="8"/>
            <color indexed="8"/>
            <rFont val="Tahoma"/>
            <family val="2"/>
          </rPr>
          <t xml:space="preserve">Do not directly modify this comment as your changes will be lost. To make changes, please download and install Spreadsheet Studio from </t>
        </r>
        <r>
          <rPr>
            <u/>
            <sz val="8"/>
            <color indexed="39"/>
            <rFont val="Tahoma"/>
            <family val="2"/>
          </rPr>
          <t>www.spreadsheetstudio.com</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Moon, Lucy</author>
  </authors>
  <commentList>
    <comment ref="H12" authorId="0" shapeId="0" xr:uid="{00000000-0006-0000-0700-000001000000}">
      <text>
        <r>
          <rPr>
            <sz val="9"/>
            <color indexed="81"/>
            <rFont val="Tahoma"/>
            <family val="2"/>
          </rPr>
          <t>The capital recovery factor is based on the WACC and takes into account the cost of replacing the asset at the end of its expected life.  It is used instead of an accounting style calculation to determine the annual cost of the asset.</t>
        </r>
      </text>
    </comment>
    <comment ref="H13" authorId="0" shapeId="0" xr:uid="{00000000-0006-0000-0700-000002000000}">
      <text>
        <r>
          <rPr>
            <sz val="9"/>
            <color indexed="81"/>
            <rFont val="Tahoma"/>
            <family val="2"/>
          </rPr>
          <t xml:space="preserve">Based on typical planning estimates of O&amp;M as a proportion of ORC
</t>
        </r>
      </text>
    </comment>
    <comment ref="H14" authorId="0" shapeId="0" xr:uid="{00000000-0006-0000-0700-000003000000}">
      <text>
        <r>
          <rPr>
            <sz val="9"/>
            <color indexed="81"/>
            <rFont val="Tahoma"/>
            <family val="2"/>
          </rPr>
          <t>Based on typical planning estimates of O&amp;M as a proportion of ORC</t>
        </r>
      </text>
    </comment>
  </commentList>
</comments>
</file>

<file path=xl/sharedStrings.xml><?xml version="1.0" encoding="utf-8"?>
<sst xmlns="http://schemas.openxmlformats.org/spreadsheetml/2006/main" count="2578" uniqueCount="604">
  <si>
    <t>Lookup Sheet</t>
  </si>
  <si>
    <t>General Model Constant</t>
  </si>
  <si>
    <t>Name</t>
  </si>
  <si>
    <t>Mths_In_Mth</t>
  </si>
  <si>
    <t>Mths_In_Qtr</t>
  </si>
  <si>
    <t>Mths_In_Yr</t>
  </si>
  <si>
    <t>Q1</t>
  </si>
  <si>
    <t>Q2</t>
  </si>
  <si>
    <t>Q3</t>
  </si>
  <si>
    <t>Q4</t>
  </si>
  <si>
    <t>Qtr_1</t>
  </si>
  <si>
    <t>Qtr_2</t>
  </si>
  <si>
    <t>Qtr_3</t>
  </si>
  <si>
    <t>Qtr_4</t>
  </si>
  <si>
    <t>Period Ending</t>
  </si>
  <si>
    <t>Period Start Date (From Start of Day...)</t>
  </si>
  <si>
    <t>Period End Date (Until End of Day...)</t>
  </si>
  <si>
    <t>Months in Period</t>
  </si>
  <si>
    <t>Days in Period</t>
  </si>
  <si>
    <t>Counter</t>
  </si>
  <si>
    <t>Heading 1</t>
  </si>
  <si>
    <t>Period Length</t>
  </si>
  <si>
    <t>Start Date</t>
  </si>
  <si>
    <t>Monthly</t>
  </si>
  <si>
    <t>Quarterly</t>
  </si>
  <si>
    <t>Yearly</t>
  </si>
  <si>
    <t>Period_Length</t>
  </si>
  <si>
    <t>Ok</t>
  </si>
  <si>
    <t>Error</t>
  </si>
  <si>
    <t>Financial Year End Month</t>
  </si>
  <si>
    <t>Month</t>
  </si>
  <si>
    <t>January</t>
  </si>
  <si>
    <t>February</t>
  </si>
  <si>
    <t>March</t>
  </si>
  <si>
    <t>April</t>
  </si>
  <si>
    <t>May</t>
  </si>
  <si>
    <t>June</t>
  </si>
  <si>
    <t>July</t>
  </si>
  <si>
    <t>August</t>
  </si>
  <si>
    <t>September</t>
  </si>
  <si>
    <t>October</t>
  </si>
  <si>
    <t>November</t>
  </si>
  <si>
    <t>December</t>
  </si>
  <si>
    <t>Financial Year</t>
  </si>
  <si>
    <t>Half</t>
  </si>
  <si>
    <t>Yes</t>
  </si>
  <si>
    <t>No</t>
  </si>
  <si>
    <t>Yes_No</t>
  </si>
  <si>
    <t>Error Checks</t>
  </si>
  <si>
    <t>Mth_Count_In_Qtr</t>
  </si>
  <si>
    <t>Fridays in Period</t>
  </si>
  <si>
    <t>Days_In_Wk</t>
  </si>
  <si>
    <t>Days</t>
  </si>
  <si>
    <t>Fri</t>
  </si>
  <si>
    <t>Mon</t>
  </si>
  <si>
    <t>Tue</t>
  </si>
  <si>
    <t>Wed</t>
  </si>
  <si>
    <t>Thu</t>
  </si>
  <si>
    <t>Sat</t>
  </si>
  <si>
    <t>Sun</t>
  </si>
  <si>
    <t>Dashboard Counter</t>
  </si>
  <si>
    <t>Quarter Counter</t>
  </si>
  <si>
    <t>Financial Year Counter</t>
  </si>
  <si>
    <t>Financial Year Start Month</t>
  </si>
  <si>
    <t>Dashboard Periods</t>
  </si>
  <si>
    <t>Financial Years</t>
  </si>
  <si>
    <t>Dash_Periods</t>
  </si>
  <si>
    <t>Year Fraction</t>
  </si>
  <si>
    <t>Cumulative Year Fraction</t>
  </si>
  <si>
    <t>Periods Per Year</t>
  </si>
  <si>
    <t>Base Currency</t>
  </si>
  <si>
    <t>[A$]</t>
  </si>
  <si>
    <t>Assumptions</t>
  </si>
  <si>
    <t>Total</t>
  </si>
  <si>
    <t>Grand Total Errors</t>
  </si>
  <si>
    <t>Checks</t>
  </si>
  <si>
    <t>Error Message</t>
  </si>
  <si>
    <t>Model Title Message</t>
  </si>
  <si>
    <t>Alert Message</t>
  </si>
  <si>
    <t>Model Message</t>
  </si>
  <si>
    <t>Alerts Checks</t>
  </si>
  <si>
    <t>Input</t>
  </si>
  <si>
    <t>Output</t>
  </si>
  <si>
    <t>Cells containing input texts/numbers NOT intended to be changed by model users</t>
  </si>
  <si>
    <t>Cells containing formulae NOT intended to be changed by model users</t>
  </si>
  <si>
    <t>Heading 2</t>
  </si>
  <si>
    <t>Cells containing assumptions intended to be manipulated by model users</t>
  </si>
  <si>
    <t>Level 1 heading NOT intended to be changed by model users</t>
  </si>
  <si>
    <t>Level 2 heading NOT intended to be changed by model users</t>
  </si>
  <si>
    <t>Model Developer:</t>
  </si>
  <si>
    <t>Annual</t>
  </si>
  <si>
    <t>Periodicity Settings</t>
  </si>
  <si>
    <t>Model Settings</t>
  </si>
  <si>
    <t>Model Lookup</t>
  </si>
  <si>
    <t>Days in Financial Year</t>
  </si>
  <si>
    <t>Calender_Months</t>
  </si>
  <si>
    <t>Table of Contents</t>
  </si>
  <si>
    <t>Sources</t>
  </si>
  <si>
    <t>This worksheet provides worksheet &amp; cell references for annual data input.</t>
  </si>
  <si>
    <t>This worksheet calculates the 'overs and unders' and the overall compliance with tariff class side constraint.</t>
  </si>
  <si>
    <t>These worksheets contain the year t Network Tariff Schedules (including &amp; excluding GST) calculated from the 'Cost of Supply' worksheet</t>
  </si>
  <si>
    <t>This worksheet provides a summary of key outputs from the Cost of Supply worksheet including network cost allocation.</t>
  </si>
  <si>
    <t>This worksheet calculates the cost of supplying customers (Year t).  It compares this with the revenue proposed to be obtained through tariffs at the individual customer and tariff class level.  The worksheet also calculates the side constraint information summarised in the compliance worksheet.  The 'Notes' worksheet contains an illustration of the layout of the Cost of Supply' worksheet.</t>
  </si>
  <si>
    <t xml:space="preserve">Based on the cost of supply allocation, this worksheet calculates the stand-alone and avoidable costs for each of the three tariff classes. </t>
  </si>
  <si>
    <t>LRMC</t>
  </si>
  <si>
    <t xml:space="preserve">Inputs sourced from the AER  Determination. 
These worksheets provide key inputs into the LRMC and Cost of Supply worksheets. </t>
  </si>
  <si>
    <t>This worksheet provides data for formulas which are cell reference based.</t>
  </si>
  <si>
    <t>Cost of Supply Model</t>
  </si>
  <si>
    <t>Purpose of model</t>
  </si>
  <si>
    <t xml:space="preserve">The purpose of this model is to enable the comparison of proposed tariffs with the cost reflective outcome.  It enables the changes in individual tariffs and their components to be managed so as to improve their overall cost reflectivity, whilst also ensuring that Power Networks complies with the requirements of the AER Final Determination.  </t>
  </si>
  <si>
    <t>Structure of model</t>
  </si>
  <si>
    <t>The diagram below shows the structure of the model and the linkages between the main component arrays.  The table headers are colour coded as shown.</t>
  </si>
  <si>
    <t xml:space="preserve">Year (t-2) volumes: are for last year, two years before the proposed tariff change.  </t>
  </si>
  <si>
    <t xml:space="preserve">Year (t-1) volumes: are for the current year. Volumes are estimated by forecasting from year (t-2), with the exception of new customers where year to date data has been used. </t>
  </si>
  <si>
    <t xml:space="preserve">Year (t) volumes: are for the year of the proposed tariff change.  Volumes are estimated by forecasting from year (t-1), with the application of growth percentages for demand, energy and customer numbers.  </t>
  </si>
  <si>
    <t xml:space="preserve">Year (t-1) tariffs: are the current approved tariffs.  </t>
  </si>
  <si>
    <t xml:space="preserve">Year (t) tariffs: are formed from the current tariffs (t-1) by adjusting the multipliers for each price component.  </t>
  </si>
  <si>
    <t xml:space="preserve">A proportion of costs equivalent to the average LRMC of the network (assumed to be 80%) is split up into cost pools on the basis of the ORC of network assets and incidence of O&amp;M in the sheet entitled 'Network Cost Allocation'.  In this manner the regulated revenue (which is based on the ODRC of assets plus O&amp;M) is allocated uniformly so that customers serviced by old assets and newer assets receive the same price for the same level of network service.  The balance of costs (20%), common service costs, are allocated to customers on the basis of their anytime energy consumption.  Common service costs include costs associated with non system assets and services.  </t>
  </si>
  <si>
    <t xml:space="preserve">The forms of cost allocation are shown.  The majority of network costs are allocated to customers on the basis of their contribution to the diversified demand on the network.  It should be noted that HV customers are not allocated costs associated with distribution substations or the LV network. </t>
  </si>
  <si>
    <t>Common service costs are allocated on the basis of anytime energy consumption.</t>
  </si>
  <si>
    <t>Pricing compliance</t>
  </si>
  <si>
    <t>There are three aspects to efficient pricing and demonstrating the compliance of network prices with the requirements of the National Electricity Rules.  Prices must:</t>
  </si>
  <si>
    <t>*  lie above the avoidable cost;</t>
  </si>
  <si>
    <t>*  lie below the stand-alone cost; and</t>
  </si>
  <si>
    <t xml:space="preserve">*  have their pricing components set with regard to the network's LRMC to avoid over or under signalling the influence of the customer's consumption on network costs. </t>
  </si>
  <si>
    <t xml:space="preserve">The stand-alone and avoidable cost calculations are derived from the cost of supply model and are based on hypothetical modification of the network for the tariff classes involved.  These cost calculations are on the worksheet 'Stand Alone and Avoidable Costs'. </t>
  </si>
  <si>
    <t>The LRMC of network supply is calculated on the worksheet 'LRMC'.  It uses the demand related capital expenditure, an allowance for incremental operating and maintenance costs and the demand growth to determine a $/kVA cost for each tariff class.  The approach used is termed the Average Incremental Cost (AIC) and is one of a number of recognised ways in which LRMC is calculated.  Power Networks will be investigating, over the course of the forthcoming regulatory control period, whether alternative approaches to this calculation may yield more appropriate outcomes.</t>
  </si>
  <si>
    <t>Supporting information</t>
  </si>
  <si>
    <t>The remaining sheets contain customer data from which the cost of supply information is drawn and the network forecast, from which the growth related component is derived.</t>
  </si>
  <si>
    <r>
      <rPr>
        <b/>
        <sz val="11.5"/>
        <color theme="4"/>
        <rFont val="Calibri"/>
        <family val="2"/>
      </rPr>
      <t xml:space="preserve">Revenues: </t>
    </r>
    <r>
      <rPr>
        <sz val="10"/>
        <color theme="4"/>
        <rFont val="Calibri"/>
        <family val="2"/>
        <scheme val="minor"/>
      </rPr>
      <t xml:space="preserve">are formed from the product of the respective year tariffs and volumes with tariff levels set in year (t) to match the regulated revenue.  </t>
    </r>
  </si>
  <si>
    <r>
      <rPr>
        <b/>
        <sz val="11.5"/>
        <color theme="4"/>
        <rFont val="Calibri"/>
        <family val="2"/>
      </rPr>
      <t xml:space="preserve">Multipliers: </t>
    </r>
    <r>
      <rPr>
        <sz val="10"/>
        <color theme="4"/>
        <rFont val="Calibri"/>
        <family val="2"/>
        <scheme val="minor"/>
      </rPr>
      <t>are used to construct year (t) tariffs from the components of the previous year (t-1).</t>
    </r>
  </si>
  <si>
    <r>
      <rPr>
        <b/>
        <sz val="11.5"/>
        <color theme="4"/>
        <rFont val="Calibri"/>
        <family val="2"/>
      </rPr>
      <t xml:space="preserve">Cost of Supply: </t>
    </r>
    <r>
      <rPr>
        <sz val="10"/>
        <color theme="4"/>
        <rFont val="Calibri"/>
        <family val="2"/>
        <scheme val="minor"/>
      </rPr>
      <t>is an allocation of the network cost to each tariff on the basis of its cost impact on the network.  The network costs are apportioned into cost pools and then allocated to the tariffs that use those pools, as shown below.</t>
    </r>
  </si>
  <si>
    <r>
      <rPr>
        <b/>
        <sz val="11.5"/>
        <color theme="4"/>
        <rFont val="Calibri"/>
        <family val="2"/>
      </rPr>
      <t xml:space="preserve">Target revenue </t>
    </r>
    <r>
      <rPr>
        <sz val="10"/>
        <color theme="4"/>
        <rFont val="Calibri"/>
        <family val="2"/>
        <scheme val="minor"/>
      </rPr>
      <t>is the regulated revenue for year (t).</t>
    </r>
  </si>
  <si>
    <r>
      <rPr>
        <b/>
        <sz val="11.5"/>
        <color theme="4"/>
        <rFont val="Calibri"/>
        <family val="2"/>
      </rPr>
      <t xml:space="preserve">Price change and CoS comparisons: </t>
    </r>
    <r>
      <rPr>
        <sz val="10"/>
        <color theme="4"/>
        <rFont val="Calibri"/>
        <family val="2"/>
        <scheme val="minor"/>
      </rPr>
      <t>Calculations within the Cost of Supply worksheet calculate the proposed prices and compare to the previous year's price (for the purpose of demonstrating compliance with side constraints).  The proposed price is compared with the cost reflective price in the CoS Summary sheet.  The latter is used as a guide to the adjustment of tariff charging components.</t>
    </r>
  </si>
  <si>
    <t>Tariff Schedule</t>
  </si>
  <si>
    <t>Source</t>
  </si>
  <si>
    <t>Unit</t>
  </si>
  <si>
    <t>Category</t>
  </si>
  <si>
    <t>Peak kWh</t>
  </si>
  <si>
    <t>Block 1</t>
  </si>
  <si>
    <t>Block 2</t>
  </si>
  <si>
    <t>Block 3</t>
  </si>
  <si>
    <t>Block 4</t>
  </si>
  <si>
    <t>Block 5</t>
  </si>
  <si>
    <t>Off-peak  kWh</t>
  </si>
  <si>
    <t>Peak kVA</t>
  </si>
  <si>
    <t>Off-peak kVA</t>
  </si>
  <si>
    <t>$/Month</t>
  </si>
  <si>
    <t>c/Day</t>
  </si>
  <si>
    <t>c/kWh</t>
  </si>
  <si>
    <t>$/kvar</t>
  </si>
  <si>
    <t>$/kVA</t>
  </si>
  <si>
    <t>kVA</t>
  </si>
  <si>
    <t>[Source]</t>
  </si>
  <si>
    <t>Unmetered SL</t>
  </si>
  <si>
    <t>Unmetered TL</t>
  </si>
  <si>
    <t>LV Smart</t>
  </si>
  <si>
    <t>2019-24 AER Final Determination</t>
  </si>
  <si>
    <t>2018/19</t>
  </si>
  <si>
    <t>2019/20</t>
  </si>
  <si>
    <t>Smoothed revenue ($M, nominal)</t>
  </si>
  <si>
    <t>Revenue X factors (real)</t>
  </si>
  <si>
    <t>Pricing side constraint</t>
  </si>
  <si>
    <t>Inflation rate</t>
  </si>
  <si>
    <t>%</t>
  </si>
  <si>
    <t>Growth rates (kW Demand)</t>
  </si>
  <si>
    <t>General</t>
  </si>
  <si>
    <t>Tariff Year</t>
  </si>
  <si>
    <t>Tariff_Year_List</t>
  </si>
  <si>
    <t>Darwin-Katherine System</t>
  </si>
  <si>
    <t>Alice Springs System</t>
  </si>
  <si>
    <t>Tennant Creek System</t>
  </si>
  <si>
    <t>2017/18</t>
  </si>
  <si>
    <t xml:space="preserve">DBT </t>
  </si>
  <si>
    <t>Cost Reflective</t>
  </si>
  <si>
    <t xml:space="preserve">Coincident kW demand </t>
  </si>
  <si>
    <t>Asset life for LRMC</t>
  </si>
  <si>
    <t>kW</t>
  </si>
  <si>
    <t>Years</t>
  </si>
  <si>
    <t>Avoidable network cost percentages</t>
  </si>
  <si>
    <t>Network level</t>
  </si>
  <si>
    <t>HV</t>
  </si>
  <si>
    <t>Transmission</t>
  </si>
  <si>
    <t>Zone Substations</t>
  </si>
  <si>
    <t>HV Distribution</t>
  </si>
  <si>
    <t>Distribution Substations</t>
  </si>
  <si>
    <t>LV Distribution</t>
  </si>
  <si>
    <t>Tariff Class</t>
  </si>
  <si>
    <t>Stand-alone network cost percentages</t>
  </si>
  <si>
    <t>Augmentation Capex</t>
  </si>
  <si>
    <t>Substations</t>
  </si>
  <si>
    <t>Distribution Lines</t>
  </si>
  <si>
    <t>Transmission Lines</t>
  </si>
  <si>
    <t>LV Services</t>
  </si>
  <si>
    <t>Distribution Switchgear</t>
  </si>
  <si>
    <t>Protection</t>
  </si>
  <si>
    <t>SCADA</t>
  </si>
  <si>
    <t>Communications</t>
  </si>
  <si>
    <t>Land and Easements</t>
  </si>
  <si>
    <t>Property</t>
  </si>
  <si>
    <t>IT and Communications</t>
  </si>
  <si>
    <t>Motor Vehicles</t>
  </si>
  <si>
    <t>Plant and Equipment</t>
  </si>
  <si>
    <t>Other</t>
  </si>
  <si>
    <t xml:space="preserve">LRMC Percentages </t>
  </si>
  <si>
    <t>LV</t>
  </si>
  <si>
    <t xml:space="preserve">Replacement Capex </t>
  </si>
  <si>
    <t>Unmetered SL DK</t>
  </si>
  <si>
    <t>Unmetered SL AS</t>
  </si>
  <si>
    <t>Unmetered SL TC</t>
  </si>
  <si>
    <t>Unmetered TL DK</t>
  </si>
  <si>
    <t>Unmetered TL AS</t>
  </si>
  <si>
    <t>Unmetered TL TC</t>
  </si>
  <si>
    <t>SAC</t>
  </si>
  <si>
    <t>Manual Meter</t>
  </si>
  <si>
    <t>Smart Meter</t>
  </si>
  <si>
    <t>Peak</t>
  </si>
  <si>
    <t>Off Peak</t>
  </si>
  <si>
    <t>Forecast Demand (Growth Rates &lt;750 mWh)</t>
  </si>
  <si>
    <t>Type &amp; Region</t>
  </si>
  <si>
    <t>Excess kvaR</t>
  </si>
  <si>
    <t>Asset Class Description</t>
  </si>
  <si>
    <t>ORC ($M)
30 June 2019
($2018-19)</t>
  </si>
  <si>
    <t>Total (ORC)</t>
  </si>
  <si>
    <t>$M</t>
  </si>
  <si>
    <t>HV/LV Split for Distribution Mains</t>
  </si>
  <si>
    <t>HV Split</t>
  </si>
  <si>
    <t>LV Split</t>
  </si>
  <si>
    <t>% Split</t>
  </si>
  <si>
    <t>Network Cost Allocation O&amp;M Scaling</t>
  </si>
  <si>
    <t>ZSS</t>
  </si>
  <si>
    <t>Distribution SS</t>
  </si>
  <si>
    <t>O&amp;M weighting, % of ORC</t>
  </si>
  <si>
    <t>Common Services Percentage</t>
  </si>
  <si>
    <t>2019-24 PTRM</t>
  </si>
  <si>
    <t>Asset Related - Return on capital ($M)</t>
  </si>
  <si>
    <t>Asset Related - Return of capital ($M)</t>
  </si>
  <si>
    <t>O&amp;M ($M)</t>
  </si>
  <si>
    <t>Percentage Split</t>
  </si>
  <si>
    <t>Tariff</t>
  </si>
  <si>
    <t>CPI</t>
  </si>
  <si>
    <t>Index</t>
  </si>
  <si>
    <t>Smoothed revenue ($'000, nominal)</t>
  </si>
  <si>
    <t>Revenue change (nominal)</t>
  </si>
  <si>
    <t>Side constraint nominal</t>
  </si>
  <si>
    <t>[Unit]</t>
  </si>
  <si>
    <t>Revenue Summary PTRM</t>
  </si>
  <si>
    <t>Thousand</t>
  </si>
  <si>
    <t>Million</t>
  </si>
  <si>
    <t>$M Nominal</t>
  </si>
  <si>
    <t>$'000 Nominal</t>
  </si>
  <si>
    <t>N/A</t>
  </si>
  <si>
    <t>NA</t>
  </si>
  <si>
    <t>CPIt</t>
  </si>
  <si>
    <t>Tariff class side constraint</t>
  </si>
  <si>
    <t>Overs and Unders</t>
  </si>
  <si>
    <t>Opening balance</t>
  </si>
  <si>
    <t>Interest on opening balance</t>
  </si>
  <si>
    <t>Overs and unders adjustment ΔRt</t>
  </si>
  <si>
    <t>Smoothed revenue allowance</t>
  </si>
  <si>
    <t>Revenue through tariffs</t>
  </si>
  <si>
    <t>Interest on under/over recovery</t>
  </si>
  <si>
    <t>Closing balance</t>
  </si>
  <si>
    <t>Pass/Fail</t>
  </si>
  <si>
    <t>(Under)/over recovery for the year ΔRt</t>
  </si>
  <si>
    <t>Change</t>
  </si>
  <si>
    <t>Side Constraint</t>
  </si>
  <si>
    <t>Weighted Average Revenue of Tariff Classes</t>
  </si>
  <si>
    <t>Check</t>
  </si>
  <si>
    <t>Summary</t>
  </si>
  <si>
    <t>Allocated cost $'000 p.a.</t>
  </si>
  <si>
    <t>Stand-alone</t>
  </si>
  <si>
    <t>Cost of supply model</t>
  </si>
  <si>
    <t>2019/20 tariffs</t>
  </si>
  <si>
    <t>Avoidable</t>
  </si>
  <si>
    <t>Coincident kVA</t>
  </si>
  <si>
    <t>Derived costs $/kVA</t>
  </si>
  <si>
    <t>Calculated</t>
  </si>
  <si>
    <t>$'000, Nominal</t>
  </si>
  <si>
    <t>Compliance with Stand-alone and Avoidable Cost ($'000)</t>
  </si>
  <si>
    <t>Stand-alone cost</t>
  </si>
  <si>
    <t>Avoidable cost</t>
  </si>
  <si>
    <t>Consideration of LRMC in setting tariff charging components</t>
  </si>
  <si>
    <t>LRMC, % revenue for tariff class</t>
  </si>
  <si>
    <t>Revenue Recovery through tariff charging component</t>
  </si>
  <si>
    <t>Anytime energy + Demand Charges (Smart Meter)</t>
  </si>
  <si>
    <t>Demand Charges + KVAr</t>
  </si>
  <si>
    <t>Tariffs used for &gt;750</t>
  </si>
  <si>
    <t>Q(t)</t>
  </si>
  <si>
    <t>Q(t-1)</t>
  </si>
  <si>
    <t>Q(t-2)</t>
  </si>
  <si>
    <t>Volume</t>
  </si>
  <si>
    <t>SAC Monthly</t>
  </si>
  <si>
    <t>SAC Daily</t>
  </si>
  <si>
    <t>kWh Total</t>
  </si>
  <si>
    <t>Co-incident Demand kVA</t>
  </si>
  <si>
    <t>Peak Demand</t>
  </si>
  <si>
    <t>Off Peak Demand</t>
  </si>
  <si>
    <t>kvar</t>
  </si>
  <si>
    <t>Customer Type</t>
  </si>
  <si>
    <t>Cust_Type</t>
  </si>
  <si>
    <t>Tariff_Type</t>
  </si>
  <si>
    <t>Tariff Type</t>
  </si>
  <si>
    <t>Customer Allocation</t>
  </si>
  <si>
    <t>Co-incident Demand</t>
  </si>
  <si>
    <t>Demand ( &lt;750 mWh)</t>
  </si>
  <si>
    <t>Actual Demand (t-2)</t>
  </si>
  <si>
    <t>Forecast Demand (t-1)</t>
  </si>
  <si>
    <t>Forecast Demand (t)</t>
  </si>
  <si>
    <t>Growth (t-1)</t>
  </si>
  <si>
    <t>Growth (t)</t>
  </si>
  <si>
    <t>Tariffs</t>
  </si>
  <si>
    <t>TARIFFS (t-2)</t>
  </si>
  <si>
    <t>TARIFFS (t-1)</t>
  </si>
  <si>
    <t xml:space="preserve"> &gt;750 LV</t>
  </si>
  <si>
    <t>TARIFFS Growth Rate (t-1 to t)</t>
  </si>
  <si>
    <t>Revenue ($'000)</t>
  </si>
  <si>
    <t>Cents_In_Dollar</t>
  </si>
  <si>
    <t>$'000</t>
  </si>
  <si>
    <t>Side Constraint ($'000)</t>
  </si>
  <si>
    <t>Grand Total</t>
  </si>
  <si>
    <t>Consumption</t>
  </si>
  <si>
    <t>Customer Connections</t>
  </si>
  <si>
    <t>Coincident Demand</t>
  </si>
  <si>
    <t>Variation</t>
  </si>
  <si>
    <t>MWh</t>
  </si>
  <si>
    <t>no</t>
  </si>
  <si>
    <t>Allocation</t>
  </si>
  <si>
    <t>COS Model Category</t>
  </si>
  <si>
    <t>Allocated</t>
  </si>
  <si>
    <t>System Shared Assets</t>
  </si>
  <si>
    <t>Non-System Shared Assets</t>
  </si>
  <si>
    <t>Optimised Replacement Cost</t>
  </si>
  <si>
    <t>Asset Class Allocation</t>
  </si>
  <si>
    <t>Asset_Class_Allocation</t>
  </si>
  <si>
    <t>Reallocate System Shared Assets and Remove Non-System Shared Assets</t>
  </si>
  <si>
    <t>COS Model: Asset Category</t>
  </si>
  <si>
    <t>System and Non-System Assets</t>
  </si>
  <si>
    <t>System Allocated Assets</t>
  </si>
  <si>
    <t>Land</t>
  </si>
  <si>
    <t>Sys_Non_Sys_Assets</t>
  </si>
  <si>
    <t>System/Non-System Allocation</t>
  </si>
  <si>
    <t>Asset Allocation</t>
  </si>
  <si>
    <t>Land Allocation</t>
  </si>
  <si>
    <t>Transmission Terminal Station</t>
  </si>
  <si>
    <t>Zone Substation and Major Switching Stations</t>
  </si>
  <si>
    <t>ORC</t>
  </si>
  <si>
    <t>O&amp;M Scaling</t>
  </si>
  <si>
    <t>% of O&amp;M allocated to each asset group</t>
  </si>
  <si>
    <t>Capital (ORC allocation of UC determination)</t>
  </si>
  <si>
    <t>O&amp;M (allocation of UC determination)</t>
  </si>
  <si>
    <t>Network Cost Allocation Including Common Services</t>
  </si>
  <si>
    <t>Network Cost Allocation Excluding Common Services</t>
  </si>
  <si>
    <t>Common Services</t>
  </si>
  <si>
    <t>Classification</t>
  </si>
  <si>
    <t>Reclassified</t>
  </si>
  <si>
    <t>Cost Allocators (t)</t>
  </si>
  <si>
    <t>Network Cost Distribution</t>
  </si>
  <si>
    <t>Cost Error Check</t>
  </si>
  <si>
    <t>Allocation %</t>
  </si>
  <si>
    <t>LV Distribution Weighting</t>
  </si>
  <si>
    <t>Allocation Error Check</t>
  </si>
  <si>
    <t>Network Cost Error Check</t>
  </si>
  <si>
    <t>Revenue from Tariff (t)</t>
  </si>
  <si>
    <t>Allocation $</t>
  </si>
  <si>
    <t>Price Signalling</t>
  </si>
  <si>
    <t>Price Signalling %</t>
  </si>
  <si>
    <t xml:space="preserve">Network Cost Distribution </t>
  </si>
  <si>
    <t>Overview</t>
  </si>
  <si>
    <t>GST</t>
  </si>
  <si>
    <t>EXCLUDING GST</t>
  </si>
  <si>
    <t>A - For High Voltage Connected Customers with consumption above 750 MWh per year</t>
  </si>
  <si>
    <r>
      <t>Reference Service</t>
    </r>
    <r>
      <rPr>
        <vertAlign val="superscript"/>
        <sz val="10"/>
        <rFont val="Times New Roman"/>
        <family val="1"/>
      </rPr>
      <t>1</t>
    </r>
    <r>
      <rPr>
        <sz val="10"/>
        <rFont val="Times New Roman"/>
        <family val="1"/>
      </rPr>
      <t xml:space="preserve"> Provided: Normal transmission and distribution of electricity consumed through customers' metering for customers supplied and metered at high voltage</t>
    </r>
  </si>
  <si>
    <t>¢/kWh</t>
  </si>
  <si>
    <t>Charge</t>
  </si>
  <si>
    <r>
      <t>peak</t>
    </r>
    <r>
      <rPr>
        <b/>
        <vertAlign val="superscript"/>
        <sz val="10"/>
        <rFont val="Arial"/>
        <family val="2"/>
      </rPr>
      <t>2</t>
    </r>
  </si>
  <si>
    <r>
      <t>off peak</t>
    </r>
    <r>
      <rPr>
        <b/>
        <vertAlign val="superscript"/>
        <sz val="10"/>
        <rFont val="Arial"/>
        <family val="2"/>
      </rPr>
      <t>2</t>
    </r>
  </si>
  <si>
    <t>System Availability Charge</t>
  </si>
  <si>
    <r>
      <t>[1]</t>
    </r>
    <r>
      <rPr>
        <sz val="8"/>
        <rFont val="Times New Roman"/>
        <family val="1"/>
      </rPr>
      <t xml:space="preserve"> Charges for increased or reduced service such as for higher reliability or for back-up supply to on-site generation are subject to negotiation.</t>
    </r>
  </si>
  <si>
    <t>[2] Peak and off-peak periods for demand and energy related charging rates will be as determined from time to time. The peak period rates currently apply to usage between 12 noon am and 9.00 pm on any weekday, including public holidays. Off-peak period rates apply at other times.</t>
  </si>
  <si>
    <t>B - For Low Voltage Connected Customers with consumption above 750 MWh per year</t>
  </si>
  <si>
    <r>
      <t>Reference Service</t>
    </r>
    <r>
      <rPr>
        <vertAlign val="superscript"/>
        <sz val="10"/>
        <rFont val="Times New Roman"/>
        <family val="1"/>
      </rPr>
      <t>1</t>
    </r>
    <r>
      <rPr>
        <sz val="10"/>
        <rFont val="Times New Roman"/>
        <family val="1"/>
      </rPr>
      <t xml:space="preserve"> Provided: Normal transmission and distribution of electricity consumed through customers' metering for customers supplied and metered at low voltage</t>
    </r>
  </si>
  <si>
    <r>
      <t>Reference Service</t>
    </r>
    <r>
      <rPr>
        <vertAlign val="superscript"/>
        <sz val="10"/>
        <rFont val="Times New Roman"/>
        <family val="1"/>
      </rPr>
      <t>1</t>
    </r>
    <r>
      <rPr>
        <sz val="10"/>
        <rFont val="Times New Roman"/>
        <family val="1"/>
      </rPr>
      <t xml:space="preserve"> Provided: Normal transmission and distribution of electricity consumed through customers' connection.</t>
    </r>
  </si>
  <si>
    <t>Energy Charges</t>
  </si>
  <si>
    <t>(¢/kWh)</t>
  </si>
  <si>
    <t>($/W)</t>
  </si>
  <si>
    <t xml:space="preserve">Street lighting </t>
  </si>
  <si>
    <t>Traffic lights</t>
  </si>
  <si>
    <t xml:space="preserve">kVar Charge </t>
  </si>
  <si>
    <t>&gt;40 MWh LV</t>
  </si>
  <si>
    <t>&gt;40 MWh HV</t>
  </si>
  <si>
    <t>Avoidable Cost Allocation</t>
  </si>
  <si>
    <t>Stand-alone Cost Allocation</t>
  </si>
  <si>
    <t>Cost Pool</t>
  </si>
  <si>
    <t>Avoidable cost allocation percentages above are determined by response to the following hypothetical question:</t>
  </si>
  <si>
    <t>Stand-alone cost allocation percentages above are determined by response to the following hypothetical question:</t>
  </si>
  <si>
    <t>"If XX tariff class were not supplied from the network, what percentage reduction in the value of existing assets employed in category YY could be made but still enable the same standard of network service to be provided to all remaining tariff classes"</t>
  </si>
  <si>
    <t>"If XX tariff class were the only one supplied from the network, what percentage value of the existing assets employed in category YY would still be required to enable the same standard of network service to be provided to tariff class XX"</t>
  </si>
  <si>
    <t>Avoidable network costs $'000</t>
  </si>
  <si>
    <t>Stand-alone network costs $'000</t>
  </si>
  <si>
    <t>Actual and Forecast Capital Expenditure</t>
  </si>
  <si>
    <t>HV/LV Allocation</t>
  </si>
  <si>
    <t>Demand Related Capital Expenditure split between HV+ &amp; LV</t>
  </si>
  <si>
    <t xml:space="preserve"> &lt;750 LV</t>
  </si>
  <si>
    <t>Coincident kW demand (RIN)</t>
  </si>
  <si>
    <t>Coincident kVA demand</t>
  </si>
  <si>
    <t>LV&lt;750MWH pa</t>
  </si>
  <si>
    <t xml:space="preserve">&gt;750MWh pa LV </t>
  </si>
  <si>
    <t>Economic data</t>
  </si>
  <si>
    <t>Asset life</t>
  </si>
  <si>
    <t>Capital recovery factor</t>
  </si>
  <si>
    <t>Opex proportion HV and above</t>
  </si>
  <si>
    <t>Opex proportion LV</t>
  </si>
  <si>
    <t>Growth capex $'000</t>
  </si>
  <si>
    <t>NPV</t>
  </si>
  <si>
    <t>HV network and above</t>
  </si>
  <si>
    <t>LV network</t>
  </si>
  <si>
    <t>Marginal opex $'000</t>
  </si>
  <si>
    <t>Incremental annual capital costs $'000</t>
  </si>
  <si>
    <t>Incremental capital + opex $'000</t>
  </si>
  <si>
    <t>Coincident demand forecast MVA</t>
  </si>
  <si>
    <t>Incremental demand MVA</t>
  </si>
  <si>
    <t>Imposed on HV network and above</t>
  </si>
  <si>
    <t>Imposed on LV network</t>
  </si>
  <si>
    <t>LRMC at system level $/kVA</t>
  </si>
  <si>
    <t>Indexation adjustment</t>
  </si>
  <si>
    <t>Tariff year</t>
  </si>
  <si>
    <t>Years escalated</t>
  </si>
  <si>
    <t>LRMC for tariff classes $/kVA/year</t>
  </si>
  <si>
    <t>MVA</t>
  </si>
  <si>
    <t>Year</t>
  </si>
  <si>
    <t>$/kVA/Year</t>
  </si>
  <si>
    <t>#</t>
  </si>
  <si>
    <t>Customer Number</t>
  </si>
  <si>
    <t>t-2</t>
  </si>
  <si>
    <t>t-1</t>
  </si>
  <si>
    <t>t</t>
  </si>
  <si>
    <t>Days_In_Yr</t>
  </si>
  <si>
    <t>Capital Cost Allocations</t>
  </si>
  <si>
    <t>Optimised Replacement Cost By Asset Class</t>
  </si>
  <si>
    <t>Operating Cost Allocations</t>
  </si>
  <si>
    <t>Capital and Operating Cost Allocations Combined</t>
  </si>
  <si>
    <t>Output | Impact &gt;750</t>
  </si>
  <si>
    <t>Calc | Long run marginal cost</t>
  </si>
  <si>
    <t>Calc | Network cost allocation</t>
  </si>
  <si>
    <t>Output | AER compliance</t>
  </si>
  <si>
    <t>Output | Cost of supply</t>
  </si>
  <si>
    <t>Output | Tariff schedules (no GST)</t>
  </si>
  <si>
    <t>Output | Tariff schedules (GST)</t>
  </si>
  <si>
    <t>Calc | Avoidable &amp; stand-alone costs</t>
  </si>
  <si>
    <t>Calc | Cost of supply</t>
  </si>
  <si>
    <t>Inputs | Data for customers &gt;750 MWh</t>
  </si>
  <si>
    <t>Inputs | General</t>
  </si>
  <si>
    <t>This worksheet provides information regarding source data of key inputs.</t>
  </si>
  <si>
    <t>This worksheet provides demand and other data for customers with annual usage &gt;750 MWh.</t>
  </si>
  <si>
    <t>Indexation and economic data</t>
  </si>
  <si>
    <t>Expenditure forecasts</t>
  </si>
  <si>
    <t>Incremental opex $'000</t>
  </si>
  <si>
    <t>Demand forecasts</t>
  </si>
  <si>
    <t>LRMC $/kVA</t>
  </si>
  <si>
    <t>Plus charges related to monthly demand</t>
  </si>
  <si>
    <t>Plus charges related to energy metered</t>
  </si>
  <si>
    <t>Dollars per month per NMI</t>
  </si>
  <si>
    <t>For Low Voltage Connected Customers with consumption above 750 MWh per year</t>
  </si>
  <si>
    <t>For High Voltage Connected Customers with consumption above 750 MWh per year</t>
  </si>
  <si>
    <t>LV Smart Meter</t>
  </si>
  <si>
    <t>Unmetered Supply</t>
  </si>
  <si>
    <t>LV Smart Meter Peak</t>
  </si>
  <si>
    <t>Demand Charges</t>
  </si>
  <si>
    <t>LV Smart Meter Off Peak</t>
  </si>
  <si>
    <t>($kVar)</t>
  </si>
  <si>
    <t>INCLUDING GST</t>
  </si>
  <si>
    <t>($/kVA)</t>
  </si>
  <si>
    <t>LV Smart AS</t>
  </si>
  <si>
    <t>LV Smart TC</t>
  </si>
  <si>
    <t>LV Smart DK</t>
  </si>
  <si>
    <t>Cents per day per NMI - LV Smart Meter &gt;40MWh</t>
  </si>
  <si>
    <t>Cents per day per NMI - LV Smart Meter &lt;40MWh</t>
  </si>
  <si>
    <t>($/kVar)</t>
  </si>
  <si>
    <t>(¢/day)</t>
  </si>
  <si>
    <t>Calc</t>
  </si>
  <si>
    <t>D2017/396043</t>
  </si>
  <si>
    <t>D2017/440145</t>
  </si>
  <si>
    <t>D2017/580386</t>
  </si>
  <si>
    <t>D2017/500241</t>
  </si>
  <si>
    <t>days/kWh</t>
  </si>
  <si>
    <t>D2017/138071</t>
  </si>
  <si>
    <t>D2017/245190</t>
  </si>
  <si>
    <t>Assumption</t>
  </si>
  <si>
    <t xml:space="preserve">Assumption </t>
  </si>
  <si>
    <t>Residential</t>
  </si>
  <si>
    <t>&lt;40 Residential DK</t>
  </si>
  <si>
    <t>&lt;40 Residential AS</t>
  </si>
  <si>
    <t>&lt;40 Residential TC</t>
  </si>
  <si>
    <t>Cents per day per NMI - Residential Accumulation</t>
  </si>
  <si>
    <t>Residential Accumulation</t>
  </si>
  <si>
    <t>This worksheet calculates the Long Run Marginal Cost (LRMC) of the four  tariff classes (&gt;40 MWh HV, &gt;40 MWh HV ,Non-residential &lt;40 MWh  and Residential &lt;40 MWh ).</t>
  </si>
  <si>
    <t>The costs of the LV network (which mainly uses standard conductor sizes) are allocated on a per customer connection basis, weighted for the number of phases.  Metering costs are allocated on a customer connection basis, weighted for the relative cost of the service provided (whether remotely read interval or not and whether there are instrument transformers).  It should be noted that unmetered loads in the Non-residential tariff class are not allocated metering costs.</t>
  </si>
  <si>
    <t>Non-residential</t>
  </si>
  <si>
    <t>&lt;40 Non-residential DK</t>
  </si>
  <si>
    <t>&lt;40 Non-residential AS</t>
  </si>
  <si>
    <t>&lt;40 Non-residential TC</t>
  </si>
  <si>
    <t>40-750 HV Non-residential DK</t>
  </si>
  <si>
    <t>40-750 HV Non-residential AS</t>
  </si>
  <si>
    <t>40-750 HV Non-residential TC</t>
  </si>
  <si>
    <t>40-750 LV Non-residential DK</t>
  </si>
  <si>
    <t>40-750 LV Non-residential AS</t>
  </si>
  <si>
    <t>40-750 LV Non-residential TC</t>
  </si>
  <si>
    <t xml:space="preserve">The network cost distribution is based on asset related costs of 53% and O&amp;M costs of 47%. The asset related component is allocated on the basis of the ORC of assets and the O&amp;M component on the basis of the ORC of assets, weighted for the relative contribution to O&amp;M costs (distribution assets are less capital intensive and more O&amp;M intensive).  80% of network costs are allocated on this basis, corresponding to an average LRMC of supply. The remaining 20% of costs are treated as Common Service and allocated on the basis of energy. 
Transmission, Zone Substations, HV Distribution and Distribution Substation Allocation
These cost components (Transmission, Zone Substations, HV Distribution and Distribution Substations) are allocated on the basis of their contribution to coincident demand.
LV Distribution Allocation
The network costs for LV connected customers are allocated on the basis of usage by customers. The total costs are scaled to the number of phases of supply (&lt;750 Residential customers = 1, &lt;750 Non-residential customers = 2 (average), &gt; 750 Non-residential customers = 3.  Streetlights and traffic lights (unmetered) are allocated costs based on their demand share of the LV distribution network. 
Metering Allocation
Metering costs formed a part of the operating and capital costs of the Utilities Commission's 2014 NPD Final Determination. These have also been allocated on a weighted basis that reflects the relative cost of the metering installation, reading and the presence of instrument transformers. The relative allocations are:  &lt;750 Residential and Non-residential = 1, &gt;750 Non-residential LV = 2 and &gt;750 Non-residential HV = 3.   
Common Service Allocation
Common Service costs are allocated on the basis of energy. </t>
  </si>
  <si>
    <t>Cents per day per NMI- Non-residential Accumulation</t>
  </si>
  <si>
    <t>Non-residential Accumulation</t>
  </si>
  <si>
    <t>Nominal Vanilla WACC</t>
  </si>
  <si>
    <t xml:space="preserve">Real vanilla WACC </t>
  </si>
  <si>
    <t>Revenue calculation</t>
  </si>
  <si>
    <t>Side constraint</t>
  </si>
  <si>
    <t>(1+CPIt)*(1+Xt)*(1+2%)+Ct</t>
  </si>
  <si>
    <t>Rt=Rt-1*[(1+CPIt)*(1-Xt)+Ct]</t>
  </si>
  <si>
    <t>Approved passthrough amounts (Ct)</t>
  </si>
  <si>
    <t>Annual adjustment factors (Bt)</t>
  </si>
  <si>
    <t>$'000, $2019</t>
  </si>
  <si>
    <t>Forecast ($'000, $2019)</t>
  </si>
  <si>
    <t>$M, $2019</t>
  </si>
  <si>
    <t>* Excludes equity raising costs</t>
  </si>
  <si>
    <t>Total (DORC)*</t>
  </si>
  <si>
    <t>DORC ($M)
30 June 2019
($2018-19)</t>
  </si>
  <si>
    <t>* Return on capital includes net tax; O&amp;M includes revenue adjustments</t>
  </si>
  <si>
    <t>Share of forecast replacement capex attributed to incremental demand from HV customers</t>
  </si>
  <si>
    <t>Share of forecast replacement capex attributed to incremental demand from LV customers</t>
  </si>
  <si>
    <t>2019-24
($M, $2019)</t>
  </si>
  <si>
    <t>anytime</t>
  </si>
  <si>
    <r>
      <t>[1]</t>
    </r>
    <r>
      <rPr>
        <sz val="8"/>
        <rFont val="Cambria"/>
        <family val="1"/>
        <scheme val="major"/>
      </rPr>
      <t xml:space="preserve"> Charges for increased or reduced service such as for higher reliability or for back-up supply to on-site generation are subject to negotiation.</t>
    </r>
  </si>
  <si>
    <t>Real WACC</t>
  </si>
  <si>
    <t>[2]The peak period rates currently apply to usage between 12 noon and 9.00 pm on any weekday, including public holidays. Off-peak period rates apply at other times.</t>
  </si>
  <si>
    <t xml:space="preserve">Unmetered supply 12hr operation </t>
  </si>
  <si>
    <t>Unmetered supply 24hr operation</t>
  </si>
  <si>
    <t>$/kVar</t>
  </si>
  <si>
    <t>[2]The peak period rates currently apply to usage between 12 noon and 9.00 pm on any weekday, including public holidays from 1 October through 31 March. Off-peak period rates apply at other times.</t>
  </si>
  <si>
    <t>[2] Peak and off-peak periods for demand and energy related charging rates will be as determined from time to time. The peak period rates currently apply to usage between 12 noon  and 9.00 pm on any weekday, including public holidays. Off-peak period rates apply at other times.</t>
  </si>
  <si>
    <t>[2] Peak and off-peak periods for demand and energy related charging rates will be as determined from time to time. The peak period rates currently apply to usage between 12 noon  and 9.00 pm on any weekday, including public holidays from 1 October through 31 March. Off-peak period rates apply at other times.</t>
  </si>
  <si>
    <t>Plus charges related to excess kVAr</t>
  </si>
  <si>
    <t>Cents per day per NMI - HV &lt;750MWh</t>
  </si>
  <si>
    <t>HV &lt;750MWh</t>
  </si>
  <si>
    <t xml:space="preserve">HV &lt;750MWh Peak </t>
  </si>
  <si>
    <t>HV&lt;750MWh Off Peak</t>
  </si>
  <si>
    <t>HV &lt;750MWh Peak</t>
  </si>
  <si>
    <t>HV Off&lt;750MWh  Peak</t>
  </si>
  <si>
    <t>PWC</t>
  </si>
  <si>
    <t>Power and Water Corporation (PWC) Network Pricing Model</t>
  </si>
  <si>
    <t>Go to Cover Sheet</t>
  </si>
  <si>
    <t>Appendix</t>
  </si>
  <si>
    <t>End</t>
  </si>
  <si>
    <t>Calculations</t>
  </si>
  <si>
    <t>COMMERCIAL IN CONFIDENCE</t>
  </si>
  <si>
    <t xml:space="preserve">This model is confidential information of, and is owned by, Power and Water Corporation ABN 15 947 352 360 (PWC).  It may not be disclosed to, or used or relied on by, any person without the consent of PWC.
PWC has not verified the inputs or the outputs of this model and makes no representation or warranty as to the completeness, accuracy, reliability or appropriateness of the model, its inputs and outputs (including any forward looking statements) or how it functions.  To the extent permitted by law, any person using or relying on this model or its outputs does so at their own risk and agrees that PWC will not be liable to any person for any loss or damage of any kind arising out of or in any way connected with the use of this model (including negligence).   The references to PWC in this disclaimer includes their respective directors, officers, employees, contractors, advisers or agents.
</t>
  </si>
  <si>
    <t>Contains confidential information so removed from public version</t>
  </si>
  <si>
    <t>Output | Impact &lt;750</t>
  </si>
  <si>
    <t>These worksheets demonstrate pricing impacts on customers with consumption less than 750 MWh per year.</t>
  </si>
  <si>
    <t>These worksheets demonstrate pricing impacts on customers with consumption greater than 750 MWh per year.</t>
  </si>
  <si>
    <t>Allocate Optimised Replacement Cost Across Voltages</t>
  </si>
  <si>
    <t>Cost Allocation</t>
  </si>
  <si>
    <t>Calendar Quarter and Year</t>
  </si>
  <si>
    <t>Calendar Year</t>
  </si>
  <si>
    <t>Days in Calendar Year</t>
  </si>
  <si>
    <t>Calendar Year Counter</t>
  </si>
  <si>
    <t>Calendar Years</t>
  </si>
  <si>
    <t>No Errors Found</t>
  </si>
  <si>
    <t>2020/21</t>
  </si>
  <si>
    <t>2021/22</t>
  </si>
  <si>
    <t>2022/23</t>
  </si>
  <si>
    <t>2023/24</t>
  </si>
  <si>
    <t>2024/25</t>
  </si>
  <si>
    <t>2025/26</t>
  </si>
  <si>
    <t>2026/27</t>
  </si>
  <si>
    <t>2027/28</t>
  </si>
  <si>
    <t>2028/29</t>
  </si>
  <si>
    <t>2029/30</t>
  </si>
  <si>
    <t>2030/31</t>
  </si>
  <si>
    <t>2031/32</t>
  </si>
  <si>
    <t>2032/33</t>
  </si>
  <si>
    <t>2033/34</t>
  </si>
  <si>
    <t>2034/35</t>
  </si>
  <si>
    <t>2035/36</t>
  </si>
  <si>
    <t>2036/37</t>
  </si>
  <si>
    <t>2037/38</t>
  </si>
  <si>
    <t>2038/39</t>
  </si>
  <si>
    <t>LRMC calculation (as at 2019/20)</t>
  </si>
  <si>
    <t>System and Non-System Assets Error Check</t>
  </si>
  <si>
    <t>Land Allocation Error Check</t>
  </si>
  <si>
    <t>Reallocate System Shared Assets and Remove Non-System Shared Assets Error Check</t>
  </si>
  <si>
    <t>Allocate Optimised Replacement Cost Across Voltages Error Check</t>
  </si>
  <si>
    <t>Network Cost Allocation Excluding Common Services Error Check</t>
  </si>
  <si>
    <t>Year t-1</t>
  </si>
  <si>
    <t>Year t</t>
  </si>
  <si>
    <t>-</t>
  </si>
  <si>
    <t>Actual</t>
  </si>
  <si>
    <t>Expected</t>
  </si>
  <si>
    <t>Forecast</t>
  </si>
  <si>
    <t>Pass</t>
  </si>
  <si>
    <t>Compliance with Tariff Class Side Constraint in 2019/20 ($'000)</t>
  </si>
  <si>
    <t>(2017/18 volumes)</t>
  </si>
  <si>
    <t>Fail</t>
  </si>
  <si>
    <t>Schedule A - 2019/20</t>
  </si>
  <si>
    <t>Schedule B -  2019/20</t>
  </si>
  <si>
    <t>Schedule C -  2019/20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</si>
</sst>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3">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0_);\(###0\);_(###0_)"/>
    <numFmt numFmtId="165" formatCode="_(#,##0.0_);\(#,##0.0\);_(&quot;-&quot;_)"/>
    <numFmt numFmtId="166" formatCode="_(#,##0.0\x_);\(#,##0.0\x\);_(&quot;-&quot;_)"/>
    <numFmt numFmtId="167" formatCode="_(#,##0.0%_);\(#,##0.0%\);_(&quot;-&quot;_)"/>
    <numFmt numFmtId="168" formatCode="_(&quot;$&quot;#,##0.00_);\(&quot;$&quot;#,##0.00\);_(&quot;-&quot;_)"/>
    <numFmt numFmtId="169" formatCode="_(#,##0_);\(#,##0\);_(&quot;-&quot;_)"/>
    <numFmt numFmtId="170" formatCode="_)d\-mmm\-yy_)"/>
    <numFmt numFmtId="171" formatCode="_(#,##0.00_);\(#,##0.00\);_(&quot;-&quot;_)"/>
    <numFmt numFmtId="172" formatCode="_(&quot;$&quot;#,##0.0_);\(&quot;$&quot;#,##0.0\);_(&quot;-&quot;_)"/>
    <numFmt numFmtId="173" formatCode="0.0"/>
    <numFmt numFmtId="174" formatCode="_(#,##0.0000_);\(#,##0.0000\);_(&quot;-&quot;_)"/>
    <numFmt numFmtId="175" formatCode="_(#,##0.00%_);\(#,##0.00%\);_(&quot;-&quot;_)"/>
    <numFmt numFmtId="176" formatCode="_(#,##0%_);\(#,##0%\);_(&quot;-&quot;_)"/>
    <numFmt numFmtId="177" formatCode="#,##0.000000000000"/>
    <numFmt numFmtId="178" formatCode="_(#,##0\x_);\(#,##0\x\);_(&quot;-&quot;_)"/>
    <numFmt numFmtId="179" formatCode="&quot;$&quot;#,##0.00_);\(&quot;$&quot;#,##0.00\)"/>
    <numFmt numFmtId="180" formatCode="&quot;$&quot;#,##0.000_);\(&quot;$&quot;#,##0.000\)"/>
    <numFmt numFmtId="181" formatCode="_(* #,##0.000_);_(* \(#,##0.000\);_(* &quot;-&quot;??_);_(@_)"/>
    <numFmt numFmtId="182" formatCode="#,##0.000"/>
    <numFmt numFmtId="183" formatCode="_(&quot;$&quot;#,##0_);\(&quot;$&quot;#,##0\);_(&quot;-&quot;_)"/>
    <numFmt numFmtId="184" formatCode="0.0%"/>
    <numFmt numFmtId="185" formatCode="_([$€-2]* #,##0.00_);_([$€-2]* \(#,##0.00\);_([$€-2]* &quot;-&quot;??_)"/>
    <numFmt numFmtId="186" formatCode="_-* #,##0.00_-;[Red]\(#,##0.00\)_-;_-* &quot;-&quot;??_-;_-@_-"/>
    <numFmt numFmtId="187" formatCode="_(* #,##0_);_(* \(#,##0\);_(* &quot;-&quot;_);_(@_)"/>
    <numFmt numFmtId="188" formatCode="_(* #,##0.00_);_(* \(#,##0.00\);_(* &quot;-&quot;??_);_(@_)"/>
    <numFmt numFmtId="189" formatCode="_(&quot;$&quot;* #,##0.00_);_(&quot;$&quot;* \(#,##0.00\);_(&quot;$&quot;* &quot;-&quot;??_);_(@_)"/>
    <numFmt numFmtId="190" formatCode="mm/dd/yy"/>
    <numFmt numFmtId="191" formatCode="0_);[Red]\(0\)"/>
    <numFmt numFmtId="192" formatCode="_(* #,##0.0_);_(* \(#,##0.0\);_(* &quot;-&quot;?_);_(@_)"/>
    <numFmt numFmtId="193" formatCode="_(* #,##0_);_(* \(#,##0\);_(* &quot;-&quot;?_);_(@_)"/>
    <numFmt numFmtId="194" formatCode="#,##0.000_ ;[Red]\-#,##0.000\ "/>
    <numFmt numFmtId="195" formatCode="#,##0.0_);\(#,##0.0\)"/>
    <numFmt numFmtId="196" formatCode="0.00_)"/>
    <numFmt numFmtId="197" formatCode="#,##0_ ;\-#,##0\ "/>
    <numFmt numFmtId="198" formatCode="#,##0;[Red]\(#,##0.0\)"/>
    <numFmt numFmtId="199" formatCode="#,##0_ ;[Red]\(#,##0\)\ "/>
    <numFmt numFmtId="200" formatCode="#,##0.00;\(#,##0.00\)"/>
    <numFmt numFmtId="201" formatCode="#,##0.0000_);[Red]\(#,##0.0000\)"/>
    <numFmt numFmtId="202" formatCode="_-* #,##0_-;\-* #,##0_-;_-* &quot;-&quot;??_-;_-@_-"/>
  </numFmts>
  <fonts count="161">
    <font>
      <sz val="10"/>
      <color rgb="FFFF0066"/>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9"/>
      <color theme="1"/>
      <name val="Helvetica"/>
      <family val="2"/>
    </font>
    <font>
      <sz val="8"/>
      <color theme="1"/>
      <name val="Helvetica"/>
      <family val="2"/>
    </font>
    <font>
      <b/>
      <sz val="8"/>
      <color theme="1"/>
      <name val="Helvetica"/>
      <family val="2"/>
    </font>
    <font>
      <b/>
      <sz val="11"/>
      <color theme="1"/>
      <name val="Calibri"/>
      <family val="2"/>
      <scheme val="minor"/>
    </font>
    <font>
      <sz val="8"/>
      <name val="Helvetica"/>
      <family val="2"/>
    </font>
    <font>
      <i/>
      <sz val="8"/>
      <name val="Helvetica"/>
      <family val="2"/>
    </font>
    <font>
      <b/>
      <sz val="18"/>
      <color theme="3"/>
      <name val="Cambria"/>
      <family val="2"/>
      <scheme val="major"/>
    </font>
    <font>
      <i/>
      <sz val="8"/>
      <color theme="1"/>
      <name val="Helvetica"/>
      <family val="2"/>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i/>
      <sz val="8"/>
      <color rgb="FF92D050"/>
      <name val="Helvetica"/>
      <family val="2"/>
    </font>
    <font>
      <b/>
      <sz val="8"/>
      <color theme="0"/>
      <name val="Helvetica"/>
      <family val="2"/>
    </font>
    <font>
      <i/>
      <sz val="8"/>
      <color theme="6" tint="0.39994506668294322"/>
      <name val="Helvetica"/>
      <family val="2"/>
    </font>
    <font>
      <b/>
      <sz val="10"/>
      <color theme="1"/>
      <name val="Helvetica"/>
      <family val="2"/>
    </font>
    <font>
      <sz val="8"/>
      <color rgb="FFFF0066"/>
      <name val="Helvetica"/>
      <family val="2"/>
    </font>
    <font>
      <u/>
      <sz val="10"/>
      <color theme="10"/>
      <name val="Calibri"/>
      <family val="2"/>
      <scheme val="minor"/>
    </font>
    <font>
      <sz val="10"/>
      <color theme="4"/>
      <name val="Calibri"/>
      <family val="2"/>
      <scheme val="minor"/>
    </font>
    <font>
      <sz val="10"/>
      <color theme="1"/>
      <name val="Calibri"/>
      <family val="2"/>
      <scheme val="minor"/>
    </font>
    <font>
      <b/>
      <sz val="16"/>
      <color theme="1"/>
      <name val="Calibri"/>
      <family val="2"/>
      <scheme val="minor"/>
    </font>
    <font>
      <b/>
      <sz val="16"/>
      <color theme="4"/>
      <name val="Calibri"/>
      <family val="2"/>
      <scheme val="minor"/>
    </font>
    <font>
      <b/>
      <sz val="10"/>
      <color theme="1"/>
      <name val="Calibri"/>
      <family val="2"/>
      <scheme val="minor"/>
    </font>
    <font>
      <b/>
      <sz val="10"/>
      <color theme="4"/>
      <name val="Calibri"/>
      <family val="2"/>
      <scheme val="minor"/>
    </font>
    <font>
      <b/>
      <sz val="11.5"/>
      <color theme="4"/>
      <name val="Calibri"/>
      <family val="2"/>
    </font>
    <font>
      <b/>
      <sz val="9"/>
      <color indexed="81"/>
      <name val="Tahoma"/>
      <family val="2"/>
    </font>
    <font>
      <sz val="9"/>
      <color indexed="81"/>
      <name val="Tahoma"/>
      <family val="2"/>
    </font>
    <font>
      <b/>
      <sz val="12"/>
      <color theme="0"/>
      <name val="Calibri"/>
      <family val="2"/>
      <scheme val="minor"/>
    </font>
    <font>
      <b/>
      <sz val="10"/>
      <color rgb="FFFF0066"/>
      <name val="Calibri"/>
      <family val="2"/>
      <scheme val="minor"/>
    </font>
    <font>
      <i/>
      <sz val="10"/>
      <color theme="4"/>
      <name val="Calibri"/>
      <family val="2"/>
      <scheme val="minor"/>
    </font>
    <font>
      <b/>
      <sz val="9"/>
      <color indexed="21"/>
      <name val="Tahoma"/>
      <family val="2"/>
    </font>
    <font>
      <sz val="9"/>
      <color indexed="8"/>
      <name val="Tahoma"/>
      <family val="2"/>
    </font>
    <font>
      <sz val="8"/>
      <color indexed="21"/>
      <name val="Tahoma"/>
      <family val="2"/>
    </font>
    <font>
      <sz val="8"/>
      <color indexed="8"/>
      <name val="Tahoma"/>
      <family val="2"/>
    </font>
    <font>
      <sz val="8"/>
      <color indexed="8"/>
      <name val="Wingdings"/>
      <charset val="2"/>
    </font>
    <font>
      <b/>
      <sz val="8"/>
      <color indexed="53"/>
      <name val="Tahoma"/>
      <family val="2"/>
    </font>
    <font>
      <u/>
      <sz val="8"/>
      <color indexed="39"/>
      <name val="Tahoma"/>
      <family val="2"/>
    </font>
    <font>
      <sz val="10"/>
      <color theme="6"/>
      <name val="Calibri"/>
      <family val="2"/>
      <scheme val="minor"/>
    </font>
    <font>
      <sz val="10"/>
      <color rgb="FFFF0066"/>
      <name val="Calibri"/>
      <family val="2"/>
      <scheme val="minor"/>
    </font>
    <font>
      <b/>
      <sz val="14"/>
      <name val="Verdana"/>
      <family val="2"/>
    </font>
    <font>
      <b/>
      <sz val="16"/>
      <name val="Verdana"/>
      <family val="2"/>
    </font>
    <font>
      <b/>
      <sz val="14"/>
      <name val="Arial"/>
      <family val="2"/>
    </font>
    <font>
      <sz val="11"/>
      <name val="Courier New"/>
      <family val="2"/>
    </font>
    <font>
      <sz val="10"/>
      <name val="Times New Roman"/>
      <family val="1"/>
    </font>
    <font>
      <vertAlign val="superscript"/>
      <sz val="10"/>
      <name val="Times New Roman"/>
      <family val="1"/>
    </font>
    <font>
      <b/>
      <sz val="10"/>
      <name val="Arial"/>
      <family val="2"/>
    </font>
    <font>
      <b/>
      <vertAlign val="superscript"/>
      <sz val="10"/>
      <name val="Arial"/>
      <family val="2"/>
    </font>
    <font>
      <b/>
      <i/>
      <sz val="10"/>
      <name val="Arial"/>
      <family val="2"/>
    </font>
    <font>
      <vertAlign val="superscript"/>
      <sz val="8"/>
      <name val="Times New Roman"/>
      <family val="1"/>
    </font>
    <font>
      <sz val="8"/>
      <name val="Times New Roman"/>
      <family val="1"/>
    </font>
    <font>
      <sz val="8"/>
      <name val="Cambria"/>
      <family val="1"/>
    </font>
    <font>
      <sz val="11"/>
      <color theme="1"/>
      <name val="Courier New"/>
      <family val="2"/>
    </font>
    <font>
      <sz val="11"/>
      <color theme="0"/>
      <name val="Calibri"/>
      <family val="2"/>
      <scheme val="minor"/>
    </font>
    <font>
      <sz val="11"/>
      <color indexed="8"/>
      <name val="Arial"/>
      <family val="2"/>
    </font>
    <font>
      <sz val="11"/>
      <color indexed="8"/>
      <name val="Courier New"/>
      <family val="2"/>
    </font>
    <font>
      <sz val="10"/>
      <name val="Arial"/>
      <family val="2"/>
    </font>
    <font>
      <sz val="10"/>
      <name val="Helv"/>
      <charset val="204"/>
    </font>
    <font>
      <sz val="14"/>
      <name val="System"/>
      <family val="2"/>
    </font>
    <font>
      <sz val="8"/>
      <name val="Arial"/>
      <family val="2"/>
    </font>
    <font>
      <sz val="10"/>
      <name val="Geneva"/>
      <family val="2"/>
    </font>
    <font>
      <sz val="11"/>
      <color indexed="8"/>
      <name val="Calibri"/>
      <family val="2"/>
    </font>
    <font>
      <sz val="11"/>
      <color theme="1"/>
      <name val="Tahoma"/>
      <family val="2"/>
    </font>
    <font>
      <sz val="11"/>
      <color indexed="9"/>
      <name val="Calibri"/>
      <family val="2"/>
    </font>
    <font>
      <sz val="11"/>
      <color theme="0"/>
      <name val="Tahoma"/>
      <family val="2"/>
    </font>
    <font>
      <sz val="9"/>
      <name val="AGaramond"/>
    </font>
    <font>
      <sz val="11"/>
      <color indexed="20"/>
      <name val="Calibri"/>
      <family val="2"/>
    </font>
    <font>
      <sz val="11"/>
      <color rgb="FF9C0006"/>
      <name val="Tahoma"/>
      <family val="2"/>
    </font>
    <font>
      <sz val="10"/>
      <name val="Helvetica"/>
      <family val="2"/>
    </font>
    <font>
      <sz val="10"/>
      <color indexed="12"/>
      <name val="Helvetica"/>
      <family val="2"/>
    </font>
    <font>
      <b/>
      <sz val="11"/>
      <color indexed="52"/>
      <name val="Calibri"/>
      <family val="2"/>
    </font>
    <font>
      <b/>
      <sz val="11"/>
      <color rgb="FFFA7D00"/>
      <name val="Tahoma"/>
      <family val="2"/>
    </font>
    <font>
      <b/>
      <sz val="11"/>
      <color indexed="9"/>
      <name val="Calibri"/>
      <family val="2"/>
    </font>
    <font>
      <b/>
      <sz val="11"/>
      <color theme="0"/>
      <name val="Tahoma"/>
      <family val="2"/>
    </font>
    <font>
      <sz val="10"/>
      <name val="MS Sans Serif"/>
      <family val="2"/>
    </font>
    <font>
      <sz val="11"/>
      <color theme="1"/>
      <name val="Consolas"/>
      <family val="2"/>
    </font>
    <font>
      <sz val="10"/>
      <name val="Verdana"/>
      <family val="2"/>
    </font>
    <font>
      <sz val="11"/>
      <color indexed="8"/>
      <name val="Consolas"/>
      <family val="2"/>
    </font>
    <font>
      <sz val="11"/>
      <name val="Calibri"/>
      <family val="2"/>
    </font>
    <font>
      <sz val="10"/>
      <color indexed="24"/>
      <name val="Arial"/>
      <family val="2"/>
    </font>
    <font>
      <b/>
      <sz val="11"/>
      <name val="Calibri"/>
      <family val="2"/>
      <scheme val="minor"/>
    </font>
    <font>
      <b/>
      <sz val="11"/>
      <color indexed="8"/>
      <name val="Calibri"/>
      <family val="2"/>
    </font>
    <font>
      <i/>
      <sz val="11"/>
      <color indexed="23"/>
      <name val="Calibri"/>
      <family val="2"/>
    </font>
    <font>
      <i/>
      <sz val="11"/>
      <color rgb="FF7F7F7F"/>
      <name val="Tahoma"/>
      <family val="2"/>
    </font>
    <font>
      <sz val="9"/>
      <name val="GillSans"/>
      <family val="2"/>
    </font>
    <font>
      <sz val="9"/>
      <name val="GillSans Light"/>
      <family val="2"/>
    </font>
    <font>
      <sz val="11"/>
      <color indexed="17"/>
      <name val="Calibri"/>
      <family val="2"/>
    </font>
    <font>
      <sz val="11"/>
      <color rgb="FF006100"/>
      <name val="Tahoma"/>
      <family val="2"/>
    </font>
    <font>
      <b/>
      <sz val="15"/>
      <color theme="3"/>
      <name val="Calibri"/>
      <family val="2"/>
      <scheme val="minor"/>
    </font>
    <font>
      <b/>
      <sz val="15"/>
      <color indexed="62"/>
      <name val="Calibri"/>
      <family val="2"/>
    </font>
    <font>
      <b/>
      <sz val="15"/>
      <color theme="3"/>
      <name val="Tahoma"/>
      <family val="2"/>
    </font>
    <font>
      <b/>
      <sz val="13"/>
      <color theme="3"/>
      <name val="Calibri"/>
      <family val="2"/>
      <scheme val="minor"/>
    </font>
    <font>
      <b/>
      <sz val="13"/>
      <color indexed="62"/>
      <name val="Calibri"/>
      <family val="2"/>
    </font>
    <font>
      <b/>
      <sz val="9"/>
      <name val="Arial"/>
      <family val="2"/>
    </font>
    <font>
      <b/>
      <sz val="13"/>
      <color theme="3"/>
      <name val="Tahoma"/>
      <family val="2"/>
    </font>
    <font>
      <b/>
      <sz val="11"/>
      <color theme="3"/>
      <name val="Calibri"/>
      <family val="2"/>
      <scheme val="minor"/>
    </font>
    <font>
      <b/>
      <sz val="11"/>
      <color indexed="62"/>
      <name val="Calibri"/>
      <family val="2"/>
    </font>
    <font>
      <b/>
      <sz val="8"/>
      <name val="Arial"/>
      <family val="2"/>
    </font>
    <font>
      <b/>
      <sz val="11"/>
      <color theme="3"/>
      <name val="Tahoma"/>
      <family val="2"/>
    </font>
    <font>
      <b/>
      <sz val="8.5"/>
      <name val="Univers 65"/>
      <family val="2"/>
    </font>
    <font>
      <u/>
      <sz val="11"/>
      <color indexed="12"/>
      <name val="Calibri"/>
      <family val="2"/>
    </font>
    <font>
      <u/>
      <sz val="8.5"/>
      <color indexed="12"/>
      <name val="Arial"/>
      <family val="2"/>
    </font>
    <font>
      <u/>
      <sz val="11"/>
      <color theme="10"/>
      <name val="Calibri"/>
      <family val="2"/>
      <scheme val="minor"/>
    </font>
    <font>
      <u/>
      <sz val="10"/>
      <color indexed="12"/>
      <name val="Arial"/>
      <family val="2"/>
    </font>
    <font>
      <b/>
      <sz val="10"/>
      <color indexed="56"/>
      <name val="Wingdings"/>
      <charset val="2"/>
    </font>
    <font>
      <b/>
      <u/>
      <sz val="8"/>
      <color indexed="56"/>
      <name val="Arial"/>
      <family val="2"/>
    </font>
    <font>
      <sz val="11"/>
      <color indexed="62"/>
      <name val="Calibri"/>
      <family val="2"/>
    </font>
    <font>
      <sz val="11"/>
      <color rgb="FF3F3F76"/>
      <name val="Tahoma"/>
      <family val="2"/>
    </font>
    <font>
      <b/>
      <sz val="9"/>
      <color indexed="9"/>
      <name val="Arial"/>
      <family val="2"/>
    </font>
    <font>
      <sz val="11"/>
      <color indexed="52"/>
      <name val="Calibri"/>
      <family val="2"/>
    </font>
    <font>
      <sz val="11"/>
      <color rgb="FFFA7D00"/>
      <name val="Tahoma"/>
      <family val="2"/>
    </font>
    <font>
      <sz val="9"/>
      <name val="Arial"/>
      <family val="2"/>
    </font>
    <font>
      <sz val="12"/>
      <color indexed="14"/>
      <name val="Arial"/>
      <family val="2"/>
    </font>
    <font>
      <b/>
      <sz val="12"/>
      <name val="Arial"/>
      <family val="2"/>
    </font>
    <font>
      <sz val="11"/>
      <color indexed="60"/>
      <name val="Calibri"/>
      <family val="2"/>
    </font>
    <font>
      <sz val="11"/>
      <color rgb="FF9C6500"/>
      <name val="Tahoma"/>
      <family val="2"/>
    </font>
    <font>
      <sz val="10"/>
      <color theme="1"/>
      <name val="Arial"/>
      <family val="2"/>
    </font>
    <font>
      <b/>
      <i/>
      <sz val="16"/>
      <name val="Helv"/>
    </font>
    <font>
      <sz val="8"/>
      <name val="Palatino"/>
      <family val="1"/>
    </font>
    <font>
      <sz val="11"/>
      <color theme="1"/>
      <name val="Calibri"/>
      <family val="2"/>
    </font>
    <font>
      <b/>
      <sz val="11"/>
      <color indexed="63"/>
      <name val="Calibri"/>
      <family val="2"/>
    </font>
    <font>
      <b/>
      <sz val="11"/>
      <color rgb="FF3F3F3F"/>
      <name val="Tahoma"/>
      <family val="2"/>
    </font>
    <font>
      <sz val="11"/>
      <color indexed="8"/>
      <name val="Times New Roman"/>
      <family val="1"/>
    </font>
    <font>
      <b/>
      <sz val="11"/>
      <color indexed="16"/>
      <name val="Times New Roman"/>
      <family val="1"/>
    </font>
    <font>
      <sz val="10"/>
      <color indexed="18"/>
      <name val="Times New Roman"/>
      <family val="1"/>
    </font>
    <font>
      <b/>
      <sz val="10"/>
      <name val="MS Sans Serif"/>
      <family val="2"/>
    </font>
    <font>
      <sz val="11"/>
      <color theme="1"/>
      <name val="Arial"/>
      <family val="2"/>
    </font>
    <font>
      <b/>
      <sz val="18"/>
      <color indexed="62"/>
      <name val="Cambria"/>
      <family val="2"/>
    </font>
    <font>
      <b/>
      <sz val="16"/>
      <color indexed="9"/>
      <name val="Arial"/>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sz val="18"/>
      <color theme="3"/>
      <name val="Calibri Light"/>
      <family val="2"/>
    </font>
    <font>
      <sz val="18"/>
      <color theme="3"/>
      <name val="Cambria"/>
      <family val="2"/>
      <scheme val="major"/>
    </font>
    <font>
      <b/>
      <u/>
      <sz val="9.5"/>
      <color indexed="56"/>
      <name val="Arial"/>
      <family val="2"/>
    </font>
    <font>
      <u/>
      <sz val="8"/>
      <color indexed="56"/>
      <name val="Arial"/>
      <family val="2"/>
    </font>
    <font>
      <b/>
      <sz val="11"/>
      <color theme="1"/>
      <name val="Tahoma"/>
      <family val="2"/>
    </font>
    <font>
      <sz val="11"/>
      <color indexed="10"/>
      <name val="Calibri"/>
      <family val="2"/>
    </font>
    <font>
      <sz val="11"/>
      <color rgb="FFFF0000"/>
      <name val="Tahoma"/>
      <family val="2"/>
    </font>
    <font>
      <vertAlign val="superscript"/>
      <sz val="8"/>
      <name val="Cambria"/>
      <family val="1"/>
      <scheme val="major"/>
    </font>
    <font>
      <sz val="8"/>
      <name val="Cambria"/>
      <family val="1"/>
      <scheme val="major"/>
    </font>
    <font>
      <b/>
      <sz val="15"/>
      <color theme="4"/>
      <name val="Helvetica"/>
      <family val="2"/>
    </font>
    <font>
      <sz val="10"/>
      <color theme="1"/>
      <name val="Helvetica"/>
      <family val="2"/>
    </font>
    <font>
      <u/>
      <sz val="8"/>
      <color theme="10"/>
      <name val="Helvetica"/>
      <family val="2"/>
    </font>
    <font>
      <sz val="10"/>
      <color theme="4"/>
      <name val="Helvetica"/>
      <family val="2"/>
    </font>
    <font>
      <b/>
      <sz val="12"/>
      <color theme="0"/>
      <name val="Helvetica"/>
      <family val="2"/>
    </font>
    <font>
      <b/>
      <sz val="11"/>
      <color theme="4"/>
      <name val="Helvetica"/>
      <family val="2"/>
    </font>
    <font>
      <b/>
      <sz val="15"/>
      <color rgb="FFFF0066"/>
      <name val="Calibri"/>
      <family val="2"/>
      <scheme val="minor"/>
    </font>
    <font>
      <b/>
      <sz val="8"/>
      <color rgb="FFFF0066"/>
      <name val="Helvetica"/>
    </font>
  </fonts>
  <fills count="89">
    <fill>
      <patternFill patternType="none"/>
    </fill>
    <fill>
      <patternFill patternType="gray125"/>
    </fill>
    <fill>
      <patternFill patternType="solid">
        <fgColor theme="3" tint="0.79998168889431442"/>
        <bgColor indexed="64"/>
      </patternFill>
    </fill>
    <fill>
      <patternFill patternType="solid">
        <fgColor theme="0" tint="-0.149967955565050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bgColor indexed="64"/>
      </patternFill>
    </fill>
    <fill>
      <patternFill patternType="solid">
        <fgColor theme="4" tint="0.79998168889431442"/>
        <bgColor indexed="64"/>
      </patternFill>
    </fill>
    <fill>
      <patternFill patternType="solid">
        <fgColor rgb="FF2A3D6F"/>
        <bgColor indexed="64"/>
      </patternFill>
    </fill>
    <fill>
      <patternFill patternType="solid">
        <fgColor rgb="FF75842F"/>
        <bgColor indexed="64"/>
      </patternFill>
    </fill>
    <fill>
      <patternFill patternType="solid">
        <fgColor rgb="FFFFFF0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2"/>
        <bgColor indexed="64"/>
      </patternFill>
    </fill>
    <fill>
      <patternFill patternType="solid">
        <fgColor theme="0"/>
        <bgColor indexed="64"/>
      </patternFill>
    </fill>
    <fill>
      <patternFill patternType="solid">
        <fgColor theme="0"/>
        <bgColor indexed="14"/>
      </patternFill>
    </fill>
    <fill>
      <patternFill patternType="solid">
        <fgColor indexed="9"/>
        <bgColor indexed="64"/>
      </patternFill>
    </fill>
    <fill>
      <patternFill patternType="solid">
        <fgColor indexed="9"/>
        <bgColor indexed="14"/>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31"/>
        <bgColor indexed="31"/>
      </patternFill>
    </fill>
    <fill>
      <patternFill patternType="solid">
        <fgColor indexed="44"/>
        <bgColor indexed="44"/>
      </patternFill>
    </fill>
    <fill>
      <patternFill patternType="solid">
        <fgColor indexed="49"/>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54"/>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55"/>
      </patternFill>
    </fill>
    <fill>
      <patternFill patternType="solid">
        <fgColor theme="4" tint="0.39997558519241921"/>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26"/>
        <bgColor indexed="64"/>
      </patternFill>
    </fill>
    <fill>
      <patternFill patternType="solid">
        <fgColor indexed="44"/>
        <bgColor indexed="64"/>
      </patternFill>
    </fill>
    <fill>
      <patternFill patternType="solid">
        <fgColor indexed="27"/>
        <bgColor indexed="64"/>
      </patternFill>
    </fill>
    <fill>
      <patternFill patternType="gray0625">
        <bgColor indexed="44"/>
      </patternFill>
    </fill>
    <fill>
      <patternFill patternType="solid">
        <fgColor indexed="42"/>
        <bgColor indexed="64"/>
      </patternFill>
    </fill>
    <fill>
      <patternFill patternType="solid">
        <fgColor rgb="FFFFFFCC"/>
        <bgColor indexed="64"/>
      </patternFill>
    </fill>
    <fill>
      <patternFill patternType="solid">
        <fgColor indexed="62"/>
        <bgColor indexed="64"/>
      </patternFill>
    </fill>
    <fill>
      <patternFill patternType="solid">
        <fgColor theme="0" tint="-0.249977111117893"/>
        <bgColor indexed="64"/>
      </patternFill>
    </fill>
    <fill>
      <patternFill patternType="mediumGray">
        <fgColor indexed="22"/>
      </patternFill>
    </fill>
    <fill>
      <patternFill patternType="solid">
        <fgColor theme="4" tint="-0.499984740745262"/>
        <bgColor indexed="64"/>
      </patternFill>
    </fill>
    <fill>
      <patternFill patternType="solid">
        <fgColor indexed="8"/>
        <bgColor indexed="64"/>
      </patternFill>
    </fill>
    <fill>
      <patternFill patternType="solid">
        <fgColor theme="0" tint="-0.499984740745262"/>
        <bgColor indexed="64"/>
      </patternFill>
    </fill>
    <fill>
      <patternFill patternType="solid">
        <fgColor theme="1"/>
        <bgColor indexed="64"/>
      </patternFill>
    </fill>
    <fill>
      <patternFill patternType="solid">
        <fgColor theme="0" tint="-0.34998626667073579"/>
        <bgColor indexed="64"/>
      </patternFill>
    </fill>
    <fill>
      <patternFill patternType="solid">
        <fgColor theme="6" tint="0.39994506668294322"/>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right/>
      <top style="thin">
        <color auto="1"/>
      </top>
      <bottom/>
      <diagonal/>
    </border>
    <border>
      <left style="thin">
        <color theme="0"/>
      </left>
      <right style="thin">
        <color theme="0"/>
      </right>
      <top style="thin">
        <color theme="0"/>
      </top>
      <bottom style="thin">
        <color theme="0"/>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top style="dashed">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thin">
        <color theme="0"/>
      </left>
      <right/>
      <top style="thin">
        <color theme="0"/>
      </top>
      <bottom style="thin">
        <color theme="0"/>
      </bottom>
      <diagonal/>
    </border>
    <border>
      <left style="medium">
        <color auto="1"/>
      </left>
      <right style="thin">
        <color theme="0"/>
      </right>
      <top style="medium">
        <color auto="1"/>
      </top>
      <bottom style="thin">
        <color theme="0"/>
      </bottom>
      <diagonal/>
    </border>
    <border>
      <left style="thin">
        <color theme="0"/>
      </left>
      <right style="thin">
        <color theme="0"/>
      </right>
      <top style="medium">
        <color auto="1"/>
      </top>
      <bottom style="thin">
        <color theme="0"/>
      </bottom>
      <diagonal/>
    </border>
    <border>
      <left style="thin">
        <color theme="0"/>
      </left>
      <right style="medium">
        <color auto="1"/>
      </right>
      <top style="medium">
        <color auto="1"/>
      </top>
      <bottom style="thin">
        <color theme="0"/>
      </bottom>
      <diagonal/>
    </border>
    <border>
      <left style="medium">
        <color auto="1"/>
      </left>
      <right style="thin">
        <color theme="0"/>
      </right>
      <top style="thin">
        <color theme="0"/>
      </top>
      <bottom style="thin">
        <color theme="0"/>
      </bottom>
      <diagonal/>
    </border>
    <border>
      <left style="thin">
        <color theme="0"/>
      </left>
      <right style="medium">
        <color auto="1"/>
      </right>
      <top style="thin">
        <color theme="0"/>
      </top>
      <bottom style="thin">
        <color theme="0"/>
      </bottom>
      <diagonal/>
    </border>
    <border>
      <left style="medium">
        <color auto="1"/>
      </left>
      <right style="thin">
        <color theme="0"/>
      </right>
      <top style="thin">
        <color theme="0"/>
      </top>
      <bottom style="medium">
        <color auto="1"/>
      </bottom>
      <diagonal/>
    </border>
    <border>
      <left style="thin">
        <color theme="0"/>
      </left>
      <right style="thin">
        <color theme="0"/>
      </right>
      <top style="thin">
        <color theme="0"/>
      </top>
      <bottom style="medium">
        <color auto="1"/>
      </bottom>
      <diagonal/>
    </border>
    <border>
      <left style="thin">
        <color theme="0"/>
      </left>
      <right style="medium">
        <color auto="1"/>
      </right>
      <top style="thin">
        <color theme="0"/>
      </top>
      <bottom style="medium">
        <color auto="1"/>
      </bottom>
      <diagonal/>
    </border>
    <border>
      <left style="thin">
        <color theme="0"/>
      </left>
      <right style="thin">
        <color theme="0"/>
      </right>
      <top style="thin">
        <color theme="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theme="0"/>
      </left>
      <right style="thin">
        <color theme="0"/>
      </right>
      <top/>
      <bottom style="thin">
        <color theme="0"/>
      </bottom>
      <diagonal/>
    </border>
    <border>
      <left style="thin">
        <color theme="0"/>
      </left>
      <right style="thin">
        <color indexed="64"/>
      </right>
      <top/>
      <bottom style="thin">
        <color theme="0"/>
      </bottom>
      <diagonal/>
    </border>
    <border>
      <left/>
      <right style="thin">
        <color theme="0"/>
      </right>
      <top style="thin">
        <color theme="0"/>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indexed="64"/>
      </left>
      <right style="thin">
        <color theme="0"/>
      </right>
      <top style="thin">
        <color indexed="64"/>
      </top>
      <bottom style="thin">
        <color theme="0"/>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theme="0"/>
      </left>
      <right/>
      <top/>
      <bottom/>
      <diagonal/>
    </border>
    <border>
      <left style="thin">
        <color theme="0"/>
      </left>
      <right style="thin">
        <color theme="0"/>
      </right>
      <top/>
      <bottom/>
      <diagonal/>
    </border>
    <border>
      <left/>
      <right/>
      <top style="thin">
        <color theme="0"/>
      </top>
      <bottom style="thin">
        <color theme="0"/>
      </bottom>
      <diagonal/>
    </border>
    <border>
      <left style="thin">
        <color indexed="64"/>
      </left>
      <right style="thin">
        <color theme="0"/>
      </right>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auto="1"/>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medium">
        <color auto="1"/>
      </bottom>
      <diagonal/>
    </border>
    <border>
      <left/>
      <right style="thin">
        <color indexed="64"/>
      </right>
      <top style="medium">
        <color auto="1"/>
      </top>
      <bottom style="medium">
        <color indexed="64"/>
      </bottom>
      <diagonal/>
    </border>
    <border>
      <left style="medium">
        <color indexed="10"/>
      </left>
      <right style="medium">
        <color indexed="10"/>
      </right>
      <top style="medium">
        <color indexed="10"/>
      </top>
      <bottom style="medium">
        <color indexed="1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64"/>
      </left>
      <right style="medium">
        <color indexed="64"/>
      </right>
      <top style="medium">
        <color indexed="64"/>
      </top>
      <bottom style="medium">
        <color indexed="64"/>
      </bottom>
      <diagonal/>
    </border>
    <border>
      <left/>
      <right/>
      <top/>
      <bottom style="thick">
        <color theme="4"/>
      </bottom>
      <diagonal/>
    </border>
    <border>
      <left/>
      <right/>
      <top/>
      <bottom style="thick">
        <color indexed="49"/>
      </bottom>
      <diagonal/>
    </border>
    <border>
      <left/>
      <right/>
      <top/>
      <bottom style="thick">
        <color theme="4" tint="0.499984740745262"/>
      </bottom>
      <diagonal/>
    </border>
    <border>
      <left/>
      <right/>
      <top/>
      <bottom style="thick">
        <color indexed="38"/>
      </bottom>
      <diagonal/>
    </border>
    <border>
      <left/>
      <right/>
      <top/>
      <bottom style="medium">
        <color theme="4" tint="0.39997558519241921"/>
      </bottom>
      <diagonal/>
    </border>
    <border>
      <left/>
      <right/>
      <top/>
      <bottom style="medium">
        <color indexed="38"/>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thin">
        <color theme="0" tint="-0.34998626667073579"/>
      </top>
      <bottom style="thin">
        <color theme="0" tint="-0.34998626667073579"/>
      </bottom>
      <diagonal/>
    </border>
    <border>
      <left/>
      <right/>
      <top style="thin">
        <color indexed="49"/>
      </top>
      <bottom style="double">
        <color indexed="49"/>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style="dotted">
        <color auto="1"/>
      </right>
      <top/>
      <bottom/>
      <diagonal/>
    </border>
    <border>
      <left style="dotted">
        <color auto="1"/>
      </left>
      <right/>
      <top/>
      <bottom/>
      <diagonal/>
    </border>
    <border>
      <left style="medium">
        <color rgb="FFFFFF00"/>
      </left>
      <right/>
      <top style="medium">
        <color rgb="FFFFFF00"/>
      </top>
      <bottom/>
      <diagonal/>
    </border>
    <border>
      <left/>
      <right/>
      <top style="medium">
        <color rgb="FFFFFF00"/>
      </top>
      <bottom/>
      <diagonal/>
    </border>
    <border>
      <left/>
      <right style="medium">
        <color rgb="FFFFFF00"/>
      </right>
      <top style="medium">
        <color rgb="FFFFFF00"/>
      </top>
      <bottom/>
      <diagonal/>
    </border>
    <border>
      <left style="medium">
        <color rgb="FFFFFF00"/>
      </left>
      <right/>
      <top/>
      <bottom/>
      <diagonal/>
    </border>
    <border>
      <left/>
      <right style="medium">
        <color rgb="FFFFFF00"/>
      </right>
      <top/>
      <bottom/>
      <diagonal/>
    </border>
    <border>
      <left/>
      <right style="medium">
        <color rgb="FFFFFF00"/>
      </right>
      <top style="thin">
        <color auto="1"/>
      </top>
      <bottom/>
      <diagonal/>
    </border>
    <border>
      <left style="medium">
        <color rgb="FFFFFF00"/>
      </left>
      <right/>
      <top/>
      <bottom style="medium">
        <color rgb="FFFFFF00"/>
      </bottom>
      <diagonal/>
    </border>
    <border>
      <left/>
      <right/>
      <top/>
      <bottom style="medium">
        <color rgb="FFFFFF00"/>
      </bottom>
      <diagonal/>
    </border>
    <border>
      <left/>
      <right style="medium">
        <color rgb="FFFFFF00"/>
      </right>
      <top/>
      <bottom style="medium">
        <color rgb="FFFFFF00"/>
      </bottom>
      <diagonal/>
    </border>
    <border>
      <left style="medium">
        <color auto="1"/>
      </left>
      <right/>
      <top style="thin">
        <color indexed="64"/>
      </top>
      <bottom/>
      <diagonal/>
    </border>
    <border>
      <left/>
      <right/>
      <top style="thin">
        <color indexed="64"/>
      </top>
      <bottom/>
      <diagonal/>
    </border>
    <border>
      <left style="medium">
        <color auto="1"/>
      </left>
      <right/>
      <top style="thin">
        <color indexed="64"/>
      </top>
      <bottom style="thin">
        <color auto="1"/>
      </bottom>
      <diagonal/>
    </border>
  </borders>
  <cellStyleXfs count="822">
    <xf numFmtId="0" fontId="0" fillId="0" borderId="0"/>
    <xf numFmtId="168" fontId="5" fillId="0" borderId="0" applyFill="0" applyBorder="0" applyProtection="0">
      <alignment vertical="center"/>
    </xf>
    <xf numFmtId="0" fontId="10" fillId="0" borderId="0" applyNumberFormat="0" applyFill="0" applyBorder="0" applyAlignment="0" applyProtection="0"/>
    <xf numFmtId="0" fontId="37" fillId="13" borderId="0" applyBorder="0">
      <alignment horizontal="left" vertical="center"/>
    </xf>
    <xf numFmtId="0" fontId="4" fillId="3" borderId="0" applyProtection="0">
      <alignment vertical="center"/>
    </xf>
    <xf numFmtId="0" fontId="6" fillId="0" borderId="0" applyFill="0" applyProtection="0">
      <alignment vertical="center"/>
    </xf>
    <xf numFmtId="0" fontId="5" fillId="0" borderId="0" applyFill="0" applyBorder="0" applyProtection="0">
      <alignment vertical="center"/>
    </xf>
    <xf numFmtId="0" fontId="7" fillId="0" borderId="5" applyNumberFormat="0" applyFill="0" applyAlignment="0" applyProtection="0"/>
    <xf numFmtId="0" fontId="28" fillId="12" borderId="4">
      <alignment horizontal="left" vertical="center"/>
      <protection locked="0"/>
    </xf>
    <xf numFmtId="164" fontId="29" fillId="0" borderId="0" applyFill="0" applyBorder="0">
      <alignment horizontal="center" vertical="center"/>
    </xf>
    <xf numFmtId="164" fontId="28" fillId="2" borderId="4">
      <alignment horizontal="center" vertical="center"/>
      <protection locked="0"/>
    </xf>
    <xf numFmtId="170" fontId="29" fillId="0" borderId="0" applyFill="0" applyBorder="0">
      <alignment horizontal="center" vertical="center"/>
    </xf>
    <xf numFmtId="170" fontId="28" fillId="12" borderId="4">
      <alignment horizontal="center" vertical="center"/>
      <protection locked="0"/>
    </xf>
    <xf numFmtId="165" fontId="29" fillId="0" borderId="0" applyFill="0" applyBorder="0">
      <alignment horizontal="right" vertical="center"/>
    </xf>
    <xf numFmtId="165" fontId="28" fillId="12" borderId="4">
      <alignment horizontal="right" vertical="center"/>
      <protection locked="0"/>
    </xf>
    <xf numFmtId="167" fontId="29" fillId="0" borderId="0" applyFill="0" applyBorder="0">
      <alignment horizontal="right" vertical="center"/>
    </xf>
    <xf numFmtId="167" fontId="28" fillId="12" borderId="4">
      <alignment horizontal="right" vertical="center"/>
      <protection locked="0"/>
    </xf>
    <xf numFmtId="166" fontId="29" fillId="0" borderId="0" applyFill="0" applyBorder="0">
      <alignment horizontal="right" vertical="center"/>
    </xf>
    <xf numFmtId="166" fontId="28" fillId="12" borderId="4">
      <alignment horizontal="right" vertical="center"/>
      <protection locked="0"/>
    </xf>
    <xf numFmtId="168" fontId="28" fillId="12" borderId="4">
      <alignment horizontal="right" vertical="center"/>
      <protection locked="0"/>
    </xf>
    <xf numFmtId="0" fontId="31" fillId="0" borderId="0" applyFill="0" applyBorder="0">
      <alignment horizontal="left" vertical="center"/>
    </xf>
    <xf numFmtId="0" fontId="12" fillId="4" borderId="0" applyNumberFormat="0" applyBorder="0" applyAlignment="0" applyProtection="0"/>
    <xf numFmtId="0" fontId="13" fillId="5" borderId="0" applyNumberFormat="0" applyBorder="0" applyAlignment="0" applyProtection="0"/>
    <xf numFmtId="0" fontId="14" fillId="6" borderId="0" applyNumberFormat="0" applyBorder="0" applyAlignment="0" applyProtection="0"/>
    <xf numFmtId="0" fontId="15" fillId="7" borderId="6" applyNumberFormat="0" applyAlignment="0" applyProtection="0"/>
    <xf numFmtId="0" fontId="16" fillId="8" borderId="7" applyNumberFormat="0" applyAlignment="0" applyProtection="0"/>
    <xf numFmtId="0" fontId="17" fillId="8" borderId="6" applyNumberFormat="0" applyAlignment="0" applyProtection="0"/>
    <xf numFmtId="0" fontId="18" fillId="0" borderId="8" applyNumberFormat="0" applyFill="0" applyAlignment="0" applyProtection="0"/>
    <xf numFmtId="0" fontId="19" fillId="9" borderId="9" applyNumberFormat="0" applyAlignment="0" applyProtection="0"/>
    <xf numFmtId="0" fontId="20" fillId="0" borderId="0" applyNumberFormat="0" applyFill="0" applyBorder="0" applyAlignment="0" applyProtection="0"/>
    <xf numFmtId="0" fontId="5" fillId="10" borderId="10" applyNumberFormat="0" applyFont="0" applyAlignment="0" applyProtection="0"/>
    <xf numFmtId="0" fontId="21" fillId="0" borderId="0" applyNumberFormat="0" applyFill="0" applyBorder="0" applyAlignment="0" applyProtection="0"/>
    <xf numFmtId="0" fontId="27" fillId="0" borderId="0" applyNumberFormat="0" applyFill="0" applyBorder="0">
      <alignment horizontal="left" vertical="center"/>
    </xf>
    <xf numFmtId="0" fontId="30" fillId="0" borderId="0" applyFill="0" applyBorder="0">
      <alignment vertical="center"/>
    </xf>
    <xf numFmtId="0" fontId="33" fillId="0" borderId="0" applyFill="0" applyBorder="0">
      <alignment horizontal="left" vertical="center"/>
    </xf>
    <xf numFmtId="0" fontId="32" fillId="0" borderId="0" applyFill="0" applyBorder="0">
      <alignment horizontal="left" vertical="center"/>
    </xf>
    <xf numFmtId="0" fontId="28" fillId="0" borderId="0" applyFill="0" applyBorder="0">
      <alignment horizontal="left" vertical="center"/>
    </xf>
    <xf numFmtId="0" fontId="29" fillId="0" borderId="0" applyFill="0" applyBorder="0">
      <alignment vertical="center"/>
    </xf>
    <xf numFmtId="0" fontId="19" fillId="14" borderId="0" applyBorder="0">
      <alignment horizontal="left" vertical="center"/>
    </xf>
    <xf numFmtId="172" fontId="29" fillId="0" borderId="0" applyFill="0" applyBorder="0">
      <alignment horizontal="right" vertical="center"/>
    </xf>
    <xf numFmtId="165" fontId="28" fillId="0" borderId="0" applyFill="0" applyBorder="0">
      <alignment horizontal="right" vertical="center"/>
    </xf>
    <xf numFmtId="170" fontId="28" fillId="0" borderId="0" applyFill="0" applyBorder="0">
      <alignment horizontal="center" vertical="center"/>
    </xf>
    <xf numFmtId="172" fontId="28" fillId="0" borderId="0" applyFill="0" applyBorder="0">
      <alignment horizontal="right" vertical="center"/>
    </xf>
    <xf numFmtId="166" fontId="28" fillId="0" borderId="0" applyFill="0" applyBorder="0">
      <alignment horizontal="right" vertical="center"/>
    </xf>
    <xf numFmtId="167" fontId="28" fillId="0" borderId="0" applyFill="0" applyBorder="0">
      <alignment horizontal="right" vertical="center"/>
    </xf>
    <xf numFmtId="164" fontId="28" fillId="0" borderId="0" applyFill="0" applyBorder="0">
      <alignment horizontal="center" vertical="center"/>
    </xf>
    <xf numFmtId="9" fontId="26" fillId="0" borderId="0" applyFont="0" applyFill="0" applyBorder="0" applyAlignment="0" applyProtection="0"/>
    <xf numFmtId="43" fontId="48" fillId="0" borderId="0" applyFont="0" applyFill="0" applyBorder="0" applyAlignment="0" applyProtection="0"/>
    <xf numFmtId="9" fontId="61" fillId="0" borderId="0" applyFont="0" applyFill="0" applyBorder="0" applyAlignment="0" applyProtection="0"/>
    <xf numFmtId="0" fontId="3" fillId="0" borderId="0"/>
    <xf numFmtId="43" fontId="3" fillId="0" borderId="0" applyFont="0" applyFill="0" applyBorder="0" applyAlignment="0" applyProtection="0"/>
    <xf numFmtId="0" fontId="61" fillId="0" borderId="0"/>
    <xf numFmtId="9" fontId="64" fillId="0" borderId="0" applyFont="0" applyFill="0" applyBorder="0" applyAlignment="0" applyProtection="0"/>
    <xf numFmtId="44" fontId="61" fillId="0" borderId="0" applyFont="0" applyFill="0" applyBorder="0" applyAlignment="0" applyProtection="0"/>
    <xf numFmtId="0" fontId="65" fillId="0" borderId="0"/>
    <xf numFmtId="0" fontId="65" fillId="0" borderId="0"/>
    <xf numFmtId="0" fontId="65" fillId="0" borderId="0"/>
    <xf numFmtId="185" fontId="65" fillId="0" borderId="0"/>
    <xf numFmtId="185" fontId="65" fillId="0" borderId="0"/>
    <xf numFmtId="0" fontId="66" fillId="0" borderId="0"/>
    <xf numFmtId="0" fontId="66" fillId="0" borderId="0"/>
    <xf numFmtId="0" fontId="65"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7" fillId="0" borderId="0"/>
    <xf numFmtId="0" fontId="65" fillId="0" borderId="0"/>
    <xf numFmtId="0" fontId="65" fillId="0" borderId="0"/>
    <xf numFmtId="0" fontId="65" fillId="0" borderId="0"/>
    <xf numFmtId="186" fontId="68" fillId="0" borderId="0"/>
    <xf numFmtId="186" fontId="68" fillId="0" borderId="0"/>
    <xf numFmtId="0" fontId="69" fillId="0" borderId="0"/>
    <xf numFmtId="0" fontId="65" fillId="0" borderId="0"/>
    <xf numFmtId="0" fontId="2" fillId="24" borderId="0" applyNumberFormat="0" applyBorder="0" applyAlignment="0" applyProtection="0"/>
    <xf numFmtId="0" fontId="2" fillId="24" borderId="0" applyNumberFormat="0" applyBorder="0" applyAlignment="0" applyProtection="0"/>
    <xf numFmtId="0" fontId="70" fillId="47" borderId="0" applyNumberFormat="0" applyBorder="0" applyAlignment="0" applyProtection="0"/>
    <xf numFmtId="0" fontId="71" fillId="24"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70" fillId="48" borderId="0" applyNumberFormat="0" applyBorder="0" applyAlignment="0" applyProtection="0"/>
    <xf numFmtId="0" fontId="71" fillId="2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70" fillId="49" borderId="0" applyNumberFormat="0" applyBorder="0" applyAlignment="0" applyProtection="0"/>
    <xf numFmtId="0" fontId="71" fillId="32" borderId="0" applyNumberFormat="0" applyBorder="0" applyAlignment="0" applyProtection="0"/>
    <xf numFmtId="0" fontId="2" fillId="36" borderId="0" applyNumberFormat="0" applyBorder="0" applyAlignment="0" applyProtection="0"/>
    <xf numFmtId="0" fontId="2" fillId="36" borderId="0" applyNumberFormat="0" applyBorder="0" applyAlignment="0" applyProtection="0"/>
    <xf numFmtId="0" fontId="70" fillId="50" borderId="0" applyNumberFormat="0" applyBorder="0" applyAlignment="0" applyProtection="0"/>
    <xf numFmtId="0" fontId="71" fillId="36" borderId="0" applyNumberFormat="0" applyBorder="0" applyAlignment="0" applyProtection="0"/>
    <xf numFmtId="0" fontId="2" fillId="40" borderId="0" applyNumberFormat="0" applyBorder="0" applyAlignment="0" applyProtection="0"/>
    <xf numFmtId="0" fontId="2" fillId="40" borderId="0" applyNumberFormat="0" applyBorder="0" applyAlignment="0" applyProtection="0"/>
    <xf numFmtId="0" fontId="70" fillId="47" borderId="0" applyNumberFormat="0" applyBorder="0" applyAlignment="0" applyProtection="0"/>
    <xf numFmtId="0" fontId="71" fillId="40" borderId="0" applyNumberFormat="0" applyBorder="0" applyAlignment="0" applyProtection="0"/>
    <xf numFmtId="0" fontId="2" fillId="44" borderId="0" applyNumberFormat="0" applyBorder="0" applyAlignment="0" applyProtection="0"/>
    <xf numFmtId="0" fontId="2" fillId="44" borderId="0" applyNumberFormat="0" applyBorder="0" applyAlignment="0" applyProtection="0"/>
    <xf numFmtId="0" fontId="70" fillId="48" borderId="0" applyNumberFormat="0" applyBorder="0" applyAlignment="0" applyProtection="0"/>
    <xf numFmtId="0" fontId="71" fillId="44"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70" fillId="47" borderId="0" applyNumberFormat="0" applyBorder="0" applyAlignment="0" applyProtection="0"/>
    <xf numFmtId="0" fontId="71"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70" fillId="48" borderId="0" applyNumberFormat="0" applyBorder="0" applyAlignment="0" applyProtection="0"/>
    <xf numFmtId="0" fontId="71"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70" fillId="51" borderId="0" applyNumberFormat="0" applyBorder="0" applyAlignment="0" applyProtection="0"/>
    <xf numFmtId="0" fontId="71" fillId="33" borderId="0" applyNumberFormat="0" applyBorder="0" applyAlignment="0" applyProtection="0"/>
    <xf numFmtId="0" fontId="2" fillId="37" borderId="0" applyNumberFormat="0" applyBorder="0" applyAlignment="0" applyProtection="0"/>
    <xf numFmtId="0" fontId="2" fillId="37" borderId="0" applyNumberFormat="0" applyBorder="0" applyAlignment="0" applyProtection="0"/>
    <xf numFmtId="0" fontId="70" fillId="52" borderId="0" applyNumberFormat="0" applyBorder="0" applyAlignment="0" applyProtection="0"/>
    <xf numFmtId="0" fontId="71" fillId="37" borderId="0" applyNumberFormat="0" applyBorder="0" applyAlignment="0" applyProtection="0"/>
    <xf numFmtId="0" fontId="2" fillId="41" borderId="0" applyNumberFormat="0" applyBorder="0" applyAlignment="0" applyProtection="0"/>
    <xf numFmtId="0" fontId="2" fillId="41" borderId="0" applyNumberFormat="0" applyBorder="0" applyAlignment="0" applyProtection="0"/>
    <xf numFmtId="0" fontId="70" fillId="47" borderId="0" applyNumberFormat="0" applyBorder="0" applyAlignment="0" applyProtection="0"/>
    <xf numFmtId="0" fontId="71" fillId="41" borderId="0" applyNumberFormat="0" applyBorder="0" applyAlignment="0" applyProtection="0"/>
    <xf numFmtId="0" fontId="2" fillId="45" borderId="0" applyNumberFormat="0" applyBorder="0" applyAlignment="0" applyProtection="0"/>
    <xf numFmtId="0" fontId="2" fillId="45" borderId="0" applyNumberFormat="0" applyBorder="0" applyAlignment="0" applyProtection="0"/>
    <xf numFmtId="0" fontId="70" fillId="48" borderId="0" applyNumberFormat="0" applyBorder="0" applyAlignment="0" applyProtection="0"/>
    <xf numFmtId="0" fontId="71" fillId="45" borderId="0" applyNumberFormat="0" applyBorder="0" applyAlignment="0" applyProtection="0"/>
    <xf numFmtId="0" fontId="62" fillId="26" borderId="0" applyNumberFormat="0" applyBorder="0" applyAlignment="0" applyProtection="0"/>
    <xf numFmtId="0" fontId="72" fillId="47" borderId="0" applyNumberFormat="0" applyBorder="0" applyAlignment="0" applyProtection="0"/>
    <xf numFmtId="0" fontId="73" fillId="26" borderId="0" applyNumberFormat="0" applyBorder="0" applyAlignment="0" applyProtection="0"/>
    <xf numFmtId="0" fontId="62" fillId="30" borderId="0" applyNumberFormat="0" applyBorder="0" applyAlignment="0" applyProtection="0"/>
    <xf numFmtId="0" fontId="72" fillId="48" borderId="0" applyNumberFormat="0" applyBorder="0" applyAlignment="0" applyProtection="0"/>
    <xf numFmtId="0" fontId="73" fillId="30" borderId="0" applyNumberFormat="0" applyBorder="0" applyAlignment="0" applyProtection="0"/>
    <xf numFmtId="0" fontId="62" fillId="34" borderId="0" applyNumberFormat="0" applyBorder="0" applyAlignment="0" applyProtection="0"/>
    <xf numFmtId="0" fontId="72" fillId="51" borderId="0" applyNumberFormat="0" applyBorder="0" applyAlignment="0" applyProtection="0"/>
    <xf numFmtId="0" fontId="73" fillId="34" borderId="0" applyNumberFormat="0" applyBorder="0" applyAlignment="0" applyProtection="0"/>
    <xf numFmtId="0" fontId="62" fillId="38" borderId="0" applyNumberFormat="0" applyBorder="0" applyAlignment="0" applyProtection="0"/>
    <xf numFmtId="0" fontId="72" fillId="52" borderId="0" applyNumberFormat="0" applyBorder="0" applyAlignment="0" applyProtection="0"/>
    <xf numFmtId="0" fontId="73" fillId="38" borderId="0" applyNumberFormat="0" applyBorder="0" applyAlignment="0" applyProtection="0"/>
    <xf numFmtId="0" fontId="62" fillId="42" borderId="0" applyNumberFormat="0" applyBorder="0" applyAlignment="0" applyProtection="0"/>
    <xf numFmtId="0" fontId="72" fillId="47" borderId="0" applyNumberFormat="0" applyBorder="0" applyAlignment="0" applyProtection="0"/>
    <xf numFmtId="0" fontId="73" fillId="42" borderId="0" applyNumberFormat="0" applyBorder="0" applyAlignment="0" applyProtection="0"/>
    <xf numFmtId="0" fontId="62" fillId="46" borderId="0" applyNumberFormat="0" applyBorder="0" applyAlignment="0" applyProtection="0"/>
    <xf numFmtId="0" fontId="72" fillId="48" borderId="0" applyNumberFormat="0" applyBorder="0" applyAlignment="0" applyProtection="0"/>
    <xf numFmtId="0" fontId="73" fillId="46" borderId="0" applyNumberFormat="0" applyBorder="0" applyAlignment="0" applyProtection="0"/>
    <xf numFmtId="0" fontId="70" fillId="53" borderId="0" applyNumberFormat="0" applyBorder="0" applyAlignment="0" applyProtection="0"/>
    <xf numFmtId="0" fontId="70" fillId="53" borderId="0" applyNumberFormat="0" applyBorder="0" applyAlignment="0" applyProtection="0"/>
    <xf numFmtId="0" fontId="72" fillId="54" borderId="0" applyNumberFormat="0" applyBorder="0" applyAlignment="0" applyProtection="0"/>
    <xf numFmtId="0" fontId="62" fillId="23" borderId="0" applyNumberFormat="0" applyBorder="0" applyAlignment="0" applyProtection="0"/>
    <xf numFmtId="0" fontId="72" fillId="55" borderId="0" applyNumberFormat="0" applyBorder="0" applyAlignment="0" applyProtection="0"/>
    <xf numFmtId="0" fontId="73" fillId="23" borderId="0" applyNumberFormat="0" applyBorder="0" applyAlignment="0" applyProtection="0"/>
    <xf numFmtId="0" fontId="72" fillId="55" borderId="0" applyNumberFormat="0" applyBorder="0" applyAlignment="0" applyProtection="0"/>
    <xf numFmtId="0" fontId="72" fillId="55" borderId="0" applyNumberFormat="0" applyBorder="0" applyAlignment="0" applyProtection="0"/>
    <xf numFmtId="0" fontId="72" fillId="55" borderId="0" applyNumberFormat="0" applyBorder="0" applyAlignment="0" applyProtection="0"/>
    <xf numFmtId="0" fontId="70" fillId="56" borderId="0" applyNumberFormat="0" applyBorder="0" applyAlignment="0" applyProtection="0"/>
    <xf numFmtId="0" fontId="70" fillId="57" borderId="0" applyNumberFormat="0" applyBorder="0" applyAlignment="0" applyProtection="0"/>
    <xf numFmtId="0" fontId="72" fillId="58" borderId="0" applyNumberFormat="0" applyBorder="0" applyAlignment="0" applyProtection="0"/>
    <xf numFmtId="0" fontId="62" fillId="27" borderId="0" applyNumberFormat="0" applyBorder="0" applyAlignment="0" applyProtection="0"/>
    <xf numFmtId="0" fontId="72" fillId="59" borderId="0" applyNumberFormat="0" applyBorder="0" applyAlignment="0" applyProtection="0"/>
    <xf numFmtId="0" fontId="73" fillId="27" borderId="0" applyNumberFormat="0" applyBorder="0" applyAlignment="0" applyProtection="0"/>
    <xf numFmtId="0" fontId="72" fillId="59" borderId="0" applyNumberFormat="0" applyBorder="0" applyAlignment="0" applyProtection="0"/>
    <xf numFmtId="0" fontId="72" fillId="59" borderId="0" applyNumberFormat="0" applyBorder="0" applyAlignment="0" applyProtection="0"/>
    <xf numFmtId="0" fontId="72" fillId="59" borderId="0" applyNumberFormat="0" applyBorder="0" applyAlignment="0" applyProtection="0"/>
    <xf numFmtId="0" fontId="70" fillId="56" borderId="0" applyNumberFormat="0" applyBorder="0" applyAlignment="0" applyProtection="0"/>
    <xf numFmtId="0" fontId="70" fillId="60" borderId="0" applyNumberFormat="0" applyBorder="0" applyAlignment="0" applyProtection="0"/>
    <xf numFmtId="0" fontId="72" fillId="57" borderId="0" applyNumberFormat="0" applyBorder="0" applyAlignment="0" applyProtection="0"/>
    <xf numFmtId="0" fontId="62" fillId="31" borderId="0" applyNumberFormat="0" applyBorder="0" applyAlignment="0" applyProtection="0"/>
    <xf numFmtId="0" fontId="72" fillId="61" borderId="0" applyNumberFormat="0" applyBorder="0" applyAlignment="0" applyProtection="0"/>
    <xf numFmtId="0" fontId="73" fillId="31" borderId="0" applyNumberFormat="0" applyBorder="0" applyAlignment="0" applyProtection="0"/>
    <xf numFmtId="0" fontId="72" fillId="61" borderId="0" applyNumberFormat="0" applyBorder="0" applyAlignment="0" applyProtection="0"/>
    <xf numFmtId="0" fontId="72" fillId="61" borderId="0" applyNumberFormat="0" applyBorder="0" applyAlignment="0" applyProtection="0"/>
    <xf numFmtId="0" fontId="72" fillId="61" borderId="0" applyNumberFormat="0" applyBorder="0" applyAlignment="0" applyProtection="0"/>
    <xf numFmtId="0" fontId="70" fillId="53" borderId="0" applyNumberFormat="0" applyBorder="0" applyAlignment="0" applyProtection="0"/>
    <xf numFmtId="0" fontId="70" fillId="57" borderId="0" applyNumberFormat="0" applyBorder="0" applyAlignment="0" applyProtection="0"/>
    <xf numFmtId="0" fontId="72" fillId="57" borderId="0" applyNumberFormat="0" applyBorder="0" applyAlignment="0" applyProtection="0"/>
    <xf numFmtId="0" fontId="62" fillId="35" borderId="0" applyNumberFormat="0" applyBorder="0" applyAlignment="0" applyProtection="0"/>
    <xf numFmtId="0" fontId="72" fillId="62" borderId="0" applyNumberFormat="0" applyBorder="0" applyAlignment="0" applyProtection="0"/>
    <xf numFmtId="0" fontId="73" fillId="35" borderId="0" applyNumberFormat="0" applyBorder="0" applyAlignment="0" applyProtection="0"/>
    <xf numFmtId="0" fontId="72" fillId="62" borderId="0" applyNumberFormat="0" applyBorder="0" applyAlignment="0" applyProtection="0"/>
    <xf numFmtId="0" fontId="72" fillId="62" borderId="0" applyNumberFormat="0" applyBorder="0" applyAlignment="0" applyProtection="0"/>
    <xf numFmtId="0" fontId="72" fillId="62" borderId="0" applyNumberFormat="0" applyBorder="0" applyAlignment="0" applyProtection="0"/>
    <xf numFmtId="0" fontId="70" fillId="63" borderId="0" applyNumberFormat="0" applyBorder="0" applyAlignment="0" applyProtection="0"/>
    <xf numFmtId="0" fontId="70" fillId="53" borderId="0" applyNumberFormat="0" applyBorder="0" applyAlignment="0" applyProtection="0"/>
    <xf numFmtId="0" fontId="72" fillId="54" borderId="0" applyNumberFormat="0" applyBorder="0" applyAlignment="0" applyProtection="0"/>
    <xf numFmtId="0" fontId="62" fillId="39" borderId="0" applyNumberFormat="0" applyBorder="0" applyAlignment="0" applyProtection="0"/>
    <xf numFmtId="0" fontId="72" fillId="55" borderId="0" applyNumberFormat="0" applyBorder="0" applyAlignment="0" applyProtection="0"/>
    <xf numFmtId="0" fontId="73" fillId="39" borderId="0" applyNumberFormat="0" applyBorder="0" applyAlignment="0" applyProtection="0"/>
    <xf numFmtId="0" fontId="72" fillId="55" borderId="0" applyNumberFormat="0" applyBorder="0" applyAlignment="0" applyProtection="0"/>
    <xf numFmtId="0" fontId="72" fillId="55" borderId="0" applyNumberFormat="0" applyBorder="0" applyAlignment="0" applyProtection="0"/>
    <xf numFmtId="0" fontId="72" fillId="55" borderId="0" applyNumberFormat="0" applyBorder="0" applyAlignment="0" applyProtection="0"/>
    <xf numFmtId="0" fontId="70" fillId="56" borderId="0" applyNumberFormat="0" applyBorder="0" applyAlignment="0" applyProtection="0"/>
    <xf numFmtId="0" fontId="70" fillId="64" borderId="0" applyNumberFormat="0" applyBorder="0" applyAlignment="0" applyProtection="0"/>
    <xf numFmtId="0" fontId="72" fillId="64" borderId="0" applyNumberFormat="0" applyBorder="0" applyAlignment="0" applyProtection="0"/>
    <xf numFmtId="0" fontId="62" fillId="43" borderId="0" applyNumberFormat="0" applyBorder="0" applyAlignment="0" applyProtection="0"/>
    <xf numFmtId="0" fontId="72" fillId="65" borderId="0" applyNumberFormat="0" applyBorder="0" applyAlignment="0" applyProtection="0"/>
    <xf numFmtId="0" fontId="73" fillId="43" borderId="0" applyNumberFormat="0" applyBorder="0" applyAlignment="0" applyProtection="0"/>
    <xf numFmtId="0" fontId="72" fillId="65" borderId="0" applyNumberFormat="0" applyBorder="0" applyAlignment="0" applyProtection="0"/>
    <xf numFmtId="0" fontId="72" fillId="65" borderId="0" applyNumberFormat="0" applyBorder="0" applyAlignment="0" applyProtection="0"/>
    <xf numFmtId="0" fontId="72" fillId="65" borderId="0" applyNumberFormat="0" applyBorder="0" applyAlignment="0" applyProtection="0"/>
    <xf numFmtId="0" fontId="74" fillId="0" borderId="0"/>
    <xf numFmtId="42" fontId="53" fillId="0" borderId="0" applyFont="0" applyFill="0" applyBorder="0" applyAlignment="0" applyProtection="0"/>
    <xf numFmtId="0" fontId="13" fillId="5" borderId="0" applyNumberFormat="0" applyBorder="0" applyAlignment="0" applyProtection="0"/>
    <xf numFmtId="0" fontId="75" fillId="66" borderId="0" applyNumberFormat="0" applyBorder="0" applyAlignment="0" applyProtection="0"/>
    <xf numFmtId="0" fontId="76" fillId="5" borderId="0" applyNumberFormat="0" applyBorder="0" applyAlignment="0" applyProtection="0"/>
    <xf numFmtId="0" fontId="77" fillId="0" borderId="0" applyNumberFormat="0" applyFill="0" applyBorder="0" applyAlignment="0"/>
    <xf numFmtId="187" fontId="65" fillId="67" borderId="0" applyNumberFormat="0" applyFont="0" applyBorder="0" applyAlignment="0">
      <alignment horizontal="right"/>
    </xf>
    <xf numFmtId="187" fontId="65" fillId="67" borderId="0" applyNumberFormat="0" applyFont="0" applyBorder="0" applyAlignment="0">
      <alignment horizontal="right"/>
    </xf>
    <xf numFmtId="187" fontId="65" fillId="67" borderId="0" applyNumberFormat="0" applyFont="0" applyBorder="0" applyAlignment="0">
      <alignment horizontal="right"/>
    </xf>
    <xf numFmtId="0" fontId="78" fillId="0" borderId="0" applyNumberFormat="0" applyFill="0" applyBorder="0" applyAlignment="0">
      <protection locked="0"/>
    </xf>
    <xf numFmtId="0" fontId="65" fillId="0" borderId="76">
      <alignment horizontal="center" vertical="center"/>
    </xf>
    <xf numFmtId="0" fontId="17" fillId="8" borderId="6" applyNumberFormat="0" applyAlignment="0" applyProtection="0"/>
    <xf numFmtId="0" fontId="79" fillId="50" borderId="77" applyNumberFormat="0" applyAlignment="0" applyProtection="0"/>
    <xf numFmtId="0" fontId="79" fillId="50" borderId="77" applyNumberFormat="0" applyAlignment="0" applyProtection="0"/>
    <xf numFmtId="0" fontId="79" fillId="50" borderId="77" applyNumberFormat="0" applyAlignment="0" applyProtection="0"/>
    <xf numFmtId="0" fontId="79" fillId="50" borderId="77" applyNumberFormat="0" applyAlignment="0" applyProtection="0"/>
    <xf numFmtId="0" fontId="79" fillId="50" borderId="77" applyNumberFormat="0" applyAlignment="0" applyProtection="0"/>
    <xf numFmtId="0" fontId="79" fillId="50" borderId="77" applyNumberFormat="0" applyAlignment="0" applyProtection="0"/>
    <xf numFmtId="0" fontId="80" fillId="8" borderId="6" applyNumberFormat="0" applyAlignment="0" applyProtection="0"/>
    <xf numFmtId="0" fontId="19" fillId="9" borderId="9" applyNumberFormat="0" applyAlignment="0" applyProtection="0"/>
    <xf numFmtId="0" fontId="81" fillId="68" borderId="78" applyNumberFormat="0" applyAlignment="0" applyProtection="0"/>
    <xf numFmtId="0" fontId="81" fillId="68" borderId="78" applyNumberFormat="0" applyAlignment="0" applyProtection="0"/>
    <xf numFmtId="0" fontId="82" fillId="9" borderId="9" applyNumberFormat="0" applyAlignment="0" applyProtection="0"/>
    <xf numFmtId="41" fontId="65" fillId="0" borderId="0" applyFont="0" applyFill="0" applyBorder="0" applyAlignment="0" applyProtection="0"/>
    <xf numFmtId="0" fontId="83" fillId="0" borderId="0" applyFont="0" applyFill="0" applyBorder="0" applyAlignment="0" applyProtection="0"/>
    <xf numFmtId="0" fontId="65" fillId="0" borderId="0" applyFont="0" applyFill="0" applyBorder="0" applyAlignment="0" applyProtection="0"/>
    <xf numFmtId="0" fontId="65" fillId="0" borderId="0" applyFont="0" applyFill="0" applyBorder="0" applyAlignment="0" applyProtection="0"/>
    <xf numFmtId="43" fontId="2"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65"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3" fontId="84"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188"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0" fontId="65" fillId="0" borderId="0" applyFont="0" applyFill="0" applyBorder="0" applyAlignment="0" applyProtection="0"/>
    <xf numFmtId="0" fontId="6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85" fillId="0" borderId="0" applyFont="0" applyFill="0" applyBorder="0" applyAlignment="0" applyProtection="0"/>
    <xf numFmtId="188" fontId="85" fillId="0" borderId="0" applyFont="0" applyFill="0" applyBorder="0" applyAlignment="0" applyProtection="0"/>
    <xf numFmtId="188" fontId="85" fillId="0" borderId="0" applyFont="0" applyFill="0" applyBorder="0" applyAlignment="0" applyProtection="0"/>
    <xf numFmtId="0" fontId="65" fillId="0" borderId="0" applyFont="0" applyFill="0" applyBorder="0" applyAlignment="0" applyProtection="0"/>
    <xf numFmtId="43" fontId="65" fillId="0" borderId="0" applyFont="0" applyFill="0" applyBorder="0" applyAlignment="0" applyProtection="0"/>
    <xf numFmtId="0" fontId="65" fillId="0" borderId="0" applyFont="0" applyFill="0" applyBorder="0" applyAlignment="0" applyProtection="0"/>
    <xf numFmtId="43" fontId="86" fillId="0" borderId="0" applyFont="0" applyFill="0" applyBorder="0" applyAlignment="0" applyProtection="0"/>
    <xf numFmtId="43" fontId="87" fillId="0" borderId="0" applyFont="0" applyFill="0" applyBorder="0" applyAlignment="0" applyProtection="0"/>
    <xf numFmtId="43" fontId="65" fillId="0" borderId="0" applyFont="0" applyFill="0" applyBorder="0" applyAlignment="0" applyProtection="0"/>
    <xf numFmtId="188" fontId="65" fillId="0" borderId="0" applyFont="0" applyFill="0" applyBorder="0" applyAlignment="0" applyProtection="0"/>
    <xf numFmtId="43" fontId="84" fillId="0" borderId="0" applyFont="0" applyFill="0" applyBorder="0" applyAlignment="0" applyProtection="0"/>
    <xf numFmtId="188" fontId="65" fillId="0" borderId="0" applyFont="0" applyFill="0" applyBorder="0" applyAlignment="0" applyProtection="0"/>
    <xf numFmtId="43" fontId="65" fillId="0" borderId="0" applyFont="0" applyFill="0" applyBorder="0" applyAlignment="0" applyProtection="0"/>
    <xf numFmtId="188" fontId="65" fillId="0" borderId="0" applyFont="0" applyFill="0" applyBorder="0" applyAlignment="0" applyProtection="0"/>
    <xf numFmtId="43" fontId="61" fillId="0" borderId="0" applyFont="0" applyFill="0" applyBorder="0" applyAlignment="0" applyProtection="0"/>
    <xf numFmtId="43" fontId="65" fillId="0" borderId="0" applyFont="0" applyFill="0" applyBorder="0" applyAlignment="0" applyProtection="0"/>
    <xf numFmtId="43" fontId="6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3" fontId="88" fillId="0" borderId="0" applyFont="0" applyFill="0" applyBorder="0" applyAlignment="0" applyProtection="0"/>
    <xf numFmtId="44" fontId="65" fillId="0" borderId="0" applyFont="0" applyFill="0" applyBorder="0" applyAlignment="0" applyProtection="0"/>
    <xf numFmtId="44" fontId="65" fillId="0" borderId="0" applyFont="0" applyFill="0" applyBorder="0" applyAlignment="0" applyProtection="0"/>
    <xf numFmtId="44" fontId="65" fillId="0" borderId="0" applyFont="0" applyFill="0" applyBorder="0" applyAlignment="0" applyProtection="0"/>
    <xf numFmtId="44" fontId="65" fillId="0" borderId="0" applyFont="0" applyFill="0" applyBorder="0" applyAlignment="0" applyProtection="0"/>
    <xf numFmtId="44" fontId="65" fillId="0" borderId="0" applyFont="0" applyFill="0" applyBorder="0" applyAlignment="0" applyProtection="0"/>
    <xf numFmtId="44" fontId="65" fillId="0" borderId="0" applyFont="0" applyFill="0" applyBorder="0" applyAlignment="0" applyProtection="0"/>
    <xf numFmtId="44" fontId="65" fillId="0" borderId="0" applyFont="0" applyFill="0" applyBorder="0" applyAlignment="0" applyProtection="0"/>
    <xf numFmtId="44" fontId="65" fillId="0" borderId="0" applyFont="0" applyFill="0" applyBorder="0" applyAlignment="0" applyProtection="0"/>
    <xf numFmtId="44" fontId="65" fillId="0" borderId="0" applyFont="0" applyFill="0" applyBorder="0" applyAlignment="0" applyProtection="0"/>
    <xf numFmtId="189" fontId="65"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2" fontId="65" fillId="0" borderId="0" applyFont="0" applyFill="0" applyBorder="0" applyAlignment="0" applyProtection="0"/>
    <xf numFmtId="190" fontId="65" fillId="0" borderId="0" applyFont="0" applyFill="0" applyBorder="0" applyAlignment="0" applyProtection="0"/>
    <xf numFmtId="49" fontId="89" fillId="69" borderId="79">
      <alignment horizontal="center" vertical="center" wrapText="1"/>
    </xf>
    <xf numFmtId="0" fontId="90" fillId="70" borderId="0" applyNumberFormat="0" applyBorder="0" applyAlignment="0" applyProtection="0"/>
    <xf numFmtId="0" fontId="90" fillId="71" borderId="0" applyNumberFormat="0" applyBorder="0" applyAlignment="0" applyProtection="0"/>
    <xf numFmtId="0" fontId="90" fillId="72" borderId="0" applyNumberFormat="0" applyBorder="0" applyAlignment="0" applyProtection="0"/>
    <xf numFmtId="185" fontId="70" fillId="0" borderId="0" applyFont="0" applyFill="0" applyBorder="0" applyAlignment="0" applyProtection="0"/>
    <xf numFmtId="0" fontId="21" fillId="0" borderId="0" applyNumberFormat="0" applyFill="0" applyBorder="0" applyAlignment="0" applyProtection="0"/>
    <xf numFmtId="0" fontId="91" fillId="0" borderId="0" applyNumberFormat="0" applyFill="0" applyBorder="0" applyAlignment="0" applyProtection="0"/>
    <xf numFmtId="0" fontId="92" fillId="0" borderId="0" applyNumberFormat="0" applyFill="0" applyBorder="0" applyAlignment="0" applyProtection="0"/>
    <xf numFmtId="191" fontId="65" fillId="0" borderId="0" applyFont="0" applyFill="0" applyBorder="0" applyAlignment="0" applyProtection="0"/>
    <xf numFmtId="191" fontId="65" fillId="0" borderId="0" applyFont="0" applyFill="0" applyBorder="0" applyAlignment="0" applyProtection="0"/>
    <xf numFmtId="0" fontId="93" fillId="0" borderId="0"/>
    <xf numFmtId="0" fontId="94" fillId="0" borderId="0"/>
    <xf numFmtId="0" fontId="12" fillId="4" borderId="0" applyNumberFormat="0" applyBorder="0" applyAlignment="0" applyProtection="0"/>
    <xf numFmtId="0" fontId="95" fillId="73" borderId="0" applyNumberFormat="0" applyBorder="0" applyAlignment="0" applyProtection="0"/>
    <xf numFmtId="0" fontId="96" fillId="4" borderId="0" applyNumberFormat="0" applyBorder="0" applyAlignment="0" applyProtection="0"/>
    <xf numFmtId="0" fontId="65" fillId="52" borderId="0" applyNumberFormat="0" applyFont="0" applyBorder="0" applyAlignment="0" applyProtection="0"/>
    <xf numFmtId="0" fontId="97" fillId="0" borderId="80" applyNumberFormat="0" applyFill="0" applyAlignment="0" applyProtection="0"/>
    <xf numFmtId="0" fontId="98" fillId="0" borderId="81" applyNumberFormat="0" applyFill="0" applyAlignment="0" applyProtection="0"/>
    <xf numFmtId="0" fontId="55" fillId="0" borderId="0" applyFill="0" applyBorder="0">
      <alignment vertical="center"/>
    </xf>
    <xf numFmtId="0" fontId="99" fillId="0" borderId="80" applyNumberFormat="0" applyFill="0" applyAlignment="0" applyProtection="0"/>
    <xf numFmtId="0" fontId="55" fillId="0" borderId="0" applyFill="0" applyBorder="0">
      <alignment vertical="center"/>
    </xf>
    <xf numFmtId="0" fontId="100" fillId="0" borderId="82" applyNumberFormat="0" applyFill="0" applyAlignment="0" applyProtection="0"/>
    <xf numFmtId="0" fontId="101" fillId="0" borderId="83" applyNumberFormat="0" applyFill="0" applyAlignment="0" applyProtection="0"/>
    <xf numFmtId="0" fontId="102" fillId="0" borderId="0" applyFill="0" applyBorder="0">
      <alignment vertical="center"/>
    </xf>
    <xf numFmtId="0" fontId="103" fillId="0" borderId="82" applyNumberFormat="0" applyFill="0" applyAlignment="0" applyProtection="0"/>
    <xf numFmtId="0" fontId="102" fillId="0" borderId="0" applyFill="0" applyBorder="0">
      <alignment vertical="center"/>
    </xf>
    <xf numFmtId="0" fontId="104" fillId="0" borderId="84" applyNumberFormat="0" applyFill="0" applyAlignment="0" applyProtection="0"/>
    <xf numFmtId="0" fontId="105" fillId="0" borderId="85" applyNumberFormat="0" applyFill="0" applyAlignment="0" applyProtection="0"/>
    <xf numFmtId="0" fontId="105" fillId="0" borderId="85" applyNumberFormat="0" applyFill="0" applyAlignment="0" applyProtection="0"/>
    <xf numFmtId="0" fontId="105" fillId="0" borderId="85" applyNumberFormat="0" applyFill="0" applyAlignment="0" applyProtection="0"/>
    <xf numFmtId="0" fontId="105" fillId="0" borderId="85" applyNumberFormat="0" applyFill="0" applyAlignment="0" applyProtection="0"/>
    <xf numFmtId="0" fontId="105" fillId="0" borderId="85" applyNumberFormat="0" applyFill="0" applyAlignment="0" applyProtection="0"/>
    <xf numFmtId="0" fontId="105" fillId="0" borderId="85" applyNumberFormat="0" applyFill="0" applyAlignment="0" applyProtection="0"/>
    <xf numFmtId="0" fontId="105" fillId="0" borderId="85" applyNumberFormat="0" applyFill="0" applyAlignment="0" applyProtection="0"/>
    <xf numFmtId="0" fontId="105" fillId="0" borderId="85" applyNumberFormat="0" applyFill="0" applyAlignment="0" applyProtection="0"/>
    <xf numFmtId="0" fontId="105" fillId="0" borderId="85" applyNumberFormat="0" applyFill="0" applyAlignment="0" applyProtection="0"/>
    <xf numFmtId="0" fontId="105" fillId="0" borderId="85" applyNumberFormat="0" applyFill="0" applyAlignment="0" applyProtection="0"/>
    <xf numFmtId="0" fontId="105" fillId="0" borderId="85" applyNumberFormat="0" applyFill="0" applyAlignment="0" applyProtection="0"/>
    <xf numFmtId="0" fontId="105" fillId="0" borderId="85" applyNumberFormat="0" applyFill="0" applyAlignment="0" applyProtection="0"/>
    <xf numFmtId="0" fontId="105" fillId="0" borderId="85" applyNumberFormat="0" applyFill="0" applyAlignment="0" applyProtection="0"/>
    <xf numFmtId="0" fontId="105" fillId="0" borderId="85" applyNumberFormat="0" applyFill="0" applyAlignment="0" applyProtection="0"/>
    <xf numFmtId="0" fontId="105" fillId="0" borderId="85" applyNumberFormat="0" applyFill="0" applyAlignment="0" applyProtection="0"/>
    <xf numFmtId="0" fontId="105" fillId="0" borderId="85" applyNumberFormat="0" applyFill="0" applyAlignment="0" applyProtection="0"/>
    <xf numFmtId="0" fontId="105" fillId="0" borderId="85" applyNumberFormat="0" applyFill="0" applyAlignment="0" applyProtection="0"/>
    <xf numFmtId="0" fontId="105" fillId="0" borderId="85" applyNumberFormat="0" applyFill="0" applyAlignment="0" applyProtection="0"/>
    <xf numFmtId="0" fontId="105" fillId="0" borderId="85" applyNumberFormat="0" applyFill="0" applyAlignment="0" applyProtection="0"/>
    <xf numFmtId="0" fontId="105" fillId="0" borderId="85" applyNumberFormat="0" applyFill="0" applyAlignment="0" applyProtection="0"/>
    <xf numFmtId="0" fontId="105" fillId="0" borderId="85" applyNumberFormat="0" applyFill="0" applyAlignment="0" applyProtection="0"/>
    <xf numFmtId="0" fontId="105" fillId="0" borderId="85" applyNumberFormat="0" applyFill="0" applyAlignment="0" applyProtection="0"/>
    <xf numFmtId="0" fontId="105" fillId="0" borderId="85" applyNumberFormat="0" applyFill="0" applyAlignment="0" applyProtection="0"/>
    <xf numFmtId="0" fontId="105" fillId="0" borderId="85" applyNumberFormat="0" applyFill="0" applyAlignment="0" applyProtection="0"/>
    <xf numFmtId="0" fontId="106" fillId="0" borderId="0" applyFill="0" applyBorder="0">
      <alignment vertical="center"/>
    </xf>
    <xf numFmtId="0" fontId="105" fillId="0" borderId="85" applyNumberFormat="0" applyFill="0" applyAlignment="0" applyProtection="0"/>
    <xf numFmtId="0" fontId="105" fillId="0" borderId="85" applyNumberFormat="0" applyFill="0" applyAlignment="0" applyProtection="0"/>
    <xf numFmtId="0" fontId="105" fillId="0" borderId="85" applyNumberFormat="0" applyFill="0" applyAlignment="0" applyProtection="0"/>
    <xf numFmtId="0" fontId="105" fillId="0" borderId="85" applyNumberFormat="0" applyFill="0" applyAlignment="0" applyProtection="0"/>
    <xf numFmtId="0" fontId="105" fillId="0" borderId="85" applyNumberFormat="0" applyFill="0" applyAlignment="0" applyProtection="0"/>
    <xf numFmtId="0" fontId="105" fillId="0" borderId="85" applyNumberFormat="0" applyFill="0" applyAlignment="0" applyProtection="0"/>
    <xf numFmtId="0" fontId="105" fillId="0" borderId="85" applyNumberFormat="0" applyFill="0" applyAlignment="0" applyProtection="0"/>
    <xf numFmtId="0" fontId="105" fillId="0" borderId="85" applyNumberFormat="0" applyFill="0" applyAlignment="0" applyProtection="0"/>
    <xf numFmtId="0" fontId="105" fillId="0" borderId="85" applyNumberFormat="0" applyFill="0" applyAlignment="0" applyProtection="0"/>
    <xf numFmtId="0" fontId="105" fillId="0" borderId="85" applyNumberFormat="0" applyFill="0" applyAlignment="0" applyProtection="0"/>
    <xf numFmtId="0" fontId="105" fillId="0" borderId="85" applyNumberFormat="0" applyFill="0" applyAlignment="0" applyProtection="0"/>
    <xf numFmtId="0" fontId="105" fillId="0" borderId="85" applyNumberFormat="0" applyFill="0" applyAlignment="0" applyProtection="0"/>
    <xf numFmtId="0" fontId="105" fillId="0" borderId="85" applyNumberFormat="0" applyFill="0" applyAlignment="0" applyProtection="0"/>
    <xf numFmtId="0" fontId="105" fillId="0" borderId="85" applyNumberFormat="0" applyFill="0" applyAlignment="0" applyProtection="0"/>
    <xf numFmtId="0" fontId="105" fillId="0" borderId="85" applyNumberFormat="0" applyFill="0" applyAlignment="0" applyProtection="0"/>
    <xf numFmtId="0" fontId="105" fillId="0" borderId="85" applyNumberFormat="0" applyFill="0" applyAlignment="0" applyProtection="0"/>
    <xf numFmtId="0" fontId="105" fillId="0" borderId="85" applyNumberFormat="0" applyFill="0" applyAlignment="0" applyProtection="0"/>
    <xf numFmtId="0" fontId="105" fillId="0" borderId="85" applyNumberFormat="0" applyFill="0" applyAlignment="0" applyProtection="0"/>
    <xf numFmtId="0" fontId="105" fillId="0" borderId="85" applyNumberFormat="0" applyFill="0" applyAlignment="0" applyProtection="0"/>
    <xf numFmtId="0" fontId="105" fillId="0" borderId="85" applyNumberFormat="0" applyFill="0" applyAlignment="0" applyProtection="0"/>
    <xf numFmtId="0" fontId="105" fillId="0" borderId="85" applyNumberFormat="0" applyFill="0" applyAlignment="0" applyProtection="0"/>
    <xf numFmtId="0" fontId="105" fillId="0" borderId="85" applyNumberFormat="0" applyFill="0" applyAlignment="0" applyProtection="0"/>
    <xf numFmtId="0" fontId="105" fillId="0" borderId="85" applyNumberFormat="0" applyFill="0" applyAlignment="0" applyProtection="0"/>
    <xf numFmtId="0" fontId="105" fillId="0" borderId="85" applyNumberFormat="0" applyFill="0" applyAlignment="0" applyProtection="0"/>
    <xf numFmtId="0" fontId="107" fillId="0" borderId="84" applyNumberFormat="0" applyFill="0" applyAlignment="0" applyProtection="0"/>
    <xf numFmtId="0" fontId="106" fillId="0" borderId="0" applyFill="0" applyBorder="0">
      <alignment vertical="center"/>
    </xf>
    <xf numFmtId="0" fontId="104" fillId="0" borderId="0" applyNumberFormat="0" applyFill="0" applyBorder="0" applyAlignment="0" applyProtection="0"/>
    <xf numFmtId="0" fontId="105" fillId="0" borderId="0" applyNumberFormat="0" applyFill="0" applyBorder="0" applyAlignment="0" applyProtection="0"/>
    <xf numFmtId="0" fontId="68" fillId="0" borderId="0" applyFill="0" applyBorder="0">
      <alignment vertical="center"/>
    </xf>
    <xf numFmtId="0" fontId="107" fillId="0" borderId="0" applyNumberFormat="0" applyFill="0" applyBorder="0" applyAlignment="0" applyProtection="0"/>
    <xf numFmtId="0" fontId="68" fillId="0" borderId="0" applyFill="0" applyBorder="0">
      <alignment vertical="center"/>
    </xf>
    <xf numFmtId="184" fontId="108" fillId="0" borderId="0"/>
    <xf numFmtId="0" fontId="109" fillId="0" borderId="0" applyNumberFormat="0" applyFill="0" applyBorder="0" applyAlignment="0" applyProtection="0">
      <alignment vertical="top"/>
      <protection locked="0"/>
    </xf>
    <xf numFmtId="0" fontId="110" fillId="0" borderId="0" applyNumberFormat="0" applyFill="0" applyBorder="0" applyAlignment="0" applyProtection="0">
      <alignment vertical="top"/>
      <protection locked="0"/>
    </xf>
    <xf numFmtId="0" fontId="109" fillId="0" borderId="0" applyNumberFormat="0" applyFill="0" applyBorder="0" applyAlignment="0" applyProtection="0">
      <alignment vertical="top"/>
      <protection locked="0"/>
    </xf>
    <xf numFmtId="0" fontId="111" fillId="0" borderId="0" applyNumberFormat="0" applyFill="0" applyBorder="0" applyAlignment="0" applyProtection="0"/>
    <xf numFmtId="0" fontId="112" fillId="0" borderId="0" applyNumberFormat="0" applyFill="0" applyBorder="0" applyAlignment="0" applyProtection="0">
      <alignment vertical="top"/>
      <protection locked="0"/>
    </xf>
    <xf numFmtId="0" fontId="113" fillId="0" borderId="0" applyFill="0" applyBorder="0">
      <alignment horizontal="center" vertical="center"/>
      <protection locked="0"/>
    </xf>
    <xf numFmtId="0" fontId="114" fillId="0" borderId="0" applyFill="0" applyBorder="0">
      <alignment horizontal="left" vertical="center"/>
      <protection locked="0"/>
    </xf>
    <xf numFmtId="192" fontId="65" fillId="74" borderId="0" applyFont="0" applyBorder="0">
      <alignment horizontal="right"/>
    </xf>
    <xf numFmtId="184" fontId="65" fillId="74" borderId="0" applyFont="0" applyBorder="0" applyAlignment="0"/>
    <xf numFmtId="192" fontId="65" fillId="74" borderId="0" applyFont="0" applyBorder="0">
      <alignment horizontal="right"/>
    </xf>
    <xf numFmtId="0" fontId="15" fillId="7" borderId="6" applyNumberFormat="0" applyAlignment="0" applyProtection="0"/>
    <xf numFmtId="0" fontId="115" fillId="48" borderId="77" applyNumberFormat="0" applyAlignment="0" applyProtection="0"/>
    <xf numFmtId="0" fontId="115" fillId="48" borderId="77" applyNumberFormat="0" applyAlignment="0" applyProtection="0"/>
    <xf numFmtId="0" fontId="115" fillId="48" borderId="77" applyNumberFormat="0" applyAlignment="0" applyProtection="0"/>
    <xf numFmtId="0" fontId="115" fillId="48" borderId="77" applyNumberFormat="0" applyAlignment="0" applyProtection="0"/>
    <xf numFmtId="0" fontId="115" fillId="48" borderId="77" applyNumberFormat="0" applyAlignment="0" applyProtection="0"/>
    <xf numFmtId="0" fontId="115" fillId="48" borderId="77" applyNumberFormat="0" applyAlignment="0" applyProtection="0"/>
    <xf numFmtId="0" fontId="116" fillId="7" borderId="6" applyNumberFormat="0" applyAlignment="0" applyProtection="0"/>
    <xf numFmtId="187" fontId="65" fillId="75" borderId="0" applyFont="0" applyBorder="0" applyAlignment="0">
      <alignment horizontal="right"/>
      <protection locked="0"/>
    </xf>
    <xf numFmtId="187" fontId="65" fillId="76" borderId="0" applyFont="0" applyBorder="0" applyAlignment="0">
      <alignment horizontal="right"/>
      <protection locked="0"/>
    </xf>
    <xf numFmtId="187" fontId="65" fillId="76" borderId="0" applyFont="0" applyBorder="0" applyAlignment="0">
      <alignment horizontal="right"/>
      <protection locked="0"/>
    </xf>
    <xf numFmtId="187" fontId="65" fillId="75" borderId="0" applyFont="0" applyBorder="0" applyAlignment="0">
      <alignment horizontal="right"/>
      <protection locked="0"/>
    </xf>
    <xf numFmtId="187" fontId="65" fillId="76" borderId="0" applyFont="0" applyBorder="0" applyAlignment="0">
      <alignment horizontal="right"/>
      <protection locked="0"/>
    </xf>
    <xf numFmtId="187" fontId="65" fillId="76" borderId="0" applyFont="0" applyBorder="0" applyAlignment="0">
      <alignment horizontal="right"/>
      <protection locked="0"/>
    </xf>
    <xf numFmtId="187" fontId="65" fillId="75" borderId="0" applyFont="0" applyBorder="0" applyAlignment="0">
      <alignment horizontal="right"/>
      <protection locked="0"/>
    </xf>
    <xf numFmtId="10" fontId="65" fillId="75" borderId="0" applyFont="0" applyBorder="0">
      <alignment horizontal="right"/>
      <protection locked="0"/>
    </xf>
    <xf numFmtId="187" fontId="65" fillId="75" borderId="0" applyFont="0" applyBorder="0" applyAlignment="0">
      <alignment horizontal="right"/>
      <protection locked="0"/>
    </xf>
    <xf numFmtId="3" fontId="65" fillId="77" borderId="0" applyFont="0" applyBorder="0">
      <protection locked="0"/>
    </xf>
    <xf numFmtId="184" fontId="102" fillId="77" borderId="0" applyBorder="0" applyAlignment="0">
      <protection locked="0"/>
    </xf>
    <xf numFmtId="193" fontId="65" fillId="78" borderId="0" applyFont="0" applyBorder="0">
      <alignment horizontal="right"/>
      <protection locked="0"/>
    </xf>
    <xf numFmtId="193" fontId="65" fillId="78" borderId="0" applyFont="0" applyBorder="0">
      <alignment horizontal="right"/>
      <protection locked="0"/>
    </xf>
    <xf numFmtId="193" fontId="65" fillId="78" borderId="0" applyFont="0" applyBorder="0">
      <alignment horizontal="right"/>
      <protection locked="0"/>
    </xf>
    <xf numFmtId="187" fontId="65" fillId="74" borderId="0" applyFont="0" applyBorder="0">
      <alignment horizontal="right"/>
      <protection locked="0"/>
    </xf>
    <xf numFmtId="187" fontId="65" fillId="74" borderId="0" applyFont="0" applyBorder="0">
      <alignment horizontal="right"/>
      <protection locked="0"/>
    </xf>
    <xf numFmtId="187" fontId="65" fillId="74" borderId="0" applyFont="0" applyBorder="0">
      <alignment horizontal="right"/>
      <protection locked="0"/>
    </xf>
    <xf numFmtId="194" fontId="65" fillId="79" borderId="86" applyFill="0">
      <alignment horizontal="right" vertical="center" wrapText="1"/>
      <protection locked="0"/>
    </xf>
    <xf numFmtId="194" fontId="2" fillId="79" borderId="87">
      <protection locked="0"/>
    </xf>
    <xf numFmtId="194" fontId="2" fillId="79" borderId="87">
      <protection locked="0"/>
    </xf>
    <xf numFmtId="49" fontId="2" fillId="79" borderId="87" applyFont="0" applyAlignment="0">
      <alignment horizontal="left" vertical="center" wrapText="1"/>
      <protection locked="0"/>
    </xf>
    <xf numFmtId="49" fontId="2" fillId="79" borderId="87" applyFont="0" applyAlignment="0">
      <alignment horizontal="left" vertical="center" wrapText="1"/>
      <protection locked="0"/>
    </xf>
    <xf numFmtId="49" fontId="2" fillId="79" borderId="87" applyFont="0" applyAlignment="0">
      <alignment horizontal="left" vertical="center" wrapText="1"/>
      <protection locked="0"/>
    </xf>
    <xf numFmtId="184" fontId="117" fillId="80" borderId="0" applyBorder="0" applyAlignment="0"/>
    <xf numFmtId="0" fontId="68" fillId="67" borderId="0"/>
    <xf numFmtId="0" fontId="18" fillId="0" borderId="8" applyNumberFormat="0" applyFill="0" applyAlignment="0" applyProtection="0"/>
    <xf numFmtId="0" fontId="118" fillId="0" borderId="88" applyNumberFormat="0" applyFill="0" applyAlignment="0" applyProtection="0"/>
    <xf numFmtId="0" fontId="119" fillId="0" borderId="8" applyNumberFormat="0" applyFill="0" applyAlignment="0" applyProtection="0"/>
    <xf numFmtId="192" fontId="120" fillId="67" borderId="11" applyFont="0" applyBorder="0" applyAlignment="0"/>
    <xf numFmtId="184" fontId="102" fillId="67" borderId="0" applyFont="0" applyBorder="0" applyAlignment="0"/>
    <xf numFmtId="195" fontId="121" fillId="0" borderId="0"/>
    <xf numFmtId="0" fontId="122" fillId="0" borderId="0" applyFill="0" applyBorder="0">
      <alignment horizontal="left" vertical="center"/>
    </xf>
    <xf numFmtId="0" fontId="14" fillId="6" borderId="0" applyNumberFormat="0" applyBorder="0" applyAlignment="0" applyProtection="0"/>
    <xf numFmtId="0" fontId="123" fillId="51" borderId="0" applyNumberFormat="0" applyBorder="0" applyAlignment="0" applyProtection="0"/>
    <xf numFmtId="0" fontId="124" fillId="6" borderId="0" applyNumberFormat="0" applyBorder="0" applyAlignment="0" applyProtection="0"/>
    <xf numFmtId="194" fontId="125" fillId="81" borderId="87">
      <alignment horizontal="right" vertical="center" wrapText="1"/>
    </xf>
    <xf numFmtId="194" fontId="2" fillId="81" borderId="87"/>
    <xf numFmtId="194" fontId="2" fillId="81" borderId="87"/>
    <xf numFmtId="196" fontId="126" fillId="0" borderId="0"/>
    <xf numFmtId="197" fontId="127" fillId="0" borderId="0"/>
    <xf numFmtId="0" fontId="2" fillId="0" borderId="0"/>
    <xf numFmtId="0" fontId="2" fillId="0" borderId="0"/>
    <xf numFmtId="0" fontId="65" fillId="0" borderId="0"/>
    <xf numFmtId="0" fontId="65" fillId="0" borderId="0"/>
    <xf numFmtId="0" fontId="65" fillId="0" borderId="0"/>
    <xf numFmtId="0" fontId="65" fillId="0" borderId="0"/>
    <xf numFmtId="0" fontId="65" fillId="0" borderId="0"/>
    <xf numFmtId="0" fontId="65" fillId="21" borderId="0"/>
    <xf numFmtId="0" fontId="2" fillId="0" borderId="0"/>
    <xf numFmtId="0" fontId="2" fillId="0" borderId="0"/>
    <xf numFmtId="0" fontId="65" fillId="0" borderId="0" applyFill="0"/>
    <xf numFmtId="0" fontId="65" fillId="0" borderId="0" applyFill="0"/>
    <xf numFmtId="0" fontId="65" fillId="0" borderId="0"/>
    <xf numFmtId="0" fontId="65" fillId="0" borderId="0"/>
    <xf numFmtId="0" fontId="2" fillId="0" borderId="0"/>
    <xf numFmtId="0" fontId="125" fillId="0" borderId="0"/>
    <xf numFmtId="0" fontId="65" fillId="0" borderId="0"/>
    <xf numFmtId="0" fontId="65" fillId="0" borderId="0"/>
    <xf numFmtId="0" fontId="65" fillId="0" borderId="0"/>
    <xf numFmtId="0" fontId="125" fillId="0" borderId="0"/>
    <xf numFmtId="0" fontId="2" fillId="0" borderId="0"/>
    <xf numFmtId="0" fontId="2" fillId="0" borderId="0"/>
    <xf numFmtId="0" fontId="2" fillId="0" borderId="0"/>
    <xf numFmtId="0" fontId="2" fillId="0" borderId="0"/>
    <xf numFmtId="0" fontId="2" fillId="0" borderId="0"/>
    <xf numFmtId="0" fontId="65" fillId="0" borderId="0"/>
    <xf numFmtId="0" fontId="2" fillId="0" borderId="0"/>
    <xf numFmtId="0" fontId="2" fillId="0" borderId="0"/>
    <xf numFmtId="0" fontId="125" fillId="0" borderId="0"/>
    <xf numFmtId="0" fontId="65" fillId="0" borderId="0"/>
    <xf numFmtId="0" fontId="65" fillId="0" borderId="0"/>
    <xf numFmtId="0" fontId="125" fillId="0" borderId="0"/>
    <xf numFmtId="0" fontId="65" fillId="0" borderId="0"/>
    <xf numFmtId="0" fontId="6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5" fillId="21" borderId="0"/>
    <xf numFmtId="0" fontId="65" fillId="21" borderId="0"/>
    <xf numFmtId="0" fontId="125" fillId="0" borderId="0"/>
    <xf numFmtId="0" fontId="65" fillId="0" borderId="0"/>
    <xf numFmtId="0" fontId="71" fillId="0" borderId="0"/>
    <xf numFmtId="0" fontId="65" fillId="0" borderId="0"/>
    <xf numFmtId="0" fontId="2" fillId="0" borderId="0"/>
    <xf numFmtId="0" fontId="2" fillId="0" borderId="0"/>
    <xf numFmtId="0" fontId="70" fillId="0" borderId="0"/>
    <xf numFmtId="0" fontId="70" fillId="0" borderId="0"/>
    <xf numFmtId="0" fontId="70" fillId="0" borderId="0"/>
    <xf numFmtId="0" fontId="65" fillId="0" borderId="0"/>
    <xf numFmtId="0" fontId="65" fillId="0" borderId="0"/>
    <xf numFmtId="0" fontId="2" fillId="0" borderId="0">
      <protection locked="0"/>
    </xf>
    <xf numFmtId="0" fontId="65" fillId="0" borderId="0"/>
    <xf numFmtId="0" fontId="65" fillId="0" borderId="0"/>
    <xf numFmtId="0" fontId="65" fillId="0" borderId="0"/>
    <xf numFmtId="0" fontId="65" fillId="0" borderId="0" applyFill="0"/>
    <xf numFmtId="0" fontId="65" fillId="21" borderId="0"/>
    <xf numFmtId="0" fontId="2" fillId="0" borderId="0">
      <protection locked="0"/>
    </xf>
    <xf numFmtId="0" fontId="65" fillId="0" borderId="0"/>
    <xf numFmtId="0" fontId="65" fillId="0" borderId="0"/>
    <xf numFmtId="0" fontId="2" fillId="0" borderId="0"/>
    <xf numFmtId="0" fontId="2" fillId="0" borderId="0"/>
    <xf numFmtId="0" fontId="2" fillId="0" borderId="0"/>
    <xf numFmtId="0" fontId="2" fillId="0" borderId="0"/>
    <xf numFmtId="0" fontId="2" fillId="0" borderId="0"/>
    <xf numFmtId="0" fontId="71" fillId="0" borderId="0"/>
    <xf numFmtId="0" fontId="2" fillId="0" borderId="0"/>
    <xf numFmtId="0" fontId="2" fillId="0" borderId="0"/>
    <xf numFmtId="0" fontId="2" fillId="0" borderId="0"/>
    <xf numFmtId="0" fontId="6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5" fillId="0" borderId="0"/>
    <xf numFmtId="0" fontId="2" fillId="0" borderId="0"/>
    <xf numFmtId="0" fontId="2" fillId="0" borderId="0"/>
    <xf numFmtId="0" fontId="65" fillId="0" borderId="0"/>
    <xf numFmtId="0" fontId="2" fillId="0" borderId="0"/>
    <xf numFmtId="0" fontId="2" fillId="0" borderId="0"/>
    <xf numFmtId="0" fontId="65" fillId="0" borderId="0"/>
    <xf numFmtId="0" fontId="65" fillId="0" borderId="0"/>
    <xf numFmtId="0" fontId="65" fillId="21" borderId="0"/>
    <xf numFmtId="0" fontId="65" fillId="0" borderId="0"/>
    <xf numFmtId="0" fontId="2" fillId="0" borderId="0"/>
    <xf numFmtId="0" fontId="2" fillId="0" borderId="0"/>
    <xf numFmtId="0" fontId="65" fillId="21" borderId="0"/>
    <xf numFmtId="0" fontId="2" fillId="0" borderId="0"/>
    <xf numFmtId="0" fontId="2" fillId="0" borderId="0"/>
    <xf numFmtId="0" fontId="2" fillId="0" borderId="0"/>
    <xf numFmtId="0" fontId="65" fillId="0" borderId="0"/>
    <xf numFmtId="0" fontId="65" fillId="0" borderId="0"/>
    <xf numFmtId="0" fontId="65" fillId="0" borderId="0"/>
    <xf numFmtId="0" fontId="2" fillId="0" borderId="0"/>
    <xf numFmtId="0" fontId="2" fillId="0" borderId="0"/>
    <xf numFmtId="0" fontId="2" fillId="0" borderId="0">
      <protection locked="0"/>
    </xf>
    <xf numFmtId="0" fontId="2" fillId="0" borderId="0"/>
    <xf numFmtId="0" fontId="65" fillId="21" borderId="0"/>
    <xf numFmtId="0" fontId="65" fillId="21" borderId="0"/>
    <xf numFmtId="0" fontId="65" fillId="21" borderId="0"/>
    <xf numFmtId="0" fontId="65" fillId="0" borderId="0"/>
    <xf numFmtId="0" fontId="65" fillId="0" borderId="0"/>
    <xf numFmtId="0" fontId="65" fillId="0" borderId="0"/>
    <xf numFmtId="0" fontId="65" fillId="0" borderId="0"/>
    <xf numFmtId="0" fontId="84" fillId="0" borderId="0"/>
    <xf numFmtId="0" fontId="7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5" fillId="0" borderId="0" applyFill="0"/>
    <xf numFmtId="0" fontId="65" fillId="0" borderId="0"/>
    <xf numFmtId="0" fontId="2" fillId="0" borderId="0"/>
    <xf numFmtId="0" fontId="2"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71" fillId="0" borderId="0"/>
    <xf numFmtId="0" fontId="65" fillId="0" borderId="0"/>
    <xf numFmtId="0" fontId="2" fillId="0" borderId="0"/>
    <xf numFmtId="0" fontId="2" fillId="0" borderId="0"/>
    <xf numFmtId="0" fontId="65" fillId="0" borderId="0"/>
    <xf numFmtId="0" fontId="84" fillId="0" borderId="0"/>
    <xf numFmtId="0" fontId="128" fillId="0" borderId="0"/>
    <xf numFmtId="0" fontId="70" fillId="0" borderId="0"/>
    <xf numFmtId="0" fontId="65" fillId="0" borderId="0"/>
    <xf numFmtId="0" fontId="65" fillId="0" borderId="0"/>
    <xf numFmtId="0" fontId="65" fillId="21" borderId="0"/>
    <xf numFmtId="0" fontId="65" fillId="21" borderId="0"/>
    <xf numFmtId="0" fontId="87" fillId="0" borderId="0"/>
    <xf numFmtId="0" fontId="53" fillId="0" borderId="0"/>
    <xf numFmtId="0" fontId="65" fillId="0" borderId="0" applyFill="0"/>
    <xf numFmtId="0" fontId="65" fillId="0" borderId="0"/>
    <xf numFmtId="0" fontId="2" fillId="0" borderId="0"/>
    <xf numFmtId="0" fontId="2" fillId="0" borderId="0"/>
    <xf numFmtId="0" fontId="2" fillId="0" borderId="0"/>
    <xf numFmtId="0" fontId="2" fillId="0" borderId="0"/>
    <xf numFmtId="0" fontId="2" fillId="0" borderId="0"/>
    <xf numFmtId="0" fontId="2" fillId="0" borderId="0"/>
    <xf numFmtId="0" fontId="65" fillId="0" borderId="0"/>
    <xf numFmtId="0" fontId="2" fillId="0" borderId="0"/>
    <xf numFmtId="0" fontId="65" fillId="0" borderId="0"/>
    <xf numFmtId="0" fontId="2" fillId="0" borderId="0"/>
    <xf numFmtId="0" fontId="2" fillId="0" borderId="0"/>
    <xf numFmtId="0" fontId="2" fillId="0" borderId="0"/>
    <xf numFmtId="0" fontId="2" fillId="0" borderId="0"/>
    <xf numFmtId="0" fontId="65" fillId="0" borderId="0"/>
    <xf numFmtId="0" fontId="65" fillId="0" borderId="0"/>
    <xf numFmtId="0" fontId="2" fillId="10" borderId="10" applyNumberFormat="0" applyFont="0" applyAlignment="0" applyProtection="0"/>
    <xf numFmtId="0" fontId="2" fillId="10" borderId="10" applyNumberFormat="0" applyFont="0" applyAlignment="0" applyProtection="0"/>
    <xf numFmtId="0" fontId="65" fillId="49" borderId="89" applyNumberFormat="0" applyFont="0" applyAlignment="0" applyProtection="0"/>
    <xf numFmtId="0" fontId="65" fillId="49" borderId="89" applyNumberFormat="0" applyFont="0" applyAlignment="0" applyProtection="0"/>
    <xf numFmtId="0" fontId="65" fillId="49" borderId="89" applyNumberFormat="0" applyFont="0" applyAlignment="0" applyProtection="0"/>
    <xf numFmtId="0" fontId="71" fillId="10" borderId="10" applyNumberFormat="0" applyFont="0" applyAlignment="0" applyProtection="0"/>
    <xf numFmtId="0" fontId="65" fillId="49" borderId="89" applyNumberFormat="0" applyFont="0" applyAlignment="0" applyProtection="0"/>
    <xf numFmtId="0" fontId="65" fillId="49" borderId="89" applyNumberFormat="0" applyFont="0" applyAlignment="0" applyProtection="0"/>
    <xf numFmtId="0" fontId="65" fillId="49" borderId="89" applyNumberFormat="0" applyFont="0" applyAlignment="0" applyProtection="0"/>
    <xf numFmtId="0" fontId="70" fillId="10" borderId="10" applyNumberFormat="0" applyFont="0" applyAlignment="0" applyProtection="0"/>
    <xf numFmtId="0" fontId="70" fillId="10" borderId="10" applyNumberFormat="0" applyFont="0" applyAlignment="0" applyProtection="0"/>
    <xf numFmtId="0" fontId="65" fillId="49" borderId="89" applyNumberFormat="0" applyFont="0" applyAlignment="0" applyProtection="0"/>
    <xf numFmtId="0" fontId="65" fillId="49" borderId="89" applyNumberFormat="0" applyFont="0" applyAlignment="0" applyProtection="0"/>
    <xf numFmtId="0" fontId="65" fillId="49" borderId="89" applyNumberFormat="0" applyFont="0" applyAlignment="0" applyProtection="0"/>
    <xf numFmtId="0" fontId="16" fillId="8" borderId="7" applyNumberFormat="0" applyAlignment="0" applyProtection="0"/>
    <xf numFmtId="0" fontId="129" fillId="50" borderId="90" applyNumberFormat="0" applyAlignment="0" applyProtection="0"/>
    <xf numFmtId="0" fontId="129" fillId="50" borderId="90" applyNumberFormat="0" applyAlignment="0" applyProtection="0"/>
    <xf numFmtId="0" fontId="129" fillId="50" borderId="90" applyNumberFormat="0" applyAlignment="0" applyProtection="0"/>
    <xf numFmtId="0" fontId="129" fillId="50" borderId="90" applyNumberFormat="0" applyAlignment="0" applyProtection="0"/>
    <xf numFmtId="0" fontId="129" fillId="50" borderId="90" applyNumberFormat="0" applyAlignment="0" applyProtection="0"/>
    <xf numFmtId="0" fontId="129" fillId="50" borderId="90" applyNumberFormat="0" applyAlignment="0" applyProtection="0"/>
    <xf numFmtId="0" fontId="130" fillId="8" borderId="7" applyNumberFormat="0" applyAlignment="0" applyProtection="0"/>
    <xf numFmtId="40" fontId="131" fillId="21" borderId="0">
      <alignment horizontal="right"/>
    </xf>
    <xf numFmtId="0" fontId="132" fillId="21" borderId="11"/>
    <xf numFmtId="198" fontId="65" fillId="0" borderId="0" applyFill="0" applyBorder="0"/>
    <xf numFmtId="198" fontId="65" fillId="0" borderId="0" applyFill="0" applyBorder="0"/>
    <xf numFmtId="198" fontId="65" fillId="0" borderId="0" applyFill="0" applyBorder="0"/>
    <xf numFmtId="9" fontId="65" fillId="0" borderId="0" applyFont="0" applyFill="0" applyBorder="0" applyAlignment="0" applyProtection="0"/>
    <xf numFmtId="9" fontId="6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65" fillId="0" borderId="0" applyFont="0" applyFill="0" applyBorder="0" applyAlignment="0" applyProtection="0"/>
    <xf numFmtId="9" fontId="65" fillId="0" borderId="0" applyFont="0" applyFill="0" applyBorder="0" applyAlignment="0" applyProtection="0"/>
    <xf numFmtId="9" fontId="65" fillId="0" borderId="0" applyFont="0" applyFill="0" applyBorder="0" applyAlignment="0" applyProtection="0"/>
    <xf numFmtId="9" fontId="65" fillId="0" borderId="0" applyFont="0" applyFill="0" applyBorder="0" applyAlignment="0" applyProtection="0"/>
    <xf numFmtId="9" fontId="8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6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65" fillId="0" borderId="0" applyFont="0" applyFill="0" applyBorder="0" applyAlignment="0" applyProtection="0"/>
    <xf numFmtId="9" fontId="6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86" fillId="0" borderId="0" applyFont="0" applyFill="0" applyBorder="0" applyAlignment="0" applyProtection="0"/>
    <xf numFmtId="9" fontId="6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64" fillId="0" borderId="0" applyFont="0" applyFill="0" applyBorder="0" applyAlignment="0" applyProtection="0"/>
    <xf numFmtId="9" fontId="2" fillId="0" borderId="0" applyFont="0" applyFill="0" applyBorder="0" applyAlignment="0" applyProtection="0"/>
    <xf numFmtId="9" fontId="65" fillId="0" borderId="0" applyFont="0" applyFill="0" applyBorder="0" applyAlignment="0" applyProtection="0"/>
    <xf numFmtId="9" fontId="65" fillId="0" borderId="0" applyFont="0" applyFill="0" applyBorder="0" applyAlignment="0" applyProtection="0"/>
    <xf numFmtId="9" fontId="65" fillId="0" borderId="0" applyFont="0" applyFill="0" applyBorder="0" applyAlignment="0" applyProtection="0"/>
    <xf numFmtId="0" fontId="106" fillId="0" borderId="0" applyFill="0" applyBorder="0">
      <alignment vertical="center"/>
    </xf>
    <xf numFmtId="0" fontId="83" fillId="0" borderId="0" applyNumberFormat="0" applyFont="0" applyFill="0" applyBorder="0" applyAlignment="0" applyProtection="0">
      <alignment horizontal="left"/>
    </xf>
    <xf numFmtId="15" fontId="83" fillId="0" borderId="0" applyFont="0" applyFill="0" applyBorder="0" applyAlignment="0" applyProtection="0"/>
    <xf numFmtId="4" fontId="83" fillId="0" borderId="0" applyFont="0" applyFill="0" applyBorder="0" applyAlignment="0" applyProtection="0"/>
    <xf numFmtId="199" fontId="133" fillId="0" borderId="56"/>
    <xf numFmtId="0" fontId="134" fillId="0" borderId="23">
      <alignment horizontal="center"/>
    </xf>
    <xf numFmtId="0" fontId="134" fillId="0" borderId="23">
      <alignment horizontal="center"/>
    </xf>
    <xf numFmtId="0" fontId="134" fillId="0" borderId="23">
      <alignment horizontal="center"/>
    </xf>
    <xf numFmtId="0" fontId="134" fillId="0" borderId="23">
      <alignment horizontal="center"/>
    </xf>
    <xf numFmtId="0" fontId="134" fillId="0" borderId="23">
      <alignment horizontal="center"/>
    </xf>
    <xf numFmtId="0" fontId="134" fillId="0" borderId="23">
      <alignment horizontal="center"/>
    </xf>
    <xf numFmtId="0" fontId="134" fillId="0" borderId="23">
      <alignment horizontal="center"/>
    </xf>
    <xf numFmtId="0" fontId="134" fillId="0" borderId="23">
      <alignment horizontal="center"/>
    </xf>
    <xf numFmtId="0" fontId="134" fillId="0" borderId="23">
      <alignment horizontal="center"/>
    </xf>
    <xf numFmtId="0" fontId="134" fillId="0" borderId="23">
      <alignment horizontal="center"/>
    </xf>
    <xf numFmtId="0" fontId="134" fillId="0" borderId="23">
      <alignment horizontal="center"/>
    </xf>
    <xf numFmtId="0" fontId="134" fillId="0" borderId="23">
      <alignment horizontal="center"/>
    </xf>
    <xf numFmtId="0" fontId="134" fillId="0" borderId="23">
      <alignment horizontal="center"/>
    </xf>
    <xf numFmtId="0" fontId="134" fillId="0" borderId="23">
      <alignment horizontal="center"/>
    </xf>
    <xf numFmtId="3" fontId="83" fillId="0" borderId="0" applyFont="0" applyFill="0" applyBorder="0" applyAlignment="0" applyProtection="0"/>
    <xf numFmtId="0" fontId="83" fillId="82" borderId="0" applyNumberFormat="0" applyFont="0" applyBorder="0" applyAlignment="0" applyProtection="0"/>
    <xf numFmtId="200" fontId="65" fillId="0" borderId="0"/>
    <xf numFmtId="200" fontId="65" fillId="0" borderId="0"/>
    <xf numFmtId="200" fontId="65" fillId="0" borderId="0"/>
    <xf numFmtId="170" fontId="68" fillId="0" borderId="0" applyFill="0" applyBorder="0">
      <alignment horizontal="right" vertical="center"/>
    </xf>
    <xf numFmtId="165" fontId="68" fillId="0" borderId="0" applyFill="0" applyBorder="0">
      <alignment horizontal="right" vertical="center"/>
    </xf>
    <xf numFmtId="164" fontId="68" fillId="0" borderId="0" applyFill="0" applyBorder="0">
      <alignment horizontal="right" vertical="center"/>
    </xf>
    <xf numFmtId="194" fontId="135" fillId="79" borderId="91">
      <alignment horizontal="right" indent="2"/>
      <protection locked="0"/>
    </xf>
    <xf numFmtId="0" fontId="65" fillId="49" borderId="0" applyNumberFormat="0" applyFont="0" applyBorder="0" applyAlignment="0" applyProtection="0"/>
    <xf numFmtId="0" fontId="65" fillId="49" borderId="0" applyNumberFormat="0" applyFont="0" applyBorder="0" applyAlignment="0" applyProtection="0"/>
    <xf numFmtId="0" fontId="65" fillId="50" borderId="0" applyNumberFormat="0" applyFont="0" applyBorder="0" applyAlignment="0" applyProtection="0"/>
    <xf numFmtId="0" fontId="65" fillId="50" borderId="0" applyNumberFormat="0" applyFont="0" applyBorder="0" applyAlignment="0" applyProtection="0"/>
    <xf numFmtId="0" fontId="65" fillId="52" borderId="0" applyNumberFormat="0" applyFont="0" applyBorder="0" applyAlignment="0" applyProtection="0"/>
    <xf numFmtId="0" fontId="65" fillId="52" borderId="0" applyNumberFormat="0" applyFont="0" applyBorder="0" applyAlignment="0" applyProtection="0"/>
    <xf numFmtId="0" fontId="65" fillId="0" borderId="0" applyNumberFormat="0" applyFont="0" applyFill="0" applyBorder="0" applyAlignment="0" applyProtection="0"/>
    <xf numFmtId="0" fontId="65" fillId="0" borderId="0" applyNumberFormat="0" applyFont="0" applyFill="0" applyBorder="0" applyAlignment="0" applyProtection="0"/>
    <xf numFmtId="0" fontId="65" fillId="52" borderId="0" applyNumberFormat="0" applyFont="0" applyBorder="0" applyAlignment="0" applyProtection="0"/>
    <xf numFmtId="0" fontId="65" fillId="52" borderId="0" applyNumberFormat="0" applyFont="0" applyBorder="0" applyAlignment="0" applyProtection="0"/>
    <xf numFmtId="0" fontId="65" fillId="0" borderId="0" applyNumberFormat="0" applyFont="0" applyFill="0" applyBorder="0" applyAlignment="0" applyProtection="0"/>
    <xf numFmtId="0" fontId="65" fillId="0" borderId="0" applyNumberFormat="0" applyFont="0" applyFill="0" applyBorder="0" applyAlignment="0" applyProtection="0"/>
    <xf numFmtId="0" fontId="65" fillId="0" borderId="0" applyNumberFormat="0" applyFont="0" applyBorder="0" applyAlignment="0" applyProtection="0"/>
    <xf numFmtId="0" fontId="65" fillId="0" borderId="0" applyNumberFormat="0" applyFont="0" applyBorder="0" applyAlignment="0" applyProtection="0"/>
    <xf numFmtId="0" fontId="136" fillId="0" borderId="0" applyNumberFormat="0" applyFill="0" applyBorder="0" applyAlignment="0" applyProtection="0"/>
    <xf numFmtId="0" fontId="137" fillId="83"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122" fillId="0" borderId="0"/>
    <xf numFmtId="0" fontId="51" fillId="0" borderId="0"/>
    <xf numFmtId="15" fontId="65" fillId="0" borderId="0"/>
    <xf numFmtId="15" fontId="65" fillId="0" borderId="0"/>
    <xf numFmtId="15" fontId="65" fillId="0" borderId="0"/>
    <xf numFmtId="10" fontId="65" fillId="0" borderId="0"/>
    <xf numFmtId="10" fontId="65" fillId="0" borderId="0"/>
    <xf numFmtId="10" fontId="65" fillId="0" borderId="0"/>
    <xf numFmtId="0" fontId="138" fillId="84" borderId="2" applyBorder="0" applyProtection="0">
      <alignment horizontal="centerContinuous" vertical="center"/>
    </xf>
    <xf numFmtId="0" fontId="138" fillId="84" borderId="2" applyBorder="0" applyProtection="0">
      <alignment horizontal="centerContinuous" vertical="center"/>
    </xf>
    <xf numFmtId="0" fontId="139" fillId="0" borderId="0" applyBorder="0" applyProtection="0">
      <alignment vertical="center"/>
    </xf>
    <xf numFmtId="0" fontId="140" fillId="0" borderId="0">
      <alignment horizontal="left"/>
    </xf>
    <xf numFmtId="0" fontId="140" fillId="0" borderId="12" applyFill="0" applyBorder="0" applyProtection="0">
      <alignment horizontal="left" vertical="top"/>
    </xf>
    <xf numFmtId="0" fontId="137" fillId="85" borderId="0">
      <alignment horizontal="left" vertical="center"/>
      <protection locked="0"/>
    </xf>
    <xf numFmtId="0" fontId="37" fillId="86" borderId="0">
      <alignment vertical="center"/>
      <protection locked="0"/>
    </xf>
    <xf numFmtId="49" fontId="65" fillId="0" borderId="0" applyFont="0" applyFill="0" applyBorder="0" applyAlignment="0" applyProtection="0"/>
    <xf numFmtId="0" fontId="141" fillId="0" borderId="0"/>
    <xf numFmtId="49" fontId="65" fillId="0" borderId="0" applyFont="0" applyFill="0" applyBorder="0" applyAlignment="0" applyProtection="0"/>
    <xf numFmtId="0" fontId="142" fillId="0" borderId="0"/>
    <xf numFmtId="0" fontId="142" fillId="0" borderId="0"/>
    <xf numFmtId="0" fontId="141" fillId="0" borderId="0"/>
    <xf numFmtId="195" fontId="143" fillId="0" borderId="0"/>
    <xf numFmtId="0" fontId="10" fillId="0" borderId="0" applyNumberFormat="0" applyFill="0" applyBorder="0" applyAlignment="0" applyProtection="0"/>
    <xf numFmtId="0" fontId="136" fillId="0" borderId="0" applyNumberFormat="0" applyFill="0" applyBorder="0" applyAlignment="0" applyProtection="0"/>
    <xf numFmtId="0" fontId="144" fillId="0" borderId="0" applyNumberFormat="0" applyFill="0" applyBorder="0" applyAlignment="0" applyProtection="0"/>
    <xf numFmtId="0" fontId="145" fillId="0" borderId="0" applyNumberFormat="0" applyFill="0" applyBorder="0" applyAlignment="0" applyProtection="0"/>
    <xf numFmtId="0" fontId="146" fillId="0" borderId="0" applyFill="0" applyBorder="0">
      <alignment horizontal="left" vertical="center"/>
      <protection locked="0"/>
    </xf>
    <xf numFmtId="0" fontId="141" fillId="0" borderId="0"/>
    <xf numFmtId="0" fontId="147" fillId="0" borderId="0" applyFill="0" applyBorder="0">
      <alignment horizontal="left" vertical="center"/>
      <protection locked="0"/>
    </xf>
    <xf numFmtId="0" fontId="7" fillId="0" borderId="5" applyNumberFormat="0" applyFill="0" applyAlignment="0" applyProtection="0"/>
    <xf numFmtId="0" fontId="90" fillId="0" borderId="92" applyNumberFormat="0" applyFill="0" applyAlignment="0" applyProtection="0"/>
    <xf numFmtId="0" fontId="90" fillId="0" borderId="92" applyNumberFormat="0" applyFill="0" applyAlignment="0" applyProtection="0"/>
    <xf numFmtId="0" fontId="90" fillId="0" borderId="92" applyNumberFormat="0" applyFill="0" applyAlignment="0" applyProtection="0"/>
    <xf numFmtId="0" fontId="90" fillId="0" borderId="92" applyNumberFormat="0" applyFill="0" applyAlignment="0" applyProtection="0"/>
    <xf numFmtId="0" fontId="90" fillId="0" borderId="92" applyNumberFormat="0" applyFill="0" applyAlignment="0" applyProtection="0"/>
    <xf numFmtId="0" fontId="90" fillId="0" borderId="92" applyNumberFormat="0" applyFill="0" applyAlignment="0" applyProtection="0"/>
    <xf numFmtId="0" fontId="148" fillId="0" borderId="5" applyNumberFormat="0" applyFill="0" applyAlignment="0" applyProtection="0"/>
    <xf numFmtId="0" fontId="20" fillId="0" borderId="0" applyNumberFormat="0" applyFill="0" applyBorder="0" applyAlignment="0" applyProtection="0"/>
    <xf numFmtId="0" fontId="149" fillId="0" borderId="0" applyNumberFormat="0" applyFill="0" applyBorder="0" applyAlignment="0" applyProtection="0"/>
    <xf numFmtId="0" fontId="150" fillId="0" borderId="0" applyNumberFormat="0" applyFill="0" applyBorder="0" applyAlignment="0" applyProtection="0"/>
    <xf numFmtId="201" fontId="65" fillId="0" borderId="2" applyBorder="0" applyProtection="0">
      <alignment horizontal="right"/>
    </xf>
    <xf numFmtId="201" fontId="65" fillId="0" borderId="2" applyBorder="0" applyProtection="0">
      <alignment horizontal="right"/>
    </xf>
    <xf numFmtId="201" fontId="65" fillId="0" borderId="2" applyBorder="0" applyProtection="0">
      <alignment horizontal="right"/>
    </xf>
    <xf numFmtId="201" fontId="65" fillId="0" borderId="2" applyBorder="0" applyProtection="0">
      <alignment horizontal="right"/>
    </xf>
    <xf numFmtId="0" fontId="65" fillId="49" borderId="0" applyNumberFormat="0" applyFont="0" applyBorder="0" applyAlignment="0" applyProtection="0"/>
    <xf numFmtId="0" fontId="1" fillId="0" borderId="0"/>
    <xf numFmtId="9" fontId="1" fillId="0" borderId="0" applyFont="0" applyFill="0" applyBorder="0" applyAlignment="0" applyProtection="0"/>
    <xf numFmtId="0" fontId="153" fillId="0" borderId="0" applyFill="0" applyBorder="0">
      <alignment horizontal="left" vertical="center"/>
    </xf>
    <xf numFmtId="0" fontId="26" fillId="0" borderId="0"/>
    <xf numFmtId="0" fontId="154" fillId="0" borderId="0" applyFill="0" applyBorder="0">
      <alignment vertical="center"/>
    </xf>
    <xf numFmtId="0" fontId="155" fillId="0" borderId="0" applyNumberFormat="0" applyFill="0" applyBorder="0">
      <alignment horizontal="left" vertical="center"/>
    </xf>
    <xf numFmtId="0" fontId="156" fillId="0" borderId="0" applyFill="0" applyBorder="0">
      <alignment horizontal="left" vertical="center"/>
    </xf>
    <xf numFmtId="0" fontId="157" fillId="11" borderId="0" applyBorder="0">
      <alignment horizontal="left" vertical="center"/>
    </xf>
    <xf numFmtId="0" fontId="158" fillId="88" borderId="0" applyBorder="0">
      <alignment horizontal="left" vertical="center"/>
    </xf>
  </cellStyleXfs>
  <cellXfs count="549">
    <xf numFmtId="0" fontId="0" fillId="0" borderId="0" xfId="0"/>
    <xf numFmtId="0" fontId="0" fillId="0" borderId="0" xfId="0" applyFont="1"/>
    <xf numFmtId="0" fontId="0" fillId="0" borderId="0" xfId="0" applyFont="1" applyFill="1"/>
    <xf numFmtId="0" fontId="0" fillId="0" borderId="2" xfId="0" applyFont="1" applyBorder="1"/>
    <xf numFmtId="0" fontId="8" fillId="0" borderId="0" xfId="0" applyFont="1" applyFill="1"/>
    <xf numFmtId="0" fontId="9" fillId="0" borderId="0" xfId="0" applyFont="1" applyFill="1"/>
    <xf numFmtId="0" fontId="0" fillId="0" borderId="0" xfId="0" applyFont="1" applyFill="1" applyAlignment="1">
      <alignment horizontal="left"/>
    </xf>
    <xf numFmtId="0" fontId="37" fillId="13" borderId="0" xfId="3">
      <alignment horizontal="left" vertical="center"/>
    </xf>
    <xf numFmtId="0" fontId="31" fillId="0" borderId="0" xfId="20">
      <alignment horizontal="left" vertical="center"/>
    </xf>
    <xf numFmtId="0" fontId="0" fillId="0" borderId="2" xfId="0" applyFont="1" applyBorder="1"/>
    <xf numFmtId="0" fontId="0" fillId="0" borderId="0" xfId="0" applyFont="1" applyFill="1"/>
    <xf numFmtId="0" fontId="0" fillId="0" borderId="0" xfId="0" applyFont="1"/>
    <xf numFmtId="0" fontId="33" fillId="0" borderId="0" xfId="34">
      <alignment horizontal="left" vertical="center"/>
    </xf>
    <xf numFmtId="0" fontId="0" fillId="0" borderId="0" xfId="0"/>
    <xf numFmtId="0" fontId="28" fillId="0" borderId="0" xfId="36">
      <alignment horizontal="left" vertical="center"/>
    </xf>
    <xf numFmtId="0" fontId="29" fillId="0" borderId="0" xfId="37">
      <alignment vertical="center"/>
    </xf>
    <xf numFmtId="0" fontId="19" fillId="14" borderId="0" xfId="38">
      <alignment horizontal="left" vertical="center"/>
    </xf>
    <xf numFmtId="0" fontId="28" fillId="0" borderId="2" xfId="36" applyBorder="1">
      <alignment horizontal="left" vertical="center"/>
    </xf>
    <xf numFmtId="0" fontId="33" fillId="0" borderId="0" xfId="34" applyFill="1">
      <alignment horizontal="left" vertical="center"/>
    </xf>
    <xf numFmtId="164" fontId="29" fillId="0" borderId="0" xfId="9" applyFill="1" applyAlignment="1">
      <alignment horizontal="right" vertical="center"/>
    </xf>
    <xf numFmtId="170" fontId="29" fillId="0" borderId="0" xfId="11" applyFill="1" applyAlignment="1">
      <alignment horizontal="right" vertical="center"/>
    </xf>
    <xf numFmtId="0" fontId="28" fillId="0" borderId="0" xfId="36" applyFill="1">
      <alignment horizontal="left" vertical="center"/>
    </xf>
    <xf numFmtId="169" fontId="29" fillId="0" borderId="0" xfId="13" applyNumberFormat="1" applyFill="1">
      <alignment horizontal="right" vertical="center"/>
    </xf>
    <xf numFmtId="171" fontId="29" fillId="0" borderId="0" xfId="13" applyNumberFormat="1" applyFill="1" applyBorder="1">
      <alignment horizontal="right" vertical="center"/>
    </xf>
    <xf numFmtId="0" fontId="28" fillId="0" borderId="1" xfId="36" applyBorder="1" applyAlignment="1">
      <alignment horizontal="center" vertical="center"/>
    </xf>
    <xf numFmtId="0" fontId="33" fillId="0" borderId="2" xfId="34" applyBorder="1">
      <alignment horizontal="left" vertical="center"/>
    </xf>
    <xf numFmtId="17" fontId="6" fillId="0" borderId="2" xfId="0" applyNumberFormat="1" applyFont="1" applyFill="1" applyBorder="1" applyAlignment="1">
      <alignment horizontal="right"/>
    </xf>
    <xf numFmtId="0" fontId="29" fillId="0" borderId="2" xfId="37" applyBorder="1">
      <alignment vertical="center"/>
    </xf>
    <xf numFmtId="0" fontId="22" fillId="0" borderId="0" xfId="37" applyFont="1" applyFill="1">
      <alignment vertical="center"/>
    </xf>
    <xf numFmtId="0" fontId="28" fillId="0" borderId="0" xfId="36" applyFill="1" applyBorder="1">
      <alignment horizontal="left" vertical="center"/>
    </xf>
    <xf numFmtId="0" fontId="33" fillId="0" borderId="0" xfId="34" applyAlignment="1">
      <alignment horizontal="center" vertical="center"/>
    </xf>
    <xf numFmtId="0" fontId="11" fillId="0" borderId="0" xfId="37" applyFont="1" applyFill="1" applyAlignment="1">
      <alignment horizontal="left" vertical="center"/>
    </xf>
    <xf numFmtId="0" fontId="9" fillId="0" borderId="0" xfId="0" applyFont="1" applyFill="1" applyAlignment="1">
      <alignment horizontal="left"/>
    </xf>
    <xf numFmtId="0" fontId="29" fillId="0" borderId="1" xfId="37" applyBorder="1" applyAlignment="1">
      <alignment horizontal="center" vertical="center"/>
    </xf>
    <xf numFmtId="0" fontId="0" fillId="0" borderId="0" xfId="0" applyFont="1" applyAlignment="1">
      <alignment horizontal="center"/>
    </xf>
    <xf numFmtId="0" fontId="28" fillId="0" borderId="0" xfId="36" applyAlignment="1">
      <alignment horizontal="center" vertical="center"/>
    </xf>
    <xf numFmtId="4" fontId="0" fillId="0" borderId="0" xfId="0" applyNumberFormat="1" applyFont="1"/>
    <xf numFmtId="3" fontId="29" fillId="0" borderId="0" xfId="13" applyNumberFormat="1" applyFill="1" applyBorder="1">
      <alignment horizontal="right" vertical="center"/>
    </xf>
    <xf numFmtId="173" fontId="0" fillId="0" borderId="0" xfId="0" applyNumberFormat="1" applyFont="1"/>
    <xf numFmtId="0" fontId="29" fillId="0" borderId="0" xfId="37" applyAlignment="1">
      <alignment horizontal="left" vertical="center" indent="1"/>
    </xf>
    <xf numFmtId="169" fontId="29" fillId="0" borderId="0" xfId="13" applyNumberFormat="1" applyFill="1" applyAlignment="1">
      <alignment horizontal="center" vertical="center"/>
    </xf>
    <xf numFmtId="169" fontId="29" fillId="0" borderId="2" xfId="13" applyNumberFormat="1" applyFill="1" applyBorder="1">
      <alignment horizontal="right" vertical="center"/>
    </xf>
    <xf numFmtId="0" fontId="28" fillId="0" borderId="0" xfId="36" applyBorder="1" applyAlignment="1">
      <alignment horizontal="center" vertical="center"/>
    </xf>
    <xf numFmtId="0" fontId="37" fillId="11" borderId="0" xfId="3" applyFill="1">
      <alignment horizontal="left" vertical="center"/>
    </xf>
    <xf numFmtId="0" fontId="24" fillId="0" borderId="0" xfId="37" applyFont="1" applyFill="1">
      <alignment vertical="center"/>
    </xf>
    <xf numFmtId="0" fontId="0" fillId="0" borderId="0" xfId="0" applyAlignment="1">
      <alignment horizontal="center"/>
    </xf>
    <xf numFmtId="0" fontId="0" fillId="0" borderId="0" xfId="0" applyBorder="1" applyAlignment="1">
      <alignment horizontal="center"/>
    </xf>
    <xf numFmtId="0" fontId="29" fillId="0" borderId="3" xfId="37" applyBorder="1">
      <alignment vertical="center"/>
    </xf>
    <xf numFmtId="0" fontId="0" fillId="0" borderId="15" xfId="0" applyBorder="1"/>
    <xf numFmtId="0" fontId="0" fillId="0" borderId="3" xfId="0" applyBorder="1"/>
    <xf numFmtId="0" fontId="0" fillId="0" borderId="16" xfId="0" applyBorder="1"/>
    <xf numFmtId="0" fontId="0" fillId="0" borderId="12" xfId="0" applyBorder="1"/>
    <xf numFmtId="0" fontId="0" fillId="0" borderId="0" xfId="0" applyBorder="1"/>
    <xf numFmtId="0" fontId="0" fillId="0" borderId="11" xfId="0" applyBorder="1"/>
    <xf numFmtId="0" fontId="28" fillId="0" borderId="0" xfId="36" applyBorder="1">
      <alignment horizontal="left" vertical="center"/>
    </xf>
    <xf numFmtId="0" fontId="33" fillId="0" borderId="0" xfId="34" applyBorder="1" applyAlignment="1">
      <alignment horizontal="center" vertical="center"/>
    </xf>
    <xf numFmtId="0" fontId="32" fillId="0" borderId="0" xfId="35" applyBorder="1" applyAlignment="1">
      <alignment horizontal="center" vertical="center"/>
    </xf>
    <xf numFmtId="0" fontId="23" fillId="13" borderId="0" xfId="3" applyFont="1" applyBorder="1" applyAlignment="1">
      <alignment horizontal="center" vertical="center"/>
    </xf>
    <xf numFmtId="0" fontId="0" fillId="0" borderId="17" xfId="0" applyBorder="1"/>
    <xf numFmtId="0" fontId="0" fillId="0" borderId="2" xfId="0" applyBorder="1"/>
    <xf numFmtId="0" fontId="0" fillId="0" borderId="13" xfId="0" applyBorder="1"/>
    <xf numFmtId="0" fontId="28" fillId="12" borderId="4" xfId="8" applyBorder="1" applyAlignment="1">
      <alignment horizontal="center" vertical="center"/>
      <protection locked="0"/>
    </xf>
    <xf numFmtId="0" fontId="28" fillId="0" borderId="0" xfId="36" applyAlignment="1">
      <alignment horizontal="left" vertical="center"/>
    </xf>
    <xf numFmtId="0" fontId="0" fillId="0" borderId="0" xfId="0" applyFont="1" applyAlignment="1"/>
    <xf numFmtId="0" fontId="33" fillId="0" borderId="0" xfId="34" applyFill="1" applyBorder="1" applyAlignment="1">
      <alignment vertical="center"/>
    </xf>
    <xf numFmtId="0" fontId="25" fillId="0" borderId="0" xfId="3" applyFont="1" applyFill="1">
      <alignment horizontal="left" vertical="center"/>
    </xf>
    <xf numFmtId="0" fontId="33" fillId="0" borderId="0" xfId="34" applyBorder="1">
      <alignment horizontal="left" vertical="center"/>
    </xf>
    <xf numFmtId="0" fontId="28" fillId="0" borderId="1" xfId="36" applyFill="1" applyBorder="1" applyAlignment="1">
      <alignment horizontal="center" vertical="center"/>
    </xf>
    <xf numFmtId="169" fontId="28" fillId="0" borderId="1" xfId="40" applyNumberFormat="1" applyFill="1" applyBorder="1" applyAlignment="1">
      <alignment horizontal="center" vertical="center"/>
    </xf>
    <xf numFmtId="170" fontId="28" fillId="0" borderId="1" xfId="41" applyFill="1" applyBorder="1">
      <alignment horizontal="center" vertical="center"/>
    </xf>
    <xf numFmtId="0" fontId="19" fillId="14" borderId="0" xfId="38" applyBorder="1" applyAlignment="1">
      <alignment horizontal="center" vertical="center"/>
    </xf>
    <xf numFmtId="0" fontId="32" fillId="0" borderId="0" xfId="35" applyFill="1" applyAlignment="1">
      <alignment horizontal="left" vertical="center"/>
    </xf>
    <xf numFmtId="0" fontId="22" fillId="0" borderId="0" xfId="37" applyFont="1" applyFill="1" applyAlignment="1">
      <alignment vertical="center"/>
    </xf>
    <xf numFmtId="0" fontId="33" fillId="0" borderId="0" xfId="34">
      <alignment horizontal="left" vertical="center"/>
    </xf>
    <xf numFmtId="0" fontId="33" fillId="0" borderId="0" xfId="34" applyAlignment="1">
      <alignment horizontal="center" vertical="center" wrapText="1"/>
    </xf>
    <xf numFmtId="0" fontId="33" fillId="0" borderId="18" xfId="34" applyBorder="1">
      <alignment horizontal="left" vertical="center"/>
    </xf>
    <xf numFmtId="0" fontId="0" fillId="0" borderId="19" xfId="0" applyBorder="1"/>
    <xf numFmtId="0" fontId="33" fillId="0" borderId="19" xfId="34" applyBorder="1" applyAlignment="1">
      <alignment horizontal="center" vertical="center"/>
    </xf>
    <xf numFmtId="0" fontId="33" fillId="0" borderId="19" xfId="34" applyBorder="1" applyAlignment="1">
      <alignment horizontal="center" vertical="center" wrapText="1"/>
    </xf>
    <xf numFmtId="0" fontId="33" fillId="0" borderId="20" xfId="34" applyBorder="1" applyAlignment="1">
      <alignment horizontal="center" vertical="center" wrapText="1"/>
    </xf>
    <xf numFmtId="0" fontId="28" fillId="0" borderId="21" xfId="36" applyBorder="1">
      <alignment horizontal="left" vertical="center"/>
    </xf>
    <xf numFmtId="0" fontId="0" fillId="0" borderId="21" xfId="0" applyBorder="1"/>
    <xf numFmtId="0" fontId="0" fillId="0" borderId="22" xfId="0" applyBorder="1"/>
    <xf numFmtId="0" fontId="28" fillId="0" borderId="23" xfId="36" applyBorder="1">
      <alignment horizontal="left" vertical="center"/>
    </xf>
    <xf numFmtId="0" fontId="28" fillId="0" borderId="23" xfId="36" applyBorder="1" applyAlignment="1">
      <alignment horizontal="center" vertical="center"/>
    </xf>
    <xf numFmtId="0" fontId="28" fillId="0" borderId="18" xfId="36" applyBorder="1">
      <alignment horizontal="left" vertical="center"/>
    </xf>
    <xf numFmtId="0" fontId="28" fillId="0" borderId="19" xfId="36" applyBorder="1">
      <alignment horizontal="left" vertical="center"/>
    </xf>
    <xf numFmtId="0" fontId="28" fillId="0" borderId="19" xfId="36" applyBorder="1" applyAlignment="1">
      <alignment horizontal="center" vertical="center"/>
    </xf>
    <xf numFmtId="0" fontId="0" fillId="0" borderId="20" xfId="0" applyBorder="1"/>
    <xf numFmtId="0" fontId="33" fillId="0" borderId="18" xfId="34" applyBorder="1" applyAlignment="1">
      <alignment horizontal="center" vertical="center" wrapText="1"/>
    </xf>
    <xf numFmtId="0" fontId="0" fillId="0" borderId="18" xfId="0" applyBorder="1"/>
    <xf numFmtId="169" fontId="28" fillId="12" borderId="4" xfId="14" applyNumberFormat="1" applyBorder="1" applyAlignment="1">
      <alignment horizontal="center" vertical="center"/>
      <protection locked="0"/>
    </xf>
    <xf numFmtId="171" fontId="28" fillId="12" borderId="28" xfId="14" applyNumberFormat="1" applyBorder="1" applyAlignment="1">
      <alignment horizontal="center" vertical="center"/>
      <protection locked="0"/>
    </xf>
    <xf numFmtId="171" fontId="28" fillId="12" borderId="4" xfId="14" applyNumberFormat="1" applyBorder="1" applyAlignment="1">
      <alignment horizontal="center" vertical="center"/>
      <protection locked="0"/>
    </xf>
    <xf numFmtId="171" fontId="28" fillId="12" borderId="29" xfId="14" applyNumberFormat="1" applyBorder="1" applyAlignment="1">
      <alignment horizontal="center" vertical="center"/>
      <protection locked="0"/>
    </xf>
    <xf numFmtId="174" fontId="28" fillId="12" borderId="28" xfId="14" applyNumberFormat="1" applyBorder="1" applyAlignment="1">
      <alignment horizontal="center" vertical="center"/>
      <protection locked="0"/>
    </xf>
    <xf numFmtId="174" fontId="28" fillId="12" borderId="4" xfId="14" applyNumberFormat="1" applyBorder="1" applyAlignment="1">
      <alignment horizontal="center" vertical="center"/>
      <protection locked="0"/>
    </xf>
    <xf numFmtId="174" fontId="28" fillId="12" borderId="29" xfId="14" applyNumberFormat="1" applyBorder="1" applyAlignment="1">
      <alignment horizontal="center" vertical="center"/>
      <protection locked="0"/>
    </xf>
    <xf numFmtId="174" fontId="0" fillId="0" borderId="18" xfId="0" applyNumberFormat="1" applyBorder="1"/>
    <xf numFmtId="174" fontId="0" fillId="0" borderId="19" xfId="0" applyNumberFormat="1" applyBorder="1"/>
    <xf numFmtId="174" fontId="0" fillId="0" borderId="20" xfId="0" applyNumberFormat="1" applyBorder="1"/>
    <xf numFmtId="174" fontId="28" fillId="12" borderId="30" xfId="14" applyNumberFormat="1" applyBorder="1" applyAlignment="1">
      <alignment horizontal="center" vertical="center"/>
      <protection locked="0"/>
    </xf>
    <xf numFmtId="174" fontId="28" fillId="12" borderId="31" xfId="14" applyNumberFormat="1" applyBorder="1" applyAlignment="1">
      <alignment horizontal="center" vertical="center"/>
      <protection locked="0"/>
    </xf>
    <xf numFmtId="174" fontId="28" fillId="12" borderId="32" xfId="14" applyNumberFormat="1" applyBorder="1" applyAlignment="1">
      <alignment horizontal="center" vertical="center"/>
      <protection locked="0"/>
    </xf>
    <xf numFmtId="171" fontId="28" fillId="12" borderId="25" xfId="14" applyNumberFormat="1" applyBorder="1" applyAlignment="1">
      <alignment horizontal="center" vertical="center"/>
      <protection locked="0"/>
    </xf>
    <xf numFmtId="171" fontId="28" fillId="12" borderId="26" xfId="14" applyNumberFormat="1" applyBorder="1" applyAlignment="1">
      <alignment horizontal="center" vertical="center"/>
      <protection locked="0"/>
    </xf>
    <xf numFmtId="171" fontId="28" fillId="12" borderId="27" xfId="14" applyNumberFormat="1" applyBorder="1" applyAlignment="1">
      <alignment horizontal="center" vertical="center"/>
      <protection locked="0"/>
    </xf>
    <xf numFmtId="0" fontId="0" fillId="15" borderId="0" xfId="0" applyFill="1"/>
    <xf numFmtId="0" fontId="28" fillId="0" borderId="0" xfId="36" applyFill="1" applyBorder="1" applyAlignment="1">
      <alignment horizontal="center" vertical="center"/>
    </xf>
    <xf numFmtId="0" fontId="28" fillId="12" borderId="4" xfId="8" applyAlignment="1">
      <alignment horizontal="center" vertical="center"/>
      <protection locked="0"/>
    </xf>
    <xf numFmtId="0" fontId="33" fillId="0" borderId="3" xfId="34" applyBorder="1">
      <alignment horizontal="left" vertical="center"/>
    </xf>
    <xf numFmtId="0" fontId="28" fillId="0" borderId="3" xfId="36" applyBorder="1" applyAlignment="1">
      <alignment horizontal="center" vertical="center"/>
    </xf>
    <xf numFmtId="175" fontId="28" fillId="12" borderId="4" xfId="16" applyNumberFormat="1" applyAlignment="1">
      <alignment horizontal="center" vertical="center"/>
      <protection locked="0"/>
    </xf>
    <xf numFmtId="0" fontId="32" fillId="0" borderId="0" xfId="35" applyAlignment="1">
      <alignment horizontal="center" vertical="center"/>
    </xf>
    <xf numFmtId="169" fontId="28" fillId="12" borderId="33" xfId="14" applyNumberFormat="1" applyBorder="1" applyAlignment="1">
      <alignment horizontal="center" vertical="center"/>
      <protection locked="0"/>
    </xf>
    <xf numFmtId="169" fontId="29" fillId="0" borderId="3" xfId="13" applyNumberFormat="1" applyBorder="1" applyAlignment="1">
      <alignment horizontal="center" vertical="center"/>
    </xf>
    <xf numFmtId="169" fontId="32" fillId="0" borderId="3" xfId="13" applyNumberFormat="1" applyFont="1" applyBorder="1" applyAlignment="1">
      <alignment horizontal="center" vertical="center"/>
    </xf>
    <xf numFmtId="0" fontId="33" fillId="0" borderId="3" xfId="36" applyFont="1" applyBorder="1" applyAlignment="1">
      <alignment horizontal="center" vertical="center"/>
    </xf>
    <xf numFmtId="167" fontId="28" fillId="12" borderId="4" xfId="16" applyAlignment="1">
      <alignment horizontal="center" vertical="center"/>
      <protection locked="0"/>
    </xf>
    <xf numFmtId="0" fontId="28" fillId="0" borderId="15" xfId="36" applyBorder="1">
      <alignment horizontal="left" vertical="center"/>
    </xf>
    <xf numFmtId="169" fontId="28" fillId="12" borderId="37" xfId="14" applyNumberFormat="1" applyBorder="1" applyAlignment="1">
      <alignment horizontal="center" vertical="center"/>
      <protection locked="0"/>
    </xf>
    <xf numFmtId="169" fontId="28" fillId="12" borderId="38" xfId="14" applyNumberFormat="1" applyBorder="1" applyAlignment="1">
      <alignment horizontal="center" vertical="center"/>
      <protection locked="0"/>
    </xf>
    <xf numFmtId="0" fontId="28" fillId="0" borderId="12" xfId="36" applyBorder="1">
      <alignment horizontal="left" vertical="center"/>
    </xf>
    <xf numFmtId="169" fontId="28" fillId="12" borderId="39" xfId="14" applyNumberFormat="1" applyBorder="1" applyAlignment="1">
      <alignment horizontal="center" vertical="center"/>
      <protection locked="0"/>
    </xf>
    <xf numFmtId="0" fontId="28" fillId="0" borderId="17" xfId="36" applyBorder="1">
      <alignment horizontal="left" vertical="center"/>
    </xf>
    <xf numFmtId="0" fontId="28" fillId="0" borderId="2" xfId="36" applyBorder="1" applyAlignment="1">
      <alignment horizontal="center" vertical="center"/>
    </xf>
    <xf numFmtId="169" fontId="28" fillId="12" borderId="40" xfId="14" applyNumberFormat="1" applyBorder="1" applyAlignment="1">
      <alignment horizontal="center" vertical="center"/>
      <protection locked="0"/>
    </xf>
    <xf numFmtId="169" fontId="28" fillId="12" borderId="41" xfId="14" applyNumberFormat="1" applyBorder="1" applyAlignment="1">
      <alignment horizontal="center" vertical="center"/>
      <protection locked="0"/>
    </xf>
    <xf numFmtId="169" fontId="28" fillId="12" borderId="42" xfId="14" applyNumberFormat="1" applyBorder="1" applyAlignment="1">
      <alignment horizontal="center" vertical="center"/>
      <protection locked="0"/>
    </xf>
    <xf numFmtId="169" fontId="28" fillId="12" borderId="43" xfId="14" applyNumberFormat="1" applyBorder="1" applyAlignment="1">
      <alignment horizontal="center" vertical="center"/>
      <protection locked="0"/>
    </xf>
    <xf numFmtId="175" fontId="28" fillId="12" borderId="45" xfId="16" applyNumberFormat="1" applyBorder="1" applyAlignment="1">
      <alignment horizontal="center" vertical="center"/>
      <protection locked="0"/>
    </xf>
    <xf numFmtId="175" fontId="28" fillId="12" borderId="4" xfId="16" applyNumberFormat="1" applyBorder="1" applyAlignment="1">
      <alignment horizontal="center" vertical="center"/>
      <protection locked="0"/>
    </xf>
    <xf numFmtId="175" fontId="28" fillId="12" borderId="46" xfId="16" applyNumberFormat="1" applyBorder="1" applyAlignment="1">
      <alignment horizontal="center" vertical="center"/>
      <protection locked="0"/>
    </xf>
    <xf numFmtId="175" fontId="28" fillId="12" borderId="40" xfId="16" applyNumberFormat="1" applyBorder="1" applyAlignment="1">
      <alignment horizontal="center" vertical="center"/>
      <protection locked="0"/>
    </xf>
    <xf numFmtId="175" fontId="28" fillId="12" borderId="47" xfId="16" applyNumberFormat="1" applyBorder="1" applyAlignment="1">
      <alignment horizontal="center" vertical="center"/>
      <protection locked="0"/>
    </xf>
    <xf numFmtId="175" fontId="28" fillId="12" borderId="37" xfId="16" applyNumberFormat="1" applyBorder="1" applyAlignment="1">
      <alignment horizontal="center" vertical="center"/>
      <protection locked="0"/>
    </xf>
    <xf numFmtId="0" fontId="28" fillId="0" borderId="34" xfId="36" applyBorder="1">
      <alignment horizontal="left" vertical="center"/>
    </xf>
    <xf numFmtId="0" fontId="0" fillId="0" borderId="35" xfId="0" applyBorder="1"/>
    <xf numFmtId="175" fontId="28" fillId="12" borderId="48" xfId="16" applyNumberFormat="1" applyBorder="1" applyAlignment="1">
      <alignment horizontal="center" vertical="center"/>
      <protection locked="0"/>
    </xf>
    <xf numFmtId="175" fontId="28" fillId="12" borderId="49" xfId="16" applyNumberFormat="1" applyBorder="1" applyAlignment="1">
      <alignment horizontal="center" vertical="center"/>
      <protection locked="0"/>
    </xf>
    <xf numFmtId="0" fontId="28" fillId="0" borderId="35" xfId="36" applyBorder="1" applyAlignment="1">
      <alignment horizontal="center" vertical="center"/>
    </xf>
    <xf numFmtId="0" fontId="28" fillId="0" borderId="36" xfId="36" applyFill="1" applyBorder="1" applyAlignment="1">
      <alignment horizontal="center" vertical="center"/>
    </xf>
    <xf numFmtId="171" fontId="28" fillId="12" borderId="4" xfId="14" applyNumberFormat="1" applyAlignment="1">
      <alignment horizontal="center" vertical="center"/>
      <protection locked="0"/>
    </xf>
    <xf numFmtId="0" fontId="33" fillId="0" borderId="3" xfId="36" applyFont="1" applyBorder="1">
      <alignment horizontal="left" vertical="center"/>
    </xf>
    <xf numFmtId="0" fontId="38" fillId="0" borderId="3" xfId="0" applyFont="1" applyBorder="1"/>
    <xf numFmtId="0" fontId="33" fillId="0" borderId="3" xfId="36" applyFont="1" applyFill="1" applyBorder="1" applyAlignment="1">
      <alignment horizontal="center" vertical="center"/>
    </xf>
    <xf numFmtId="167" fontId="29" fillId="0" borderId="0" xfId="15" applyAlignment="1">
      <alignment horizontal="center" vertical="center"/>
    </xf>
    <xf numFmtId="169" fontId="28" fillId="12" borderId="4" xfId="14" applyNumberFormat="1" applyAlignment="1">
      <alignment horizontal="center" vertical="center"/>
      <protection locked="0"/>
    </xf>
    <xf numFmtId="175" fontId="29" fillId="0" borderId="0" xfId="15" applyNumberFormat="1" applyAlignment="1">
      <alignment horizontal="center" vertical="center"/>
    </xf>
    <xf numFmtId="0" fontId="28" fillId="0" borderId="0" xfId="36" applyBorder="1" applyAlignment="1">
      <alignment horizontal="left" vertical="center"/>
    </xf>
    <xf numFmtId="169" fontId="28" fillId="0" borderId="1" xfId="40" applyNumberFormat="1" applyBorder="1" applyAlignment="1">
      <alignment horizontal="center" vertical="center"/>
    </xf>
    <xf numFmtId="169" fontId="29" fillId="0" borderId="0" xfId="13" applyNumberFormat="1" applyAlignment="1">
      <alignment horizontal="center" vertical="center"/>
    </xf>
    <xf numFmtId="0" fontId="28" fillId="0" borderId="3" xfId="36" applyBorder="1" applyAlignment="1">
      <alignment horizontal="left" vertical="center"/>
    </xf>
    <xf numFmtId="175" fontId="29" fillId="0" borderId="3" xfId="15" applyNumberFormat="1" applyBorder="1" applyAlignment="1">
      <alignment horizontal="center" vertical="center"/>
    </xf>
    <xf numFmtId="175" fontId="29" fillId="0" borderId="16" xfId="15" applyNumberFormat="1" applyBorder="1" applyAlignment="1">
      <alignment horizontal="center" vertical="center"/>
    </xf>
    <xf numFmtId="174" fontId="29" fillId="0" borderId="0" xfId="13" applyNumberFormat="1" applyBorder="1" applyAlignment="1">
      <alignment horizontal="center" vertical="center"/>
    </xf>
    <xf numFmtId="174" fontId="29" fillId="0" borderId="11" xfId="13" applyNumberFormat="1" applyBorder="1" applyAlignment="1">
      <alignment horizontal="center" vertical="center"/>
    </xf>
    <xf numFmtId="175" fontId="29" fillId="0" borderId="0" xfId="15" applyNumberFormat="1" applyBorder="1" applyAlignment="1">
      <alignment horizontal="center" vertical="center"/>
    </xf>
    <xf numFmtId="175" fontId="29" fillId="0" borderId="11" xfId="15" applyNumberFormat="1" applyBorder="1" applyAlignment="1">
      <alignment horizontal="center" vertical="center"/>
    </xf>
    <xf numFmtId="171" fontId="29" fillId="0" borderId="0" xfId="13" applyNumberFormat="1" applyBorder="1" applyAlignment="1">
      <alignment horizontal="center" vertical="center"/>
    </xf>
    <xf numFmtId="171" fontId="29" fillId="0" borderId="11" xfId="13" applyNumberFormat="1" applyBorder="1" applyAlignment="1">
      <alignment horizontal="center" vertical="center"/>
    </xf>
    <xf numFmtId="169" fontId="29" fillId="0" borderId="0" xfId="13" applyNumberFormat="1" applyBorder="1" applyAlignment="1">
      <alignment horizontal="center" vertical="center"/>
    </xf>
    <xf numFmtId="169" fontId="29" fillId="0" borderId="11" xfId="13" applyNumberFormat="1" applyBorder="1" applyAlignment="1">
      <alignment horizontal="center" vertical="center"/>
    </xf>
    <xf numFmtId="0" fontId="28" fillId="0" borderId="2" xfId="36" applyBorder="1" applyAlignment="1">
      <alignment horizontal="left" vertical="center"/>
    </xf>
    <xf numFmtId="175" fontId="29" fillId="0" borderId="2" xfId="15" applyNumberFormat="1" applyBorder="1" applyAlignment="1">
      <alignment horizontal="center" vertical="center"/>
    </xf>
    <xf numFmtId="175" fontId="29" fillId="0" borderId="13" xfId="15" applyNumberFormat="1" applyBorder="1" applyAlignment="1">
      <alignment horizontal="center" vertical="center"/>
    </xf>
    <xf numFmtId="175" fontId="29" fillId="0" borderId="0" xfId="15" applyNumberFormat="1" applyFill="1" applyAlignment="1">
      <alignment horizontal="center" vertical="center"/>
    </xf>
    <xf numFmtId="0" fontId="32" fillId="16" borderId="0" xfId="35" applyFill="1" applyAlignment="1">
      <alignment horizontal="center" vertical="center"/>
    </xf>
    <xf numFmtId="0" fontId="32" fillId="17" borderId="0" xfId="35" applyFill="1" applyAlignment="1">
      <alignment horizontal="center" vertical="center"/>
    </xf>
    <xf numFmtId="0" fontId="29" fillId="0" borderId="0" xfId="37" applyAlignment="1">
      <alignment horizontal="center" vertical="center"/>
    </xf>
    <xf numFmtId="0" fontId="33" fillId="0" borderId="0" xfId="34">
      <alignment horizontal="left" vertical="center"/>
    </xf>
    <xf numFmtId="0" fontId="39" fillId="0" borderId="0" xfId="36" applyFont="1">
      <alignment horizontal="left" vertical="center"/>
    </xf>
    <xf numFmtId="0" fontId="32" fillId="0" borderId="0" xfId="35">
      <alignment horizontal="left" vertical="center"/>
    </xf>
    <xf numFmtId="0" fontId="29" fillId="0" borderId="0" xfId="37" applyBorder="1" applyAlignment="1">
      <alignment horizontal="center" vertical="center"/>
    </xf>
    <xf numFmtId="165" fontId="29" fillId="0" borderId="0" xfId="13" applyAlignment="1">
      <alignment horizontal="center" vertical="center"/>
    </xf>
    <xf numFmtId="0" fontId="32" fillId="0" borderId="12" xfId="35" applyBorder="1" applyAlignment="1">
      <alignment horizontal="center" vertical="center"/>
    </xf>
    <xf numFmtId="169" fontId="29" fillId="0" borderId="12" xfId="13" applyNumberFormat="1" applyBorder="1" applyAlignment="1">
      <alignment horizontal="center" vertical="center"/>
    </xf>
    <xf numFmtId="176" fontId="29" fillId="0" borderId="0" xfId="15" applyNumberFormat="1" applyAlignment="1">
      <alignment horizontal="center" vertical="center"/>
    </xf>
    <xf numFmtId="0" fontId="33" fillId="0" borderId="0" xfId="34" applyAlignment="1">
      <alignment horizontal="center" vertical="center" wrapText="1"/>
    </xf>
    <xf numFmtId="0" fontId="0" fillId="0" borderId="36" xfId="0" applyBorder="1"/>
    <xf numFmtId="0" fontId="28" fillId="12" borderId="42" xfId="8" applyBorder="1" applyAlignment="1">
      <alignment horizontal="center" vertical="center"/>
      <protection locked="0"/>
    </xf>
    <xf numFmtId="0" fontId="28" fillId="12" borderId="38" xfId="8" applyBorder="1" applyAlignment="1">
      <alignment horizontal="center" vertical="center"/>
      <protection locked="0"/>
    </xf>
    <xf numFmtId="0" fontId="28" fillId="12" borderId="39" xfId="8" applyBorder="1" applyAlignment="1">
      <alignment horizontal="center" vertical="center"/>
      <protection locked="0"/>
    </xf>
    <xf numFmtId="0" fontId="28" fillId="12" borderId="41" xfId="8" applyBorder="1" applyAlignment="1">
      <alignment horizontal="center" vertical="center"/>
      <protection locked="0"/>
    </xf>
    <xf numFmtId="0" fontId="28" fillId="12" borderId="43" xfId="8" applyBorder="1" applyAlignment="1">
      <alignment horizontal="center" vertical="center"/>
      <protection locked="0"/>
    </xf>
    <xf numFmtId="169" fontId="28" fillId="12" borderId="47" xfId="14" applyNumberFormat="1" applyBorder="1" applyAlignment="1">
      <alignment horizontal="center" vertical="center"/>
      <protection locked="0"/>
    </xf>
    <xf numFmtId="169" fontId="28" fillId="12" borderId="45" xfId="14" applyNumberFormat="1" applyBorder="1" applyAlignment="1">
      <alignment horizontal="center" vertical="center"/>
      <protection locked="0"/>
    </xf>
    <xf numFmtId="169" fontId="28" fillId="12" borderId="46" xfId="14" applyNumberFormat="1" applyBorder="1" applyAlignment="1">
      <alignment horizontal="center" vertical="center"/>
      <protection locked="0"/>
    </xf>
    <xf numFmtId="169" fontId="28" fillId="12" borderId="54" xfId="14" applyNumberFormat="1" applyBorder="1" applyAlignment="1">
      <alignment horizontal="center" vertical="center"/>
      <protection locked="0"/>
    </xf>
    <xf numFmtId="169" fontId="29" fillId="0" borderId="15" xfId="13" applyNumberFormat="1" applyBorder="1" applyAlignment="1">
      <alignment horizontal="center" vertical="center"/>
    </xf>
    <xf numFmtId="169" fontId="29" fillId="0" borderId="17" xfId="13" applyNumberFormat="1" applyBorder="1" applyAlignment="1">
      <alignment horizontal="center" vertical="center"/>
    </xf>
    <xf numFmtId="169" fontId="29" fillId="0" borderId="2" xfId="13" applyNumberFormat="1" applyBorder="1" applyAlignment="1">
      <alignment horizontal="center" vertical="center"/>
    </xf>
    <xf numFmtId="0" fontId="28" fillId="0" borderId="16" xfId="36" applyFill="1" applyBorder="1" applyAlignment="1">
      <alignment horizontal="center" vertical="center"/>
    </xf>
    <xf numFmtId="0" fontId="28" fillId="0" borderId="11" xfId="36" applyFill="1" applyBorder="1" applyAlignment="1">
      <alignment horizontal="center" vertical="center"/>
    </xf>
    <xf numFmtId="0" fontId="28" fillId="0" borderId="13" xfId="36" applyFill="1" applyBorder="1" applyAlignment="1">
      <alignment horizontal="center" vertical="center"/>
    </xf>
    <xf numFmtId="0" fontId="32" fillId="0" borderId="15" xfId="35" applyBorder="1">
      <alignment horizontal="left" vertical="center"/>
    </xf>
    <xf numFmtId="0" fontId="32" fillId="0" borderId="15" xfId="35" applyBorder="1" applyAlignment="1">
      <alignment horizontal="center" vertical="center" wrapText="1"/>
    </xf>
    <xf numFmtId="0" fontId="32" fillId="0" borderId="3" xfId="35" applyBorder="1" applyAlignment="1">
      <alignment horizontal="center" vertical="center" wrapText="1"/>
    </xf>
    <xf numFmtId="0" fontId="32" fillId="0" borderId="16" xfId="35" applyBorder="1" applyAlignment="1">
      <alignment horizontal="center" vertical="center" wrapText="1"/>
    </xf>
    <xf numFmtId="0" fontId="28" fillId="0" borderId="38" xfId="36" applyFill="1" applyBorder="1" applyAlignment="1">
      <alignment horizontal="center" vertical="center"/>
    </xf>
    <xf numFmtId="0" fontId="28" fillId="0" borderId="39" xfId="36" applyFill="1" applyBorder="1" applyAlignment="1">
      <alignment horizontal="center" vertical="center"/>
    </xf>
    <xf numFmtId="0" fontId="28" fillId="0" borderId="41" xfId="36" applyFill="1" applyBorder="1" applyAlignment="1">
      <alignment horizontal="center" vertical="center"/>
    </xf>
    <xf numFmtId="0" fontId="28" fillId="0" borderId="50" xfId="36" applyFill="1" applyBorder="1" applyAlignment="1">
      <alignment horizontal="center" vertical="center"/>
    </xf>
    <xf numFmtId="169" fontId="29" fillId="18" borderId="55" xfId="13" applyNumberFormat="1" applyFill="1" applyBorder="1" applyAlignment="1">
      <alignment horizontal="center" vertical="center"/>
    </xf>
    <xf numFmtId="169" fontId="29" fillId="18" borderId="56" xfId="13" applyNumberFormat="1" applyFill="1" applyBorder="1" applyAlignment="1">
      <alignment horizontal="center" vertical="center"/>
    </xf>
    <xf numFmtId="169" fontId="29" fillId="18" borderId="57" xfId="13" applyNumberFormat="1" applyFill="1" applyBorder="1" applyAlignment="1">
      <alignment horizontal="center" vertical="center"/>
    </xf>
    <xf numFmtId="169" fontId="29" fillId="0" borderId="15" xfId="13" applyNumberFormat="1" applyFill="1" applyBorder="1" applyAlignment="1">
      <alignment horizontal="center" vertical="center"/>
    </xf>
    <xf numFmtId="169" fontId="29" fillId="0" borderId="3" xfId="13" applyNumberFormat="1" applyFill="1" applyBorder="1" applyAlignment="1">
      <alignment horizontal="center" vertical="center"/>
    </xf>
    <xf numFmtId="169" fontId="29" fillId="0" borderId="16" xfId="13" applyNumberFormat="1" applyFill="1" applyBorder="1" applyAlignment="1">
      <alignment horizontal="center" vertical="center"/>
    </xf>
    <xf numFmtId="169" fontId="29" fillId="0" borderId="12" xfId="13" applyNumberFormat="1" applyFill="1" applyBorder="1" applyAlignment="1">
      <alignment horizontal="center" vertical="center"/>
    </xf>
    <xf numFmtId="169" fontId="29" fillId="0" borderId="0" xfId="13" applyNumberFormat="1" applyFill="1" applyBorder="1" applyAlignment="1">
      <alignment horizontal="center" vertical="center"/>
    </xf>
    <xf numFmtId="169" fontId="29" fillId="0" borderId="11" xfId="13" applyNumberFormat="1" applyFill="1" applyBorder="1" applyAlignment="1">
      <alignment horizontal="center" vertical="center"/>
    </xf>
    <xf numFmtId="169" fontId="29" fillId="0" borderId="17" xfId="13" applyNumberFormat="1" applyFill="1" applyBorder="1" applyAlignment="1">
      <alignment horizontal="center" vertical="center"/>
    </xf>
    <xf numFmtId="169" fontId="29" fillId="0" borderId="2" xfId="13" applyNumberFormat="1" applyFill="1" applyBorder="1" applyAlignment="1">
      <alignment horizontal="center" vertical="center"/>
    </xf>
    <xf numFmtId="169" fontId="29" fillId="0" borderId="13" xfId="13" applyNumberFormat="1" applyFill="1" applyBorder="1" applyAlignment="1">
      <alignment horizontal="center" vertical="center"/>
    </xf>
    <xf numFmtId="0" fontId="29" fillId="0" borderId="15" xfId="37" applyBorder="1">
      <alignment vertical="center"/>
    </xf>
    <xf numFmtId="0" fontId="29" fillId="0" borderId="12" xfId="37" applyBorder="1">
      <alignment vertical="center"/>
    </xf>
    <xf numFmtId="0" fontId="29" fillId="0" borderId="0" xfId="37" applyBorder="1">
      <alignment vertical="center"/>
    </xf>
    <xf numFmtId="0" fontId="29" fillId="0" borderId="17" xfId="37" applyBorder="1">
      <alignment vertical="center"/>
    </xf>
    <xf numFmtId="0" fontId="0" fillId="0" borderId="15" xfId="0" applyFill="1" applyBorder="1"/>
    <xf numFmtId="0" fontId="0" fillId="0" borderId="3" xfId="0" applyFill="1" applyBorder="1"/>
    <xf numFmtId="0" fontId="0" fillId="0" borderId="16" xfId="0" applyFill="1" applyBorder="1"/>
    <xf numFmtId="0" fontId="0" fillId="0" borderId="12" xfId="0" applyFill="1" applyBorder="1"/>
    <xf numFmtId="0" fontId="0" fillId="0" borderId="0" xfId="0" applyFill="1" applyBorder="1"/>
    <xf numFmtId="0" fontId="0" fillId="0" borderId="11" xfId="0" applyFill="1" applyBorder="1"/>
    <xf numFmtId="171" fontId="29" fillId="0" borderId="12" xfId="13" applyNumberFormat="1" applyFill="1" applyBorder="1" applyAlignment="1">
      <alignment horizontal="center" vertical="center"/>
    </xf>
    <xf numFmtId="171" fontId="29" fillId="0" borderId="0" xfId="13" applyNumberFormat="1" applyFill="1" applyBorder="1" applyAlignment="1">
      <alignment horizontal="center" vertical="center"/>
    </xf>
    <xf numFmtId="171" fontId="29" fillId="0" borderId="11" xfId="13" applyNumberFormat="1" applyFill="1" applyBorder="1" applyAlignment="1">
      <alignment horizontal="center" vertical="center"/>
    </xf>
    <xf numFmtId="171" fontId="29" fillId="0" borderId="17" xfId="13" applyNumberFormat="1" applyFill="1" applyBorder="1" applyAlignment="1">
      <alignment horizontal="center" vertical="center"/>
    </xf>
    <xf numFmtId="171" fontId="29" fillId="0" borderId="2" xfId="13" applyNumberFormat="1" applyFill="1" applyBorder="1" applyAlignment="1">
      <alignment horizontal="center" vertical="center"/>
    </xf>
    <xf numFmtId="171" fontId="29" fillId="0" borderId="13" xfId="13" applyNumberFormat="1" applyFill="1" applyBorder="1" applyAlignment="1">
      <alignment horizontal="center" vertical="center"/>
    </xf>
    <xf numFmtId="171" fontId="29" fillId="0" borderId="15" xfId="13" applyNumberFormat="1" applyFill="1" applyBorder="1" applyAlignment="1">
      <alignment horizontal="center" vertical="center"/>
    </xf>
    <xf numFmtId="171" fontId="29" fillId="0" borderId="3" xfId="13" applyNumberFormat="1" applyFill="1" applyBorder="1" applyAlignment="1">
      <alignment horizontal="center" vertical="center"/>
    </xf>
    <xf numFmtId="171" fontId="29" fillId="0" borderId="16" xfId="13" applyNumberFormat="1" applyFill="1" applyBorder="1" applyAlignment="1">
      <alignment horizontal="center" vertical="center"/>
    </xf>
    <xf numFmtId="171" fontId="29" fillId="0" borderId="12" xfId="13" applyNumberFormat="1" applyBorder="1" applyAlignment="1">
      <alignment horizontal="center" vertical="center"/>
    </xf>
    <xf numFmtId="0" fontId="32" fillId="0" borderId="18" xfId="35" applyBorder="1" applyAlignment="1">
      <alignment horizontal="center" vertical="center"/>
    </xf>
    <xf numFmtId="0" fontId="32" fillId="0" borderId="19" xfId="35" applyBorder="1" applyAlignment="1">
      <alignment horizontal="center" vertical="center"/>
    </xf>
    <xf numFmtId="0" fontId="32" fillId="0" borderId="20" xfId="35" applyBorder="1" applyAlignment="1">
      <alignment horizontal="center" vertical="center"/>
    </xf>
    <xf numFmtId="167" fontId="28" fillId="12" borderId="25" xfId="16" applyBorder="1" applyAlignment="1">
      <alignment horizontal="center" vertical="center"/>
      <protection locked="0"/>
    </xf>
    <xf numFmtId="167" fontId="28" fillId="12" borderId="26" xfId="16" applyBorder="1" applyAlignment="1">
      <alignment horizontal="center" vertical="center"/>
      <protection locked="0"/>
    </xf>
    <xf numFmtId="167" fontId="28" fillId="12" borderId="27" xfId="16" applyBorder="1" applyAlignment="1">
      <alignment horizontal="center" vertical="center"/>
      <protection locked="0"/>
    </xf>
    <xf numFmtId="167" fontId="28" fillId="12" borderId="28" xfId="16" applyBorder="1" applyAlignment="1">
      <alignment horizontal="center" vertical="center"/>
      <protection locked="0"/>
    </xf>
    <xf numFmtId="167" fontId="28" fillId="12" borderId="4" xfId="16" applyBorder="1" applyAlignment="1">
      <alignment horizontal="center" vertical="center"/>
      <protection locked="0"/>
    </xf>
    <xf numFmtId="167" fontId="28" fillId="12" borderId="29" xfId="16" applyBorder="1" applyAlignment="1">
      <alignment horizontal="center" vertical="center"/>
      <protection locked="0"/>
    </xf>
    <xf numFmtId="167" fontId="28" fillId="12" borderId="30" xfId="16" applyBorder="1" applyAlignment="1">
      <alignment horizontal="center" vertical="center"/>
      <protection locked="0"/>
    </xf>
    <xf numFmtId="167" fontId="28" fillId="12" borderId="31" xfId="16" applyBorder="1" applyAlignment="1">
      <alignment horizontal="center" vertical="center"/>
      <protection locked="0"/>
    </xf>
    <xf numFmtId="167" fontId="28" fillId="12" borderId="32" xfId="16" applyBorder="1" applyAlignment="1">
      <alignment horizontal="center" vertical="center"/>
      <protection locked="0"/>
    </xf>
    <xf numFmtId="0" fontId="29" fillId="0" borderId="16" xfId="37" applyBorder="1" applyAlignment="1">
      <alignment horizontal="center" vertical="center"/>
    </xf>
    <xf numFmtId="0" fontId="29" fillId="0" borderId="11" xfId="37" applyBorder="1" applyAlignment="1">
      <alignment horizontal="center" vertical="center"/>
    </xf>
    <xf numFmtId="0" fontId="29" fillId="0" borderId="13" xfId="37" applyBorder="1" applyAlignment="1">
      <alignment horizontal="center" vertical="center"/>
    </xf>
    <xf numFmtId="0" fontId="28" fillId="0" borderId="16" xfId="36" applyBorder="1" applyAlignment="1">
      <alignment horizontal="center" vertical="center"/>
    </xf>
    <xf numFmtId="0" fontId="28" fillId="0" borderId="11" xfId="36" applyBorder="1" applyAlignment="1">
      <alignment horizontal="center" vertical="center"/>
    </xf>
    <xf numFmtId="0" fontId="28" fillId="0" borderId="13" xfId="36" applyBorder="1" applyAlignment="1">
      <alignment horizontal="center" vertical="center"/>
    </xf>
    <xf numFmtId="169" fontId="29" fillId="0" borderId="1" xfId="13" applyNumberFormat="1" applyFill="1" applyBorder="1" applyAlignment="1">
      <alignment horizontal="center" vertical="center"/>
    </xf>
    <xf numFmtId="0" fontId="33" fillId="0" borderId="1" xfId="34" applyBorder="1" applyAlignment="1">
      <alignment horizontal="center" vertical="center"/>
    </xf>
    <xf numFmtId="165" fontId="29" fillId="0" borderId="3" xfId="13" applyBorder="1" applyAlignment="1">
      <alignment horizontal="center" vertical="center"/>
    </xf>
    <xf numFmtId="165" fontId="29" fillId="0" borderId="0" xfId="13" applyBorder="1" applyAlignment="1">
      <alignment horizontal="center" vertical="center"/>
    </xf>
    <xf numFmtId="0" fontId="33" fillId="0" borderId="0" xfId="34" applyBorder="1" applyAlignment="1">
      <alignment horizontal="left" vertical="center" wrapText="1"/>
    </xf>
    <xf numFmtId="0" fontId="33" fillId="0" borderId="0" xfId="34" applyBorder="1" applyAlignment="1">
      <alignment horizontal="center" vertical="center" wrapText="1"/>
    </xf>
    <xf numFmtId="165" fontId="32" fillId="0" borderId="3" xfId="13" applyFont="1" applyFill="1" applyBorder="1" applyAlignment="1">
      <alignment horizontal="center" vertical="center"/>
    </xf>
    <xf numFmtId="0" fontId="47" fillId="0" borderId="1" xfId="36" applyFont="1" applyBorder="1" applyAlignment="1">
      <alignment horizontal="center" vertical="center"/>
    </xf>
    <xf numFmtId="0" fontId="33" fillId="0" borderId="0" xfId="34" applyBorder="1" applyAlignment="1">
      <alignment horizontal="left" vertical="center"/>
    </xf>
    <xf numFmtId="0" fontId="32" fillId="0" borderId="3" xfId="37" applyFont="1" applyBorder="1">
      <alignment vertical="center"/>
    </xf>
    <xf numFmtId="165" fontId="32" fillId="0" borderId="3" xfId="13" applyFont="1" applyBorder="1" applyAlignment="1">
      <alignment horizontal="center" vertical="center"/>
    </xf>
    <xf numFmtId="0" fontId="32" fillId="0" borderId="0" xfId="35" applyAlignment="1">
      <alignment horizontal="center" vertical="center" wrapText="1"/>
    </xf>
    <xf numFmtId="0" fontId="32" fillId="0" borderId="0" xfId="35" applyBorder="1">
      <alignment horizontal="left" vertical="center"/>
    </xf>
    <xf numFmtId="165" fontId="0" fillId="0" borderId="0" xfId="0" applyNumberFormat="1"/>
    <xf numFmtId="177" fontId="0" fillId="0" borderId="0" xfId="0" applyNumberFormat="1"/>
    <xf numFmtId="0" fontId="47" fillId="0" borderId="0" xfId="36" applyFont="1" applyBorder="1" applyAlignment="1">
      <alignment horizontal="center" vertical="center"/>
    </xf>
    <xf numFmtId="165" fontId="29" fillId="0" borderId="55" xfId="13" applyBorder="1" applyAlignment="1">
      <alignment horizontal="center" vertical="center"/>
    </xf>
    <xf numFmtId="165" fontId="29" fillId="0" borderId="57" xfId="13" applyBorder="1" applyAlignment="1">
      <alignment horizontal="center" vertical="center"/>
    </xf>
    <xf numFmtId="165" fontId="29" fillId="0" borderId="12" xfId="13" applyBorder="1" applyAlignment="1">
      <alignment horizontal="center" vertical="center"/>
    </xf>
    <xf numFmtId="167" fontId="29" fillId="0" borderId="1" xfId="15" applyBorder="1" applyAlignment="1">
      <alignment horizontal="center" vertical="center"/>
    </xf>
    <xf numFmtId="167" fontId="29" fillId="0" borderId="0" xfId="15" applyBorder="1" applyAlignment="1">
      <alignment horizontal="center" vertical="center"/>
    </xf>
    <xf numFmtId="167" fontId="29" fillId="0" borderId="12" xfId="15" applyBorder="1" applyAlignment="1">
      <alignment horizontal="center" vertical="center"/>
    </xf>
    <xf numFmtId="0" fontId="32" fillId="0" borderId="2" xfId="35" applyBorder="1" applyAlignment="1">
      <alignment horizontal="center" vertical="center"/>
    </xf>
    <xf numFmtId="0" fontId="33" fillId="0" borderId="17" xfId="34" applyBorder="1" applyAlignment="1">
      <alignment horizontal="center" vertical="center"/>
    </xf>
    <xf numFmtId="0" fontId="33" fillId="0" borderId="2" xfId="34" applyBorder="1" applyAlignment="1">
      <alignment horizontal="center" vertical="center"/>
    </xf>
    <xf numFmtId="167" fontId="32" fillId="0" borderId="3" xfId="15" applyFont="1" applyBorder="1" applyAlignment="1">
      <alignment horizontal="center" vertical="center"/>
    </xf>
    <xf numFmtId="167" fontId="29" fillId="0" borderId="15" xfId="15" applyBorder="1" applyAlignment="1">
      <alignment horizontal="center" vertical="center"/>
    </xf>
    <xf numFmtId="167" fontId="29" fillId="0" borderId="3" xfId="15" applyBorder="1" applyAlignment="1">
      <alignment horizontal="center" vertical="center"/>
    </xf>
    <xf numFmtId="0" fontId="32" fillId="0" borderId="1" xfId="35" applyBorder="1" applyAlignment="1">
      <alignment horizontal="center" vertical="center" wrapText="1"/>
    </xf>
    <xf numFmtId="0" fontId="19" fillId="14" borderId="0" xfId="38">
      <alignment horizontal="left" vertical="center"/>
    </xf>
    <xf numFmtId="0" fontId="33" fillId="0" borderId="0" xfId="34">
      <alignment horizontal="left" vertical="center"/>
    </xf>
    <xf numFmtId="178" fontId="28" fillId="12" borderId="4" xfId="18" applyNumberFormat="1" applyAlignment="1">
      <alignment horizontal="center" vertical="center"/>
      <protection locked="0"/>
    </xf>
    <xf numFmtId="0" fontId="28" fillId="12" borderId="25" xfId="8" applyBorder="1" applyAlignment="1">
      <alignment horizontal="center" vertical="center"/>
      <protection locked="0"/>
    </xf>
    <xf numFmtId="0" fontId="28" fillId="12" borderId="26" xfId="8" applyBorder="1" applyAlignment="1">
      <alignment horizontal="center" vertical="center"/>
      <protection locked="0"/>
    </xf>
    <xf numFmtId="0" fontId="28" fillId="12" borderId="27" xfId="8" applyBorder="1" applyAlignment="1">
      <alignment horizontal="center" vertical="center"/>
      <protection locked="0"/>
    </xf>
    <xf numFmtId="0" fontId="28" fillId="12" borderId="28" xfId="8" applyBorder="1" applyAlignment="1">
      <alignment horizontal="center" vertical="center"/>
      <protection locked="0"/>
    </xf>
    <xf numFmtId="0" fontId="28" fillId="12" borderId="29" xfId="8" applyBorder="1" applyAlignment="1">
      <alignment horizontal="center" vertical="center"/>
      <protection locked="0"/>
    </xf>
    <xf numFmtId="0" fontId="28" fillId="12" borderId="30" xfId="8" applyBorder="1" applyAlignment="1">
      <alignment horizontal="center" vertical="center"/>
      <protection locked="0"/>
    </xf>
    <xf numFmtId="0" fontId="28" fillId="12" borderId="31" xfId="8" applyBorder="1" applyAlignment="1">
      <alignment horizontal="center" vertical="center"/>
      <protection locked="0"/>
    </xf>
    <xf numFmtId="0" fontId="28" fillId="12" borderId="32" xfId="8" applyBorder="1" applyAlignment="1">
      <alignment horizontal="center" vertical="center"/>
      <protection locked="0"/>
    </xf>
    <xf numFmtId="0" fontId="0" fillId="0" borderId="19" xfId="0" applyBorder="1" applyAlignment="1">
      <alignment vertical="center"/>
    </xf>
    <xf numFmtId="0" fontId="50" fillId="0" borderId="19" xfId="0" applyFont="1" applyBorder="1" applyAlignment="1">
      <alignment horizontal="center" vertical="center"/>
    </xf>
    <xf numFmtId="0" fontId="51" fillId="0" borderId="20" xfId="0" applyFont="1" applyBorder="1" applyAlignment="1">
      <alignment horizontal="right" vertical="top"/>
    </xf>
    <xf numFmtId="0" fontId="0" fillId="0" borderId="21" xfId="0" applyBorder="1" applyAlignment="1">
      <alignment vertical="center"/>
    </xf>
    <xf numFmtId="0" fontId="55" fillId="0" borderId="55" xfId="0" applyFont="1" applyBorder="1" applyAlignment="1">
      <alignment horizontal="center" vertical="center"/>
    </xf>
    <xf numFmtId="0" fontId="55" fillId="0" borderId="15" xfId="0" applyFont="1" applyBorder="1" applyAlignment="1">
      <alignment horizontal="center" vertical="center"/>
    </xf>
    <xf numFmtId="0" fontId="55" fillId="0" borderId="16" xfId="0" applyFont="1" applyBorder="1" applyAlignment="1">
      <alignment horizontal="center" vertical="center"/>
    </xf>
    <xf numFmtId="0" fontId="55" fillId="0" borderId="59" xfId="0" applyFont="1" applyBorder="1" applyAlignment="1">
      <alignment horizontal="center" vertical="center"/>
    </xf>
    <xf numFmtId="0" fontId="55" fillId="0" borderId="12" xfId="0" applyFont="1" applyBorder="1" applyAlignment="1">
      <alignment horizontal="center" vertical="center"/>
    </xf>
    <xf numFmtId="0" fontId="55" fillId="0" borderId="11" xfId="0" applyFont="1" applyBorder="1" applyAlignment="1">
      <alignment horizontal="center" vertical="center"/>
    </xf>
    <xf numFmtId="0" fontId="55" fillId="0" borderId="58" xfId="0" applyFont="1" applyBorder="1" applyAlignment="1">
      <alignment horizontal="center" vertical="center"/>
    </xf>
    <xf numFmtId="0" fontId="55" fillId="0" borderId="17" xfId="0" applyFont="1" applyBorder="1" applyAlignment="1">
      <alignment horizontal="center" vertical="center"/>
    </xf>
    <xf numFmtId="0" fontId="55" fillId="0" borderId="13" xfId="0" applyFont="1" applyBorder="1" applyAlignment="1">
      <alignment horizontal="center" vertical="center"/>
    </xf>
    <xf numFmtId="0" fontId="55" fillId="0" borderId="60" xfId="0" applyFont="1" applyBorder="1" applyAlignment="1">
      <alignment horizontal="center" vertical="center"/>
    </xf>
    <xf numFmtId="0" fontId="57" fillId="0" borderId="61" xfId="0" applyFont="1" applyBorder="1" applyAlignment="1">
      <alignment vertical="center"/>
    </xf>
    <xf numFmtId="0" fontId="53" fillId="19" borderId="15" xfId="0" applyFont="1" applyFill="1" applyBorder="1" applyAlignment="1">
      <alignment vertical="center"/>
    </xf>
    <xf numFmtId="0" fontId="53" fillId="19" borderId="16" xfId="0" applyFont="1" applyFill="1" applyBorder="1" applyAlignment="1">
      <alignment vertical="center"/>
    </xf>
    <xf numFmtId="0" fontId="53" fillId="19" borderId="3" xfId="0" applyFont="1" applyFill="1" applyBorder="1" applyAlignment="1">
      <alignment vertical="center"/>
    </xf>
    <xf numFmtId="0" fontId="53" fillId="19" borderId="59" xfId="0" applyFont="1" applyFill="1" applyBorder="1" applyAlignment="1">
      <alignment vertical="center"/>
    </xf>
    <xf numFmtId="0" fontId="53" fillId="19" borderId="0" xfId="0" applyFont="1" applyFill="1" applyBorder="1" applyAlignment="1">
      <alignment vertical="center"/>
    </xf>
    <xf numFmtId="0" fontId="53" fillId="19" borderId="58" xfId="0" applyFont="1" applyFill="1" applyBorder="1" applyAlignment="1">
      <alignment vertical="center"/>
    </xf>
    <xf numFmtId="0" fontId="53" fillId="19" borderId="2" xfId="0" applyFont="1" applyFill="1" applyBorder="1" applyAlignment="1">
      <alignment vertical="center"/>
    </xf>
    <xf numFmtId="0" fontId="58" fillId="0" borderId="0" xfId="0" applyFont="1" applyAlignment="1">
      <alignment vertical="center" wrapText="1"/>
    </xf>
    <xf numFmtId="0" fontId="0" fillId="0" borderId="0" xfId="0" applyAlignment="1">
      <alignment vertical="center" wrapText="1"/>
    </xf>
    <xf numFmtId="0" fontId="53" fillId="21" borderId="0" xfId="0" applyFont="1" applyFill="1" applyBorder="1" applyAlignment="1">
      <alignment horizontal="right" vertical="center"/>
    </xf>
    <xf numFmtId="0" fontId="53" fillId="21" borderId="0" xfId="0" applyFont="1" applyFill="1" applyBorder="1" applyAlignment="1">
      <alignment vertical="center"/>
    </xf>
    <xf numFmtId="181" fontId="53" fillId="22" borderId="0" xfId="47" applyNumberFormat="1" applyFont="1" applyFill="1" applyBorder="1" applyAlignment="1">
      <alignment vertical="center"/>
    </xf>
    <xf numFmtId="0" fontId="50" fillId="21" borderId="18" xfId="0" applyFont="1" applyFill="1" applyBorder="1" applyAlignment="1">
      <alignment vertical="top"/>
    </xf>
    <xf numFmtId="0" fontId="0" fillId="21" borderId="19" xfId="0" applyFill="1" applyBorder="1" applyAlignment="1">
      <alignment vertical="top"/>
    </xf>
    <xf numFmtId="0" fontId="50" fillId="21" borderId="19" xfId="0" applyFont="1" applyFill="1" applyBorder="1" applyAlignment="1">
      <alignment horizontal="center" vertical="top"/>
    </xf>
    <xf numFmtId="0" fontId="57" fillId="0" borderId="18" xfId="0" applyFont="1" applyBorder="1" applyAlignment="1">
      <alignment vertical="center"/>
    </xf>
    <xf numFmtId="0" fontId="53" fillId="0" borderId="19" xfId="0" applyFont="1" applyBorder="1" applyAlignment="1">
      <alignment vertical="center"/>
    </xf>
    <xf numFmtId="0" fontId="57" fillId="0" borderId="19" xfId="0" applyFont="1" applyBorder="1" applyAlignment="1">
      <alignment vertical="center"/>
    </xf>
    <xf numFmtId="0" fontId="53" fillId="0" borderId="18" xfId="0" applyFont="1" applyFill="1" applyBorder="1" applyAlignment="1">
      <alignment vertical="center"/>
    </xf>
    <xf numFmtId="4" fontId="53" fillId="20" borderId="64" xfId="0" applyNumberFormat="1" applyFont="1" applyFill="1" applyBorder="1" applyAlignment="1">
      <alignment vertical="center"/>
    </xf>
    <xf numFmtId="0" fontId="53" fillId="0" borderId="21" xfId="0" applyFont="1" applyFill="1" applyBorder="1" applyAlignment="1">
      <alignment vertical="center"/>
    </xf>
    <xf numFmtId="0" fontId="0" fillId="0" borderId="0" xfId="0" applyBorder="1" applyAlignment="1">
      <alignment vertical="center"/>
    </xf>
    <xf numFmtId="0" fontId="53" fillId="0" borderId="0" xfId="0" applyFont="1" applyBorder="1" applyAlignment="1">
      <alignment vertical="center"/>
    </xf>
    <xf numFmtId="4" fontId="53" fillId="20" borderId="65" xfId="0" applyNumberFormat="1" applyFont="1" applyFill="1" applyBorder="1" applyAlignment="1">
      <alignment vertical="center"/>
    </xf>
    <xf numFmtId="0" fontId="53" fillId="0" borderId="22" xfId="0" applyFont="1" applyFill="1" applyBorder="1" applyAlignment="1">
      <alignment vertical="center"/>
    </xf>
    <xf numFmtId="0" fontId="0" fillId="0" borderId="23" xfId="0" applyBorder="1" applyAlignment="1">
      <alignment vertical="center"/>
    </xf>
    <xf numFmtId="0" fontId="53" fillId="0" borderId="23" xfId="0" applyFont="1" applyBorder="1" applyAlignment="1">
      <alignment vertical="center"/>
    </xf>
    <xf numFmtId="182" fontId="53" fillId="20" borderId="67" xfId="0" applyNumberFormat="1" applyFont="1" applyFill="1" applyBorder="1" applyAlignment="1">
      <alignment vertical="center"/>
    </xf>
    <xf numFmtId="182" fontId="53" fillId="20" borderId="66" xfId="0" applyNumberFormat="1" applyFont="1" applyFill="1" applyBorder="1" applyAlignment="1">
      <alignment vertical="center"/>
    </xf>
    <xf numFmtId="0" fontId="27" fillId="0" borderId="0" xfId="32">
      <alignment horizontal="left" vertical="center"/>
    </xf>
    <xf numFmtId="0" fontId="32" fillId="0" borderId="2" xfId="35" applyBorder="1" applyAlignment="1">
      <alignment horizontal="center" vertical="center" wrapText="1"/>
    </xf>
    <xf numFmtId="169" fontId="29" fillId="0" borderId="16" xfId="13" applyNumberFormat="1" applyBorder="1" applyAlignment="1">
      <alignment horizontal="center" vertical="center"/>
    </xf>
    <xf numFmtId="0" fontId="33" fillId="0" borderId="17" xfId="34" applyBorder="1">
      <alignment horizontal="left" vertical="center"/>
    </xf>
    <xf numFmtId="169" fontId="29" fillId="0" borderId="13" xfId="13" applyNumberFormat="1" applyBorder="1" applyAlignment="1">
      <alignment horizontal="center" vertical="center"/>
    </xf>
    <xf numFmtId="167" fontId="29" fillId="0" borderId="2" xfId="15" applyBorder="1" applyAlignment="1">
      <alignment horizontal="center" vertical="center"/>
    </xf>
    <xf numFmtId="169" fontId="32" fillId="0" borderId="13" xfId="13" applyNumberFormat="1" applyFont="1" applyBorder="1" applyAlignment="1">
      <alignment horizontal="center" vertical="center"/>
    </xf>
    <xf numFmtId="0" fontId="32" fillId="0" borderId="17" xfId="35" applyBorder="1">
      <alignment horizontal="left" vertical="center"/>
    </xf>
    <xf numFmtId="169" fontId="32" fillId="0" borderId="34" xfId="13" applyNumberFormat="1" applyFont="1" applyBorder="1" applyAlignment="1">
      <alignment horizontal="center" vertical="center"/>
    </xf>
    <xf numFmtId="169" fontId="32" fillId="0" borderId="35" xfId="13" applyNumberFormat="1" applyFont="1" applyBorder="1" applyAlignment="1">
      <alignment horizontal="center" vertical="center"/>
    </xf>
    <xf numFmtId="169" fontId="32" fillId="0" borderId="36" xfId="13" applyNumberFormat="1" applyFont="1" applyBorder="1" applyAlignment="1">
      <alignment horizontal="center" vertical="center"/>
    </xf>
    <xf numFmtId="0" fontId="33" fillId="0" borderId="12" xfId="34" applyBorder="1" applyAlignment="1">
      <alignment horizontal="center" vertical="center"/>
    </xf>
    <xf numFmtId="183" fontId="29" fillId="0" borderId="0" xfId="39" applyNumberFormat="1" applyAlignment="1">
      <alignment horizontal="center" vertical="center"/>
    </xf>
    <xf numFmtId="165" fontId="28" fillId="12" borderId="4" xfId="14" applyNumberFormat="1" applyAlignment="1">
      <alignment horizontal="center" vertical="center"/>
      <protection locked="0"/>
    </xf>
    <xf numFmtId="165" fontId="28" fillId="12" borderId="33" xfId="14" applyNumberFormat="1" applyBorder="1" applyAlignment="1">
      <alignment horizontal="center" vertical="center"/>
      <protection locked="0"/>
    </xf>
    <xf numFmtId="165" fontId="32" fillId="0" borderId="3" xfId="13" applyNumberFormat="1" applyFont="1" applyBorder="1" applyAlignment="1">
      <alignment horizontal="center" vertical="center"/>
    </xf>
    <xf numFmtId="0" fontId="29" fillId="0" borderId="3" xfId="37" applyBorder="1" applyAlignment="1">
      <alignment horizontal="center" vertical="center"/>
    </xf>
    <xf numFmtId="169" fontId="29" fillId="0" borderId="14" xfId="13" applyNumberFormat="1" applyBorder="1" applyAlignment="1">
      <alignment horizontal="center" vertical="center"/>
    </xf>
    <xf numFmtId="0" fontId="0" fillId="0" borderId="0" xfId="0" quotePrefix="1"/>
    <xf numFmtId="176" fontId="29" fillId="0" borderId="0" xfId="15" applyNumberFormat="1" applyFill="1" applyAlignment="1">
      <alignment horizontal="center" vertical="center"/>
    </xf>
    <xf numFmtId="0" fontId="32" fillId="0" borderId="1" xfId="35" applyBorder="1" applyAlignment="1">
      <alignment horizontal="center" vertical="center"/>
    </xf>
    <xf numFmtId="169" fontId="29" fillId="0" borderId="34" xfId="13" applyNumberFormat="1" applyFill="1" applyBorder="1" applyAlignment="1">
      <alignment horizontal="center" vertical="center"/>
    </xf>
    <xf numFmtId="169" fontId="29" fillId="0" borderId="35" xfId="13" applyNumberFormat="1" applyFill="1" applyBorder="1" applyAlignment="1">
      <alignment horizontal="center" vertical="center"/>
    </xf>
    <xf numFmtId="169" fontId="29" fillId="0" borderId="36" xfId="13" applyNumberFormat="1" applyFill="1" applyBorder="1" applyAlignment="1">
      <alignment horizontal="center" vertical="center"/>
    </xf>
    <xf numFmtId="0" fontId="0" fillId="0" borderId="0" xfId="0" applyFill="1"/>
    <xf numFmtId="0" fontId="29" fillId="0" borderId="17" xfId="37" applyFill="1" applyBorder="1">
      <alignment vertical="center"/>
    </xf>
    <xf numFmtId="0" fontId="0" fillId="0" borderId="2" xfId="0" applyFill="1" applyBorder="1"/>
    <xf numFmtId="0" fontId="19" fillId="14" borderId="0" xfId="38">
      <alignment horizontal="left" vertical="center"/>
    </xf>
    <xf numFmtId="0" fontId="33" fillId="0" borderId="0" xfId="34">
      <alignment horizontal="left" vertical="center"/>
    </xf>
    <xf numFmtId="169" fontId="29" fillId="0" borderId="71" xfId="13" applyNumberFormat="1" applyBorder="1" applyAlignment="1">
      <alignment horizontal="center" vertical="center"/>
    </xf>
    <xf numFmtId="0" fontId="28" fillId="12" borderId="40" xfId="8" applyBorder="1" applyAlignment="1">
      <alignment horizontal="center" vertical="center"/>
      <protection locked="0"/>
    </xf>
    <xf numFmtId="0" fontId="53" fillId="19" borderId="35" xfId="0" applyFont="1" applyFill="1" applyBorder="1" applyAlignment="1">
      <alignment vertical="center"/>
    </xf>
    <xf numFmtId="179" fontId="53" fillId="20" borderId="0" xfId="0" applyNumberFormat="1" applyFont="1" applyFill="1" applyBorder="1" applyAlignment="1">
      <alignment vertical="center"/>
    </xf>
    <xf numFmtId="0" fontId="57" fillId="0" borderId="72" xfId="0" applyFont="1" applyBorder="1" applyAlignment="1">
      <alignment vertical="center"/>
    </xf>
    <xf numFmtId="0" fontId="57" fillId="0" borderId="62" xfId="0" applyFont="1" applyBorder="1" applyAlignment="1">
      <alignment vertical="center"/>
    </xf>
    <xf numFmtId="181" fontId="53" fillId="20" borderId="73" xfId="47" applyNumberFormat="1" applyFont="1" applyFill="1" applyBorder="1" applyAlignment="1">
      <alignment vertical="center"/>
    </xf>
    <xf numFmtId="180" fontId="53" fillId="20" borderId="34" xfId="0" applyNumberFormat="1" applyFont="1" applyFill="1" applyBorder="1" applyAlignment="1">
      <alignment vertical="center"/>
    </xf>
    <xf numFmtId="180" fontId="53" fillId="20" borderId="36" xfId="0" applyNumberFormat="1" applyFont="1" applyFill="1" applyBorder="1" applyAlignment="1">
      <alignment vertical="center"/>
    </xf>
    <xf numFmtId="0" fontId="55" fillId="0" borderId="12" xfId="0" applyFont="1" applyBorder="1" applyAlignment="1">
      <alignment horizontal="center"/>
    </xf>
    <xf numFmtId="0" fontId="55" fillId="0" borderId="11" xfId="0" applyFont="1" applyBorder="1" applyAlignment="1">
      <alignment horizontal="center"/>
    </xf>
    <xf numFmtId="0" fontId="55" fillId="0" borderId="58" xfId="0" applyFont="1" applyBorder="1" applyAlignment="1">
      <alignment horizontal="center"/>
    </xf>
    <xf numFmtId="4" fontId="53" fillId="20" borderId="74" xfId="0" applyNumberFormat="1" applyFont="1" applyFill="1" applyBorder="1" applyAlignment="1">
      <alignment vertical="center"/>
    </xf>
    <xf numFmtId="182" fontId="53" fillId="20" borderId="74" xfId="0" applyNumberFormat="1" applyFont="1" applyFill="1" applyBorder="1" applyAlignment="1">
      <alignment vertical="center"/>
    </xf>
    <xf numFmtId="0" fontId="53" fillId="19" borderId="1" xfId="0" applyFont="1" applyFill="1" applyBorder="1" applyAlignment="1">
      <alignment vertical="center"/>
    </xf>
    <xf numFmtId="0" fontId="57" fillId="0" borderId="68" xfId="0" applyFont="1" applyBorder="1" applyAlignment="1">
      <alignment vertical="center"/>
    </xf>
    <xf numFmtId="0" fontId="0" fillId="0" borderId="69" xfId="0" applyBorder="1" applyAlignment="1">
      <alignment vertical="center"/>
    </xf>
    <xf numFmtId="0" fontId="53" fillId="0" borderId="69" xfId="0" applyFont="1" applyBorder="1" applyAlignment="1">
      <alignment vertical="center"/>
    </xf>
    <xf numFmtId="0" fontId="55" fillId="19" borderId="70" xfId="0" applyFont="1" applyFill="1" applyBorder="1" applyAlignment="1">
      <alignment horizontal="center" vertical="center"/>
    </xf>
    <xf numFmtId="182" fontId="53" fillId="20" borderId="65" xfId="0" applyNumberFormat="1" applyFont="1" applyFill="1" applyBorder="1" applyAlignment="1">
      <alignment vertical="center"/>
    </xf>
    <xf numFmtId="0" fontId="57" fillId="0" borderId="68" xfId="0" applyFont="1" applyFill="1" applyBorder="1" applyAlignment="1">
      <alignment vertical="center"/>
    </xf>
    <xf numFmtId="0" fontId="55" fillId="0" borderId="75" xfId="0" applyFont="1" applyBorder="1" applyAlignment="1">
      <alignment horizontal="center" vertical="center"/>
    </xf>
    <xf numFmtId="181" fontId="53" fillId="20" borderId="73" xfId="47" applyNumberFormat="1" applyFont="1" applyFill="1" applyBorder="1" applyAlignment="1"/>
    <xf numFmtId="169" fontId="28" fillId="12" borderId="52" xfId="14" applyNumberFormat="1" applyBorder="1" applyAlignment="1">
      <alignment horizontal="center" vertical="center"/>
      <protection locked="0"/>
    </xf>
    <xf numFmtId="169" fontId="0" fillId="0" borderId="0" xfId="0" applyNumberFormat="1"/>
    <xf numFmtId="9" fontId="0" fillId="0" borderId="0" xfId="52" applyFont="1"/>
    <xf numFmtId="0" fontId="38" fillId="0" borderId="0" xfId="0" applyFont="1"/>
    <xf numFmtId="202" fontId="0" fillId="0" borderId="0" xfId="0" applyNumberFormat="1"/>
    <xf numFmtId="171" fontId="28" fillId="12" borderId="28" xfId="14" applyNumberFormat="1" applyBorder="1" applyAlignment="1">
      <alignment horizontal="center" vertical="center"/>
      <protection locked="0"/>
    </xf>
    <xf numFmtId="0" fontId="55" fillId="0" borderId="15" xfId="0" applyFont="1" applyBorder="1" applyAlignment="1">
      <alignment horizontal="center"/>
    </xf>
    <xf numFmtId="0" fontId="55" fillId="0" borderId="16" xfId="0" applyFont="1" applyBorder="1" applyAlignment="1">
      <alignment horizontal="center"/>
    </xf>
    <xf numFmtId="0" fontId="55" fillId="0" borderId="59" xfId="0" applyFont="1" applyBorder="1" applyAlignment="1">
      <alignment horizontal="center"/>
    </xf>
    <xf numFmtId="0" fontId="28" fillId="0" borderId="3" xfId="36" applyFill="1" applyBorder="1" applyAlignment="1">
      <alignment horizontal="center" vertical="center"/>
    </xf>
    <xf numFmtId="0" fontId="0" fillId="19" borderId="0" xfId="0" applyFill="1"/>
    <xf numFmtId="0" fontId="29" fillId="0" borderId="12" xfId="37" applyFill="1" applyBorder="1">
      <alignment vertical="center"/>
    </xf>
    <xf numFmtId="10" fontId="0" fillId="0" borderId="0" xfId="52" applyNumberFormat="1" applyFont="1" applyFill="1"/>
    <xf numFmtId="9" fontId="0" fillId="0" borderId="0" xfId="0" applyNumberFormat="1" applyFill="1"/>
    <xf numFmtId="9" fontId="0" fillId="0" borderId="0" xfId="52" applyFont="1" applyFill="1"/>
    <xf numFmtId="0" fontId="29" fillId="0" borderId="15" xfId="37" applyFill="1" applyBorder="1">
      <alignment vertical="center"/>
    </xf>
    <xf numFmtId="0" fontId="0" fillId="0" borderId="13" xfId="0" applyFill="1" applyBorder="1"/>
    <xf numFmtId="0" fontId="28" fillId="0" borderId="17" xfId="36" applyFill="1" applyBorder="1">
      <alignment horizontal="left" vertical="center"/>
    </xf>
    <xf numFmtId="0" fontId="38" fillId="0" borderId="0" xfId="0" applyFont="1" applyAlignment="1">
      <alignment horizontal="center"/>
    </xf>
    <xf numFmtId="9" fontId="0" fillId="0" borderId="0" xfId="52" applyFont="1" applyAlignment="1">
      <alignment horizontal="center"/>
    </xf>
    <xf numFmtId="171" fontId="28" fillId="87" borderId="26" xfId="14" applyNumberFormat="1" applyFill="1" applyBorder="1" applyAlignment="1">
      <alignment horizontal="center" vertical="center"/>
      <protection locked="0"/>
    </xf>
    <xf numFmtId="171" fontId="28" fillId="87" borderId="4" xfId="14" applyNumberFormat="1" applyFill="1" applyBorder="1" applyAlignment="1">
      <alignment horizontal="center" vertical="center"/>
      <protection locked="0"/>
    </xf>
    <xf numFmtId="171" fontId="28" fillId="81" borderId="4" xfId="14" applyNumberFormat="1" applyFill="1" applyBorder="1" applyAlignment="1">
      <alignment horizontal="center" vertical="center"/>
      <protection locked="0"/>
    </xf>
    <xf numFmtId="171" fontId="28" fillId="81" borderId="29" xfId="14" applyNumberFormat="1" applyFill="1" applyBorder="1" applyAlignment="1">
      <alignment horizontal="center" vertical="center"/>
      <protection locked="0"/>
    </xf>
    <xf numFmtId="169" fontId="29" fillId="0" borderId="98" xfId="13" applyNumberFormat="1" applyBorder="1" applyAlignment="1">
      <alignment horizontal="center" vertical="center"/>
    </xf>
    <xf numFmtId="175" fontId="29" fillId="0" borderId="99" xfId="15" applyNumberFormat="1" applyFill="1" applyBorder="1" applyAlignment="1">
      <alignment horizontal="center" vertical="center"/>
    </xf>
    <xf numFmtId="169" fontId="29" fillId="0" borderId="104" xfId="13" applyNumberFormat="1" applyFill="1" applyBorder="1" applyAlignment="1">
      <alignment horizontal="center" vertical="center"/>
    </xf>
    <xf numFmtId="0" fontId="33" fillId="0" borderId="0" xfId="34" applyAlignment="1">
      <alignment horizontal="center" vertical="center" wrapText="1"/>
    </xf>
    <xf numFmtId="0" fontId="28" fillId="0" borderId="0" xfId="0" applyFont="1"/>
    <xf numFmtId="0" fontId="55" fillId="0" borderId="57" xfId="0" applyFont="1" applyBorder="1" applyAlignment="1">
      <alignment horizontal="center" vertical="center" wrapText="1"/>
    </xf>
    <xf numFmtId="0" fontId="55" fillId="0" borderId="56" xfId="0" applyFont="1" applyBorder="1" applyAlignment="1">
      <alignment horizontal="center" vertical="center" wrapText="1"/>
    </xf>
    <xf numFmtId="0" fontId="49" fillId="0" borderId="93" xfId="0" applyFont="1" applyBorder="1" applyAlignment="1">
      <alignment vertical="top"/>
    </xf>
    <xf numFmtId="0" fontId="0" fillId="0" borderId="94" xfId="0" applyBorder="1" applyAlignment="1">
      <alignment vertical="center"/>
    </xf>
    <xf numFmtId="0" fontId="0" fillId="0" borderId="94" xfId="0" applyBorder="1"/>
    <xf numFmtId="0" fontId="53" fillId="19" borderId="55" xfId="0" applyFont="1" applyFill="1" applyBorder="1" applyAlignment="1">
      <alignment vertical="center"/>
    </xf>
    <xf numFmtId="0" fontId="53" fillId="19" borderId="57" xfId="0" applyFont="1" applyFill="1" applyBorder="1" applyAlignment="1">
      <alignment vertical="center"/>
    </xf>
    <xf numFmtId="0" fontId="55" fillId="0" borderId="55" xfId="0" applyFont="1" applyBorder="1" applyAlignment="1">
      <alignment horizontal="center"/>
    </xf>
    <xf numFmtId="0" fontId="55" fillId="0" borderId="57" xfId="0" applyFont="1" applyBorder="1" applyAlignment="1">
      <alignment horizontal="center" vertical="center"/>
    </xf>
    <xf numFmtId="181" fontId="53" fillId="20" borderId="36" xfId="47" applyNumberFormat="1" applyFont="1" applyFill="1" applyBorder="1" applyAlignment="1">
      <alignment vertical="center"/>
    </xf>
    <xf numFmtId="181" fontId="53" fillId="20" borderId="60" xfId="47" applyNumberFormat="1" applyFont="1" applyFill="1" applyBorder="1" applyAlignment="1">
      <alignment vertical="center"/>
    </xf>
    <xf numFmtId="0" fontId="53" fillId="19" borderId="65" xfId="0" applyFont="1" applyFill="1" applyBorder="1" applyAlignment="1">
      <alignment vertical="center"/>
    </xf>
    <xf numFmtId="181" fontId="53" fillId="20" borderId="36" xfId="47" applyNumberFormat="1" applyFont="1" applyFill="1" applyBorder="1" applyAlignment="1"/>
    <xf numFmtId="0" fontId="57" fillId="0" borderId="111" xfId="0" applyFont="1" applyBorder="1" applyAlignment="1">
      <alignment vertical="center"/>
    </xf>
    <xf numFmtId="0" fontId="53" fillId="19" borderId="66" xfId="0" applyFont="1" applyFill="1" applyBorder="1" applyAlignment="1">
      <alignment vertical="center"/>
    </xf>
    <xf numFmtId="0" fontId="31" fillId="15" borderId="0" xfId="20" applyFill="1">
      <alignment horizontal="left" vertical="center"/>
    </xf>
    <xf numFmtId="0" fontId="22" fillId="15" borderId="0" xfId="37" applyFont="1" applyFill="1" applyAlignment="1">
      <alignment vertical="center"/>
    </xf>
    <xf numFmtId="0" fontId="32" fillId="15" borderId="0" xfId="35" applyFill="1" applyAlignment="1">
      <alignment horizontal="left" vertical="center"/>
    </xf>
    <xf numFmtId="0" fontId="27" fillId="15" borderId="0" xfId="32" applyFill="1">
      <alignment horizontal="left" vertical="center"/>
    </xf>
    <xf numFmtId="0" fontId="28" fillId="0" borderId="0" xfId="36" applyAlignment="1">
      <alignment horizontal="left" vertical="center" wrapText="1"/>
    </xf>
    <xf numFmtId="175" fontId="28" fillId="0" borderId="4" xfId="16" applyNumberFormat="1" applyFill="1" applyAlignment="1">
      <alignment horizontal="center" vertical="center"/>
      <protection locked="0"/>
    </xf>
    <xf numFmtId="0" fontId="0" fillId="0" borderId="100" xfId="0" applyFill="1" applyBorder="1"/>
    <xf numFmtId="0" fontId="33" fillId="0" borderId="101" xfId="34" applyFill="1" applyBorder="1">
      <alignment horizontal="left" vertical="center"/>
    </xf>
    <xf numFmtId="0" fontId="0" fillId="0" borderId="101" xfId="0" applyFill="1" applyBorder="1"/>
    <xf numFmtId="0" fontId="32" fillId="0" borderId="101" xfId="35" applyFill="1" applyBorder="1" applyAlignment="1">
      <alignment horizontal="center" vertical="center"/>
    </xf>
    <xf numFmtId="0" fontId="32" fillId="0" borderId="102" xfId="35" applyFill="1" applyBorder="1" applyAlignment="1">
      <alignment horizontal="center" vertical="center"/>
    </xf>
    <xf numFmtId="0" fontId="0" fillId="0" borderId="103" xfId="0" applyFill="1" applyBorder="1"/>
    <xf numFmtId="0" fontId="32" fillId="0" borderId="0" xfId="35" applyFill="1" applyBorder="1" applyAlignment="1">
      <alignment horizontal="center" vertical="center"/>
    </xf>
    <xf numFmtId="0" fontId="32" fillId="0" borderId="104" xfId="35" applyFill="1" applyBorder="1" applyAlignment="1">
      <alignment horizontal="center" vertical="center"/>
    </xf>
    <xf numFmtId="169" fontId="29" fillId="0" borderId="105" xfId="13" applyNumberFormat="1" applyFill="1" applyBorder="1" applyAlignment="1">
      <alignment horizontal="center" vertical="center"/>
    </xf>
    <xf numFmtId="0" fontId="0" fillId="0" borderId="104" xfId="0" applyFill="1" applyBorder="1"/>
    <xf numFmtId="0" fontId="0" fillId="0" borderId="106" xfId="0" applyFill="1" applyBorder="1"/>
    <xf numFmtId="0" fontId="28" fillId="0" borderId="107" xfId="36" applyFill="1" applyBorder="1">
      <alignment horizontal="left" vertical="center"/>
    </xf>
    <xf numFmtId="0" fontId="0" fillId="0" borderId="107" xfId="0" applyFill="1" applyBorder="1"/>
    <xf numFmtId="0" fontId="28" fillId="0" borderId="107" xfId="36" applyFill="1" applyBorder="1" applyAlignment="1">
      <alignment horizontal="center" vertical="center"/>
    </xf>
    <xf numFmtId="0" fontId="29" fillId="0" borderId="107" xfId="37" applyFill="1" applyBorder="1" applyAlignment="1">
      <alignment horizontal="center" vertical="center"/>
    </xf>
    <xf numFmtId="0" fontId="29" fillId="0" borderId="108" xfId="37" applyFill="1" applyBorder="1" applyAlignment="1">
      <alignment horizontal="center" vertical="center"/>
    </xf>
    <xf numFmtId="0" fontId="153" fillId="0" borderId="0" xfId="815">
      <alignment horizontal="left" vertical="center"/>
    </xf>
    <xf numFmtId="0" fontId="26" fillId="0" borderId="0" xfId="816" applyFont="1"/>
    <xf numFmtId="0" fontId="22" fillId="0" borderId="0" xfId="817" applyFont="1" applyFill="1">
      <alignment vertical="center"/>
    </xf>
    <xf numFmtId="0" fontId="155" fillId="0" borderId="0" xfId="818" applyFill="1">
      <alignment horizontal="left" vertical="center"/>
    </xf>
    <xf numFmtId="0" fontId="156" fillId="0" borderId="0" xfId="819" applyFill="1">
      <alignment horizontal="left" vertical="center"/>
    </xf>
    <xf numFmtId="0" fontId="25" fillId="0" borderId="0" xfId="820" applyFont="1" applyFill="1">
      <alignment horizontal="left" vertical="center"/>
    </xf>
    <xf numFmtId="0" fontId="157" fillId="11" borderId="0" xfId="820">
      <alignment horizontal="left" vertical="center"/>
    </xf>
    <xf numFmtId="0" fontId="26" fillId="0" borderId="0" xfId="816" applyFont="1" applyFill="1"/>
    <xf numFmtId="0" fontId="158" fillId="88" borderId="0" xfId="821">
      <alignment horizontal="left" vertical="center"/>
    </xf>
    <xf numFmtId="0" fontId="155" fillId="0" borderId="0" xfId="818" applyFill="1" applyAlignment="1">
      <alignment horizontal="left" vertical="top"/>
    </xf>
    <xf numFmtId="0" fontId="27" fillId="0" borderId="0" xfId="32" applyFill="1">
      <alignment horizontal="left" vertical="center"/>
    </xf>
    <xf numFmtId="0" fontId="28" fillId="15" borderId="0" xfId="36" applyFill="1">
      <alignment horizontal="left" vertical="center"/>
    </xf>
    <xf numFmtId="0" fontId="159" fillId="15" borderId="0" xfId="0" applyFont="1" applyFill="1"/>
    <xf numFmtId="0" fontId="63" fillId="15" borderId="0" xfId="51" applyFont="1" applyFill="1"/>
    <xf numFmtId="0" fontId="63" fillId="15" borderId="0" xfId="51" applyFont="1" applyFill="1" applyAlignment="1">
      <alignment horizontal="center"/>
    </xf>
    <xf numFmtId="0" fontId="63" fillId="15" borderId="2" xfId="51" applyFont="1" applyFill="1" applyBorder="1"/>
    <xf numFmtId="0" fontId="0" fillId="15" borderId="2" xfId="0" applyFill="1" applyBorder="1"/>
    <xf numFmtId="0" fontId="27" fillId="15" borderId="2" xfId="32" applyFill="1" applyBorder="1">
      <alignment horizontal="left" vertical="center"/>
    </xf>
    <xf numFmtId="0" fontId="63" fillId="15" borderId="2" xfId="51" applyFont="1" applyFill="1" applyBorder="1" applyAlignment="1">
      <alignment horizontal="center"/>
    </xf>
    <xf numFmtId="0" fontId="160" fillId="0" borderId="0" xfId="816" applyFont="1" applyFill="1" applyAlignment="1">
      <alignment vertical="top" wrapText="1"/>
    </xf>
    <xf numFmtId="0" fontId="155" fillId="15" borderId="0" xfId="818" applyFill="1" applyAlignment="1">
      <alignment horizontal="left" vertical="top"/>
    </xf>
    <xf numFmtId="0" fontId="33" fillId="0" borderId="0" xfId="34">
      <alignment horizontal="left" vertical="center"/>
    </xf>
    <xf numFmtId="0" fontId="33" fillId="0" borderId="0" xfId="34" applyAlignment="1">
      <alignment horizontal="center" vertical="center" wrapText="1"/>
    </xf>
    <xf numFmtId="0" fontId="28" fillId="0" borderId="110" xfId="36" applyFill="1" applyBorder="1">
      <alignment horizontal="left" vertical="center"/>
    </xf>
    <xf numFmtId="0" fontId="0" fillId="0" borderId="110" xfId="0" applyFill="1" applyBorder="1"/>
    <xf numFmtId="0" fontId="28" fillId="0" borderId="110" xfId="36" applyFill="1" applyBorder="1" applyAlignment="1">
      <alignment horizontal="center" vertical="center"/>
    </xf>
    <xf numFmtId="169" fontId="29" fillId="0" borderId="110" xfId="13" applyNumberFormat="1" applyFill="1" applyBorder="1" applyAlignment="1">
      <alignment horizontal="center" vertical="center"/>
    </xf>
    <xf numFmtId="0" fontId="28" fillId="0" borderId="0" xfId="36" applyAlignment="1">
      <alignment horizontal="left" vertical="center" wrapText="1"/>
    </xf>
    <xf numFmtId="0" fontId="8" fillId="0" borderId="0" xfId="816" applyFont="1" applyFill="1" applyAlignment="1">
      <alignment horizontal="left" wrapText="1"/>
    </xf>
    <xf numFmtId="0" fontId="8" fillId="15" borderId="0" xfId="816" applyFont="1" applyFill="1" applyAlignment="1">
      <alignment horizontal="left" wrapText="1"/>
    </xf>
    <xf numFmtId="0" fontId="19" fillId="14" borderId="0" xfId="38">
      <alignment horizontal="left" vertical="center"/>
    </xf>
    <xf numFmtId="0" fontId="33" fillId="0" borderId="0" xfId="34">
      <alignment horizontal="left" vertical="center"/>
    </xf>
    <xf numFmtId="0" fontId="19" fillId="14" borderId="18" xfId="38" applyBorder="1" applyAlignment="1">
      <alignment horizontal="center" vertical="center"/>
    </xf>
    <xf numFmtId="0" fontId="19" fillId="14" borderId="19" xfId="38" applyBorder="1" applyAlignment="1">
      <alignment horizontal="center" vertical="center"/>
    </xf>
    <xf numFmtId="0" fontId="19" fillId="14" borderId="20" xfId="38" applyBorder="1" applyAlignment="1">
      <alignment horizontal="center" vertical="center"/>
    </xf>
    <xf numFmtId="0" fontId="19" fillId="14" borderId="0" xfId="38" applyAlignment="1">
      <alignment horizontal="center" vertical="center"/>
    </xf>
    <xf numFmtId="0" fontId="19" fillId="14" borderId="2" xfId="38" applyBorder="1" applyAlignment="1">
      <alignment horizontal="center" vertical="center"/>
    </xf>
    <xf numFmtId="167" fontId="29" fillId="0" borderId="51" xfId="15" applyBorder="1" applyAlignment="1">
      <alignment horizontal="center" vertical="center"/>
    </xf>
    <xf numFmtId="0" fontId="33" fillId="0" borderId="34" xfId="34" applyBorder="1" applyAlignment="1">
      <alignment horizontal="center" vertical="center"/>
    </xf>
    <xf numFmtId="0" fontId="33" fillId="0" borderId="35" xfId="34" applyBorder="1" applyAlignment="1">
      <alignment horizontal="center" vertical="center"/>
    </xf>
    <xf numFmtId="0" fontId="33" fillId="0" borderId="36" xfId="34" applyBorder="1" applyAlignment="1">
      <alignment horizontal="center" vertical="center"/>
    </xf>
    <xf numFmtId="0" fontId="19" fillId="14" borderId="24" xfId="38" applyBorder="1" applyAlignment="1">
      <alignment horizontal="center" vertical="center"/>
    </xf>
    <xf numFmtId="0" fontId="19" fillId="14" borderId="53" xfId="38" applyBorder="1" applyAlignment="1">
      <alignment horizontal="center" vertical="center"/>
    </xf>
    <xf numFmtId="0" fontId="19" fillId="14" borderId="44" xfId="38" applyBorder="1" applyAlignment="1">
      <alignment horizontal="center" vertical="center"/>
    </xf>
    <xf numFmtId="0" fontId="28" fillId="0" borderId="15" xfId="36" applyBorder="1" applyAlignment="1">
      <alignment horizontal="left" vertical="center" wrapText="1"/>
    </xf>
    <xf numFmtId="0" fontId="28" fillId="0" borderId="3" xfId="36" applyBorder="1" applyAlignment="1">
      <alignment horizontal="left" vertical="center" wrapText="1"/>
    </xf>
    <xf numFmtId="0" fontId="28" fillId="0" borderId="16" xfId="36" applyBorder="1" applyAlignment="1">
      <alignment horizontal="left" vertical="center" wrapText="1"/>
    </xf>
    <xf numFmtId="0" fontId="33" fillId="0" borderId="17" xfId="36" applyFont="1" applyBorder="1" applyAlignment="1">
      <alignment horizontal="left" vertical="center" wrapText="1" indent="2"/>
    </xf>
    <xf numFmtId="0" fontId="33" fillId="0" borderId="2" xfId="36" applyFont="1" applyBorder="1" applyAlignment="1">
      <alignment horizontal="left" vertical="center" wrapText="1" indent="2"/>
    </xf>
    <xf numFmtId="0" fontId="33" fillId="0" borderId="13" xfId="36" applyFont="1" applyBorder="1" applyAlignment="1">
      <alignment horizontal="left" vertical="center" wrapText="1" indent="2"/>
    </xf>
    <xf numFmtId="167" fontId="29" fillId="0" borderId="55" xfId="15" applyBorder="1" applyAlignment="1">
      <alignment horizontal="center" vertical="center"/>
    </xf>
    <xf numFmtId="167" fontId="29" fillId="0" borderId="57" xfId="15" applyBorder="1" applyAlignment="1">
      <alignment horizontal="center" vertical="center"/>
    </xf>
    <xf numFmtId="0" fontId="33" fillId="0" borderId="0" xfId="34" applyAlignment="1">
      <alignment horizontal="center" vertical="center" wrapText="1"/>
    </xf>
    <xf numFmtId="0" fontId="28" fillId="0" borderId="34" xfId="36" applyBorder="1" applyAlignment="1">
      <alignment horizontal="left" vertical="center" wrapText="1"/>
    </xf>
    <xf numFmtId="0" fontId="28" fillId="0" borderId="35" xfId="36" applyBorder="1" applyAlignment="1">
      <alignment horizontal="left" vertical="center" wrapText="1"/>
    </xf>
    <xf numFmtId="0" fontId="28" fillId="0" borderId="36" xfId="36" applyBorder="1" applyAlignment="1">
      <alignment horizontal="left" vertical="center" wrapText="1"/>
    </xf>
    <xf numFmtId="0" fontId="53" fillId="21" borderId="21" xfId="0" applyFont="1" applyFill="1" applyBorder="1" applyAlignment="1">
      <alignment vertical="top" wrapText="1"/>
    </xf>
    <xf numFmtId="0" fontId="0" fillId="0" borderId="0" xfId="0" applyBorder="1" applyAlignment="1">
      <alignment vertical="top" wrapText="1"/>
    </xf>
    <xf numFmtId="0" fontId="0" fillId="0" borderId="58" xfId="0" applyBorder="1" applyAlignment="1">
      <alignment vertical="top" wrapText="1"/>
    </xf>
    <xf numFmtId="0" fontId="60" fillId="0" borderId="68" xfId="0" applyFont="1" applyBorder="1" applyAlignment="1">
      <alignment vertical="center" wrapText="1"/>
    </xf>
    <xf numFmtId="0" fontId="60" fillId="0" borderId="69" xfId="0" applyFont="1" applyBorder="1" applyAlignment="1">
      <alignment vertical="center" wrapText="1"/>
    </xf>
    <xf numFmtId="0" fontId="60" fillId="0" borderId="70" xfId="0" applyFont="1" applyBorder="1" applyAlignment="1">
      <alignment vertical="center" wrapText="1"/>
    </xf>
    <xf numFmtId="0" fontId="55" fillId="0" borderId="55" xfId="0" applyFont="1" applyBorder="1" applyAlignment="1">
      <alignment horizontal="center" vertical="center" wrapText="1"/>
    </xf>
    <xf numFmtId="0" fontId="55" fillId="0" borderId="57" xfId="0" applyFont="1" applyBorder="1" applyAlignment="1">
      <alignment horizontal="center" vertical="center" wrapText="1"/>
    </xf>
    <xf numFmtId="0" fontId="51" fillId="0" borderId="94" xfId="0" applyFont="1" applyBorder="1" applyAlignment="1">
      <alignment horizontal="center" vertical="top"/>
    </xf>
    <xf numFmtId="0" fontId="51" fillId="0" borderId="95" xfId="0" applyFont="1" applyBorder="1" applyAlignment="1">
      <alignment horizontal="center" vertical="top"/>
    </xf>
    <xf numFmtId="0" fontId="151" fillId="0" borderId="109" xfId="0" applyFont="1" applyBorder="1" applyAlignment="1">
      <alignment horizontal="left" vertical="center" wrapText="1"/>
    </xf>
    <xf numFmtId="0" fontId="151" fillId="0" borderId="110" xfId="0" applyFont="1" applyBorder="1" applyAlignment="1">
      <alignment horizontal="left" vertical="center" wrapText="1"/>
    </xf>
    <xf numFmtId="0" fontId="151" fillId="0" borderId="59" xfId="0" applyFont="1" applyBorder="1" applyAlignment="1">
      <alignment horizontal="left" vertical="center" wrapText="1"/>
    </xf>
    <xf numFmtId="0" fontId="51" fillId="0" borderId="21" xfId="0" applyFont="1" applyBorder="1" applyAlignment="1">
      <alignment horizontal="left" vertical="center" wrapText="1"/>
    </xf>
    <xf numFmtId="0" fontId="51" fillId="0" borderId="0" xfId="0" applyFont="1" applyBorder="1" applyAlignment="1">
      <alignment horizontal="left" vertical="center" wrapText="1"/>
    </xf>
    <xf numFmtId="0" fontId="51" fillId="0" borderId="58" xfId="0" applyFont="1" applyBorder="1" applyAlignment="1">
      <alignment horizontal="left" vertical="center" wrapText="1"/>
    </xf>
    <xf numFmtId="0" fontId="53" fillId="0" borderId="21" xfId="0" applyFont="1" applyBorder="1" applyAlignment="1">
      <alignment horizontal="left" vertical="top" wrapText="1"/>
    </xf>
    <xf numFmtId="0" fontId="53" fillId="0" borderId="0" xfId="0" applyFont="1" applyBorder="1" applyAlignment="1">
      <alignment horizontal="left" vertical="top" wrapText="1"/>
    </xf>
    <xf numFmtId="0" fontId="53" fillId="0" borderId="58" xfId="0" applyFont="1" applyBorder="1" applyAlignment="1">
      <alignment horizontal="left" vertical="top" wrapText="1"/>
    </xf>
    <xf numFmtId="0" fontId="60" fillId="0" borderId="97" xfId="0" applyFont="1" applyBorder="1" applyAlignment="1">
      <alignment horizontal="left" vertical="center" wrapText="1"/>
    </xf>
    <xf numFmtId="0" fontId="60" fillId="0" borderId="23" xfId="0" applyFont="1" applyBorder="1" applyAlignment="1">
      <alignment horizontal="left" vertical="center" wrapText="1"/>
    </xf>
    <xf numFmtId="0" fontId="60" fillId="0" borderId="96" xfId="0" applyFont="1" applyBorder="1" applyAlignment="1">
      <alignment horizontal="left" vertical="center" wrapText="1"/>
    </xf>
    <xf numFmtId="0" fontId="58" fillId="0" borderId="97" xfId="0" applyFont="1" applyBorder="1" applyAlignment="1">
      <alignment vertical="center" wrapText="1"/>
    </xf>
    <xf numFmtId="0" fontId="58" fillId="0" borderId="23" xfId="0" applyFont="1" applyBorder="1" applyAlignment="1">
      <alignment vertical="center" wrapText="1"/>
    </xf>
    <xf numFmtId="0" fontId="58" fillId="0" borderId="96" xfId="0" applyFont="1" applyBorder="1" applyAlignment="1">
      <alignment vertical="center" wrapText="1"/>
    </xf>
    <xf numFmtId="0" fontId="60" fillId="0" borderId="22" xfId="0" applyFont="1" applyBorder="1" applyAlignment="1">
      <alignment vertical="center" wrapText="1"/>
    </xf>
    <xf numFmtId="0" fontId="60" fillId="0" borderId="23" xfId="0" applyFont="1" applyBorder="1" applyAlignment="1">
      <alignment vertical="center" wrapText="1"/>
    </xf>
    <xf numFmtId="0" fontId="60" fillId="0" borderId="63" xfId="0" applyFont="1" applyBorder="1" applyAlignment="1">
      <alignment vertical="center" wrapText="1"/>
    </xf>
    <xf numFmtId="0" fontId="51" fillId="0" borderId="21" xfId="0" applyFont="1" applyBorder="1" applyAlignment="1">
      <alignment vertical="center" wrapText="1"/>
    </xf>
    <xf numFmtId="0" fontId="52" fillId="0" borderId="0" xfId="0" applyFont="1" applyBorder="1" applyAlignment="1">
      <alignment vertical="center" wrapText="1"/>
    </xf>
    <xf numFmtId="0" fontId="52" fillId="0" borderId="58" xfId="0" applyFont="1" applyBorder="1" applyAlignment="1">
      <alignment vertical="center" wrapText="1"/>
    </xf>
    <xf numFmtId="0" fontId="53" fillId="0" borderId="21" xfId="0" applyFont="1" applyBorder="1" applyAlignment="1">
      <alignment vertical="top" wrapText="1"/>
    </xf>
    <xf numFmtId="0" fontId="58" fillId="0" borderId="21" xfId="0" applyFont="1" applyBorder="1" applyAlignment="1">
      <alignment vertical="center" wrapText="1"/>
    </xf>
    <xf numFmtId="0" fontId="58" fillId="0" borderId="0" xfId="0" applyFont="1" applyBorder="1" applyAlignment="1">
      <alignment vertical="center" wrapText="1"/>
    </xf>
    <xf numFmtId="0" fontId="58" fillId="0" borderId="58" xfId="0" applyFont="1" applyBorder="1" applyAlignment="1">
      <alignment vertical="center" wrapText="1"/>
    </xf>
    <xf numFmtId="0" fontId="53" fillId="0" borderId="0" xfId="0" applyFont="1" applyBorder="1" applyAlignment="1">
      <alignment vertical="top" wrapText="1"/>
    </xf>
    <xf numFmtId="0" fontId="53" fillId="0" borderId="58" xfId="0" applyFont="1" applyBorder="1" applyAlignment="1">
      <alignment vertical="top" wrapText="1"/>
    </xf>
    <xf numFmtId="0" fontId="55" fillId="0" borderId="56" xfId="0" applyFont="1" applyBorder="1" applyAlignment="1">
      <alignment horizontal="center" vertical="center" wrapText="1"/>
    </xf>
  </cellXfs>
  <cellStyles count="822">
    <cellStyle name=" 1" xfId="54" xr:uid="{00000000-0005-0000-0000-000000000000}"/>
    <cellStyle name=" 1 2" xfId="55" xr:uid="{00000000-0005-0000-0000-000001000000}"/>
    <cellStyle name=" 1 2 2" xfId="56" xr:uid="{00000000-0005-0000-0000-000002000000}"/>
    <cellStyle name=" 1 2 3" xfId="57" xr:uid="{00000000-0005-0000-0000-000003000000}"/>
    <cellStyle name=" 1 3" xfId="58" xr:uid="{00000000-0005-0000-0000-000004000000}"/>
    <cellStyle name=" 1 3 2" xfId="59" xr:uid="{00000000-0005-0000-0000-000005000000}"/>
    <cellStyle name=" 1 4" xfId="60" xr:uid="{00000000-0005-0000-0000-000006000000}"/>
    <cellStyle name=" 1_29(d) - Gas extensions -tariffs" xfId="61" xr:uid="{00000000-0005-0000-0000-000007000000}"/>
    <cellStyle name="_3GIS model v2.77_Distribution Business_Retail Fin Perform " xfId="62" xr:uid="{00000000-0005-0000-0000-000008000000}"/>
    <cellStyle name="_3GIS model v2.77_Fleet Overhead Costs 2_Retail Fin Perform " xfId="63" xr:uid="{00000000-0005-0000-0000-000009000000}"/>
    <cellStyle name="_3GIS model v2.77_Fleet Overhead Costs_Retail Fin Perform " xfId="64" xr:uid="{00000000-0005-0000-0000-00000A000000}"/>
    <cellStyle name="_3GIS model v2.77_Forecast 2_Retail Fin Perform " xfId="65" xr:uid="{00000000-0005-0000-0000-00000B000000}"/>
    <cellStyle name="_3GIS model v2.77_Forecast_Retail Fin Perform " xfId="66" xr:uid="{00000000-0005-0000-0000-00000C000000}"/>
    <cellStyle name="_3GIS model v2.77_Funding &amp; Cashflow_1_Retail Fin Perform " xfId="67" xr:uid="{00000000-0005-0000-0000-00000D000000}"/>
    <cellStyle name="_3GIS model v2.77_Funding &amp; Cashflow_Retail Fin Perform " xfId="68" xr:uid="{00000000-0005-0000-0000-00000E000000}"/>
    <cellStyle name="_3GIS model v2.77_Group P&amp;L_1_Retail Fin Perform " xfId="69" xr:uid="{00000000-0005-0000-0000-00000F000000}"/>
    <cellStyle name="_3GIS model v2.77_Group P&amp;L_Retail Fin Perform " xfId="70" xr:uid="{00000000-0005-0000-0000-000010000000}"/>
    <cellStyle name="_3GIS model v2.77_Opening  Detailed BS_Retail Fin Perform " xfId="71" xr:uid="{00000000-0005-0000-0000-000011000000}"/>
    <cellStyle name="_3GIS model v2.77_OUTPUT DB_Retail Fin Perform " xfId="72" xr:uid="{00000000-0005-0000-0000-000012000000}"/>
    <cellStyle name="_3GIS model v2.77_OUTPUT EB_Retail Fin Perform " xfId="73" xr:uid="{00000000-0005-0000-0000-000013000000}"/>
    <cellStyle name="_3GIS model v2.77_Report_Retail Fin Perform " xfId="74" xr:uid="{00000000-0005-0000-0000-000014000000}"/>
    <cellStyle name="_3GIS model v2.77_Retail Fin Perform " xfId="75" xr:uid="{00000000-0005-0000-0000-000015000000}"/>
    <cellStyle name="_3GIS model v2.77_Sheet2 2_Retail Fin Perform " xfId="76" xr:uid="{00000000-0005-0000-0000-000016000000}"/>
    <cellStyle name="_3GIS model v2.77_Sheet2_Retail Fin Perform " xfId="77" xr:uid="{00000000-0005-0000-0000-000017000000}"/>
    <cellStyle name="_Capex" xfId="78" xr:uid="{00000000-0005-0000-0000-000018000000}"/>
    <cellStyle name="_Capex 2" xfId="79" xr:uid="{00000000-0005-0000-0000-000019000000}"/>
    <cellStyle name="_Capex_29(d) - Gas extensions -tariffs" xfId="80" xr:uid="{00000000-0005-0000-0000-00001A000000}"/>
    <cellStyle name="_UED AMP 2009-14 Final 250309 Less PU" xfId="81" xr:uid="{00000000-0005-0000-0000-00001B000000}"/>
    <cellStyle name="_UED AMP 2009-14 Final 250309 Less PU_1011 monthly" xfId="82" xr:uid="{00000000-0005-0000-0000-00001C000000}"/>
    <cellStyle name="=C:\WINNT\SYSTEM32\COMMAND.COM" xfId="83" xr:uid="{00000000-0005-0000-0000-00001D000000}"/>
    <cellStyle name="=C:\WINNT\SYSTEM32\COMMAND.COM 2" xfId="84" xr:uid="{00000000-0005-0000-0000-00001E000000}"/>
    <cellStyle name="20% - Accent1 2" xfId="85" xr:uid="{00000000-0005-0000-0000-00001F000000}"/>
    <cellStyle name="20% - Accent1 2 2" xfId="86" xr:uid="{00000000-0005-0000-0000-000020000000}"/>
    <cellStyle name="20% - Accent1 2 3" xfId="87" xr:uid="{00000000-0005-0000-0000-000021000000}"/>
    <cellStyle name="20% - Accent1 3" xfId="88" xr:uid="{00000000-0005-0000-0000-000022000000}"/>
    <cellStyle name="20% - Accent1 3 2" xfId="89" xr:uid="{00000000-0005-0000-0000-000023000000}"/>
    <cellStyle name="20% - Accent2 2" xfId="90" xr:uid="{00000000-0005-0000-0000-000024000000}"/>
    <cellStyle name="20% - Accent2 2 2" xfId="91" xr:uid="{00000000-0005-0000-0000-000025000000}"/>
    <cellStyle name="20% - Accent2 2 3" xfId="92" xr:uid="{00000000-0005-0000-0000-000026000000}"/>
    <cellStyle name="20% - Accent2 3" xfId="93" xr:uid="{00000000-0005-0000-0000-000027000000}"/>
    <cellStyle name="20% - Accent3 2" xfId="94" xr:uid="{00000000-0005-0000-0000-000028000000}"/>
    <cellStyle name="20% - Accent3 2 2" xfId="95" xr:uid="{00000000-0005-0000-0000-000029000000}"/>
    <cellStyle name="20% - Accent3 2 3" xfId="96" xr:uid="{00000000-0005-0000-0000-00002A000000}"/>
    <cellStyle name="20% - Accent3 3" xfId="97" xr:uid="{00000000-0005-0000-0000-00002B000000}"/>
    <cellStyle name="20% - Accent4 2" xfId="98" xr:uid="{00000000-0005-0000-0000-00002C000000}"/>
    <cellStyle name="20% - Accent4 2 2" xfId="99" xr:uid="{00000000-0005-0000-0000-00002D000000}"/>
    <cellStyle name="20% - Accent4 2 3" xfId="100" xr:uid="{00000000-0005-0000-0000-00002E000000}"/>
    <cellStyle name="20% - Accent4 3" xfId="101" xr:uid="{00000000-0005-0000-0000-00002F000000}"/>
    <cellStyle name="20% - Accent5 2" xfId="102" xr:uid="{00000000-0005-0000-0000-000030000000}"/>
    <cellStyle name="20% - Accent5 2 2" xfId="103" xr:uid="{00000000-0005-0000-0000-000031000000}"/>
    <cellStyle name="20% - Accent5 2 3" xfId="104" xr:uid="{00000000-0005-0000-0000-000032000000}"/>
    <cellStyle name="20% - Accent5 3" xfId="105" xr:uid="{00000000-0005-0000-0000-000033000000}"/>
    <cellStyle name="20% - Accent6 2" xfId="106" xr:uid="{00000000-0005-0000-0000-000034000000}"/>
    <cellStyle name="20% - Accent6 2 2" xfId="107" xr:uid="{00000000-0005-0000-0000-000035000000}"/>
    <cellStyle name="20% - Accent6 2 3" xfId="108" xr:uid="{00000000-0005-0000-0000-000036000000}"/>
    <cellStyle name="20% - Accent6 3" xfId="109" xr:uid="{00000000-0005-0000-0000-000037000000}"/>
    <cellStyle name="40% - Accent1 2" xfId="110" xr:uid="{00000000-0005-0000-0000-000038000000}"/>
    <cellStyle name="40% - Accent1 2 2" xfId="111" xr:uid="{00000000-0005-0000-0000-000039000000}"/>
    <cellStyle name="40% - Accent1 2 3" xfId="112" xr:uid="{00000000-0005-0000-0000-00003A000000}"/>
    <cellStyle name="40% - Accent1 3" xfId="113" xr:uid="{00000000-0005-0000-0000-00003B000000}"/>
    <cellStyle name="40% - Accent1 3 2" xfId="114" xr:uid="{00000000-0005-0000-0000-00003C000000}"/>
    <cellStyle name="40% - Accent2 2" xfId="115" xr:uid="{00000000-0005-0000-0000-00003D000000}"/>
    <cellStyle name="40% - Accent2 2 2" xfId="116" xr:uid="{00000000-0005-0000-0000-00003E000000}"/>
    <cellStyle name="40% - Accent2 2 3" xfId="117" xr:uid="{00000000-0005-0000-0000-00003F000000}"/>
    <cellStyle name="40% - Accent2 3" xfId="118" xr:uid="{00000000-0005-0000-0000-000040000000}"/>
    <cellStyle name="40% - Accent3 2" xfId="119" xr:uid="{00000000-0005-0000-0000-000041000000}"/>
    <cellStyle name="40% - Accent3 2 2" xfId="120" xr:uid="{00000000-0005-0000-0000-000042000000}"/>
    <cellStyle name="40% - Accent3 2 3" xfId="121" xr:uid="{00000000-0005-0000-0000-000043000000}"/>
    <cellStyle name="40% - Accent3 3" xfId="122" xr:uid="{00000000-0005-0000-0000-000044000000}"/>
    <cellStyle name="40% - Accent4 2" xfId="123" xr:uid="{00000000-0005-0000-0000-000045000000}"/>
    <cellStyle name="40% - Accent4 2 2" xfId="124" xr:uid="{00000000-0005-0000-0000-000046000000}"/>
    <cellStyle name="40% - Accent4 2 3" xfId="125" xr:uid="{00000000-0005-0000-0000-000047000000}"/>
    <cellStyle name="40% - Accent4 3" xfId="126" xr:uid="{00000000-0005-0000-0000-000048000000}"/>
    <cellStyle name="40% - Accent5 2" xfId="127" xr:uid="{00000000-0005-0000-0000-000049000000}"/>
    <cellStyle name="40% - Accent5 2 2" xfId="128" xr:uid="{00000000-0005-0000-0000-00004A000000}"/>
    <cellStyle name="40% - Accent5 2 3" xfId="129" xr:uid="{00000000-0005-0000-0000-00004B000000}"/>
    <cellStyle name="40% - Accent5 3" xfId="130" xr:uid="{00000000-0005-0000-0000-00004C000000}"/>
    <cellStyle name="40% - Accent6 2" xfId="131" xr:uid="{00000000-0005-0000-0000-00004D000000}"/>
    <cellStyle name="40% - Accent6 2 2" xfId="132" xr:uid="{00000000-0005-0000-0000-00004E000000}"/>
    <cellStyle name="40% - Accent6 2 3" xfId="133" xr:uid="{00000000-0005-0000-0000-00004F000000}"/>
    <cellStyle name="40% - Accent6 3" xfId="134" xr:uid="{00000000-0005-0000-0000-000050000000}"/>
    <cellStyle name="60% - Accent1 2" xfId="135" xr:uid="{00000000-0005-0000-0000-000051000000}"/>
    <cellStyle name="60% - Accent1 2 2" xfId="136" xr:uid="{00000000-0005-0000-0000-000052000000}"/>
    <cellStyle name="60% - Accent1 3" xfId="137" xr:uid="{00000000-0005-0000-0000-000053000000}"/>
    <cellStyle name="60% - Accent2 2" xfId="138" xr:uid="{00000000-0005-0000-0000-000054000000}"/>
    <cellStyle name="60% - Accent2 2 2" xfId="139" xr:uid="{00000000-0005-0000-0000-000055000000}"/>
    <cellStyle name="60% - Accent2 3" xfId="140" xr:uid="{00000000-0005-0000-0000-000056000000}"/>
    <cellStyle name="60% - Accent3 2" xfId="141" xr:uid="{00000000-0005-0000-0000-000057000000}"/>
    <cellStyle name="60% - Accent3 2 2" xfId="142" xr:uid="{00000000-0005-0000-0000-000058000000}"/>
    <cellStyle name="60% - Accent3 3" xfId="143" xr:uid="{00000000-0005-0000-0000-000059000000}"/>
    <cellStyle name="60% - Accent4 2" xfId="144" xr:uid="{00000000-0005-0000-0000-00005A000000}"/>
    <cellStyle name="60% - Accent4 2 2" xfId="145" xr:uid="{00000000-0005-0000-0000-00005B000000}"/>
    <cellStyle name="60% - Accent4 3" xfId="146" xr:uid="{00000000-0005-0000-0000-00005C000000}"/>
    <cellStyle name="60% - Accent5 2" xfId="147" xr:uid="{00000000-0005-0000-0000-00005D000000}"/>
    <cellStyle name="60% - Accent5 2 2" xfId="148" xr:uid="{00000000-0005-0000-0000-00005E000000}"/>
    <cellStyle name="60% - Accent5 3" xfId="149" xr:uid="{00000000-0005-0000-0000-00005F000000}"/>
    <cellStyle name="60% - Accent6 2" xfId="150" xr:uid="{00000000-0005-0000-0000-000060000000}"/>
    <cellStyle name="60% - Accent6 2 2" xfId="151" xr:uid="{00000000-0005-0000-0000-000061000000}"/>
    <cellStyle name="60% - Accent6 3" xfId="152" xr:uid="{00000000-0005-0000-0000-000062000000}"/>
    <cellStyle name="Accent1 - 20%" xfId="153" xr:uid="{00000000-0005-0000-0000-000063000000}"/>
    <cellStyle name="Accent1 - 40%" xfId="154" xr:uid="{00000000-0005-0000-0000-000064000000}"/>
    <cellStyle name="Accent1 - 60%" xfId="155" xr:uid="{00000000-0005-0000-0000-000065000000}"/>
    <cellStyle name="Accent1 2" xfId="156" xr:uid="{00000000-0005-0000-0000-000066000000}"/>
    <cellStyle name="Accent1 2 2" xfId="157" xr:uid="{00000000-0005-0000-0000-000067000000}"/>
    <cellStyle name="Accent1 3" xfId="158" xr:uid="{00000000-0005-0000-0000-000068000000}"/>
    <cellStyle name="Accent1 3 2" xfId="159" xr:uid="{00000000-0005-0000-0000-000069000000}"/>
    <cellStyle name="Accent1 4" xfId="160" xr:uid="{00000000-0005-0000-0000-00006A000000}"/>
    <cellStyle name="Accent1 5" xfId="161" xr:uid="{00000000-0005-0000-0000-00006B000000}"/>
    <cellStyle name="Accent2 - 20%" xfId="162" xr:uid="{00000000-0005-0000-0000-00006C000000}"/>
    <cellStyle name="Accent2 - 40%" xfId="163" xr:uid="{00000000-0005-0000-0000-00006D000000}"/>
    <cellStyle name="Accent2 - 60%" xfId="164" xr:uid="{00000000-0005-0000-0000-00006E000000}"/>
    <cellStyle name="Accent2 2" xfId="165" xr:uid="{00000000-0005-0000-0000-00006F000000}"/>
    <cellStyle name="Accent2 2 2" xfId="166" xr:uid="{00000000-0005-0000-0000-000070000000}"/>
    <cellStyle name="Accent2 3" xfId="167" xr:uid="{00000000-0005-0000-0000-000071000000}"/>
    <cellStyle name="Accent2 3 2" xfId="168" xr:uid="{00000000-0005-0000-0000-000072000000}"/>
    <cellStyle name="Accent2 4" xfId="169" xr:uid="{00000000-0005-0000-0000-000073000000}"/>
    <cellStyle name="Accent2 5" xfId="170" xr:uid="{00000000-0005-0000-0000-000074000000}"/>
    <cellStyle name="Accent3 - 20%" xfId="171" xr:uid="{00000000-0005-0000-0000-000075000000}"/>
    <cellStyle name="Accent3 - 40%" xfId="172" xr:uid="{00000000-0005-0000-0000-000076000000}"/>
    <cellStyle name="Accent3 - 60%" xfId="173" xr:uid="{00000000-0005-0000-0000-000077000000}"/>
    <cellStyle name="Accent3 2" xfId="174" xr:uid="{00000000-0005-0000-0000-000078000000}"/>
    <cellStyle name="Accent3 2 2" xfId="175" xr:uid="{00000000-0005-0000-0000-000079000000}"/>
    <cellStyle name="Accent3 3" xfId="176" xr:uid="{00000000-0005-0000-0000-00007A000000}"/>
    <cellStyle name="Accent3 3 2" xfId="177" xr:uid="{00000000-0005-0000-0000-00007B000000}"/>
    <cellStyle name="Accent3 4" xfId="178" xr:uid="{00000000-0005-0000-0000-00007C000000}"/>
    <cellStyle name="Accent3 5" xfId="179" xr:uid="{00000000-0005-0000-0000-00007D000000}"/>
    <cellStyle name="Accent4 - 20%" xfId="180" xr:uid="{00000000-0005-0000-0000-00007E000000}"/>
    <cellStyle name="Accent4 - 40%" xfId="181" xr:uid="{00000000-0005-0000-0000-00007F000000}"/>
    <cellStyle name="Accent4 - 60%" xfId="182" xr:uid="{00000000-0005-0000-0000-000080000000}"/>
    <cellStyle name="Accent4 2" xfId="183" xr:uid="{00000000-0005-0000-0000-000081000000}"/>
    <cellStyle name="Accent4 2 2" xfId="184" xr:uid="{00000000-0005-0000-0000-000082000000}"/>
    <cellStyle name="Accent4 3" xfId="185" xr:uid="{00000000-0005-0000-0000-000083000000}"/>
    <cellStyle name="Accent4 3 2" xfId="186" xr:uid="{00000000-0005-0000-0000-000084000000}"/>
    <cellStyle name="Accent4 4" xfId="187" xr:uid="{00000000-0005-0000-0000-000085000000}"/>
    <cellStyle name="Accent4 5" xfId="188" xr:uid="{00000000-0005-0000-0000-000086000000}"/>
    <cellStyle name="Accent5 - 20%" xfId="189" xr:uid="{00000000-0005-0000-0000-000087000000}"/>
    <cellStyle name="Accent5 - 40%" xfId="190" xr:uid="{00000000-0005-0000-0000-000088000000}"/>
    <cellStyle name="Accent5 - 60%" xfId="191" xr:uid="{00000000-0005-0000-0000-000089000000}"/>
    <cellStyle name="Accent5 2" xfId="192" xr:uid="{00000000-0005-0000-0000-00008A000000}"/>
    <cellStyle name="Accent5 2 2" xfId="193" xr:uid="{00000000-0005-0000-0000-00008B000000}"/>
    <cellStyle name="Accent5 3" xfId="194" xr:uid="{00000000-0005-0000-0000-00008C000000}"/>
    <cellStyle name="Accent5 3 2" xfId="195" xr:uid="{00000000-0005-0000-0000-00008D000000}"/>
    <cellStyle name="Accent5 4" xfId="196" xr:uid="{00000000-0005-0000-0000-00008E000000}"/>
    <cellStyle name="Accent5 5" xfId="197" xr:uid="{00000000-0005-0000-0000-00008F000000}"/>
    <cellStyle name="Accent6 - 20%" xfId="198" xr:uid="{00000000-0005-0000-0000-000090000000}"/>
    <cellStyle name="Accent6 - 40%" xfId="199" xr:uid="{00000000-0005-0000-0000-000091000000}"/>
    <cellStyle name="Accent6 - 60%" xfId="200" xr:uid="{00000000-0005-0000-0000-000092000000}"/>
    <cellStyle name="Accent6 2" xfId="201" xr:uid="{00000000-0005-0000-0000-000093000000}"/>
    <cellStyle name="Accent6 2 2" xfId="202" xr:uid="{00000000-0005-0000-0000-000094000000}"/>
    <cellStyle name="Accent6 3" xfId="203" xr:uid="{00000000-0005-0000-0000-000095000000}"/>
    <cellStyle name="Accent6 3 2" xfId="204" xr:uid="{00000000-0005-0000-0000-000096000000}"/>
    <cellStyle name="Accent6 4" xfId="205" xr:uid="{00000000-0005-0000-0000-000097000000}"/>
    <cellStyle name="Accent6 5" xfId="206" xr:uid="{00000000-0005-0000-0000-000098000000}"/>
    <cellStyle name="Agara" xfId="207" xr:uid="{00000000-0005-0000-0000-000099000000}"/>
    <cellStyle name="B79812_.wvu.PrintTitlest" xfId="208" xr:uid="{00000000-0005-0000-0000-00009A000000}"/>
    <cellStyle name="Bad" xfId="22" builtinId="27" hidden="1"/>
    <cellStyle name="Bad 2" xfId="209" xr:uid="{00000000-0005-0000-0000-00009C000000}"/>
    <cellStyle name="Bad 2 2" xfId="210" xr:uid="{00000000-0005-0000-0000-00009D000000}"/>
    <cellStyle name="Bad 3" xfId="211" xr:uid="{00000000-0005-0000-0000-00009E000000}"/>
    <cellStyle name="Black" xfId="212" xr:uid="{00000000-0005-0000-0000-00009F000000}"/>
    <cellStyle name="Blockout" xfId="213" xr:uid="{00000000-0005-0000-0000-0000A0000000}"/>
    <cellStyle name="Blockout 2" xfId="214" xr:uid="{00000000-0005-0000-0000-0000A1000000}"/>
    <cellStyle name="Blockout 3" xfId="215" xr:uid="{00000000-0005-0000-0000-0000A2000000}"/>
    <cellStyle name="Blue" xfId="216" xr:uid="{00000000-0005-0000-0000-0000A3000000}"/>
    <cellStyle name="border" xfId="217" xr:uid="{00000000-0005-0000-0000-0000A4000000}"/>
    <cellStyle name="Calculation" xfId="26" builtinId="22" hidden="1"/>
    <cellStyle name="Calculation 2" xfId="218" xr:uid="{00000000-0005-0000-0000-0000A6000000}"/>
    <cellStyle name="Calculation 2 2" xfId="219" xr:uid="{00000000-0005-0000-0000-0000A7000000}"/>
    <cellStyle name="Calculation 2 2 2" xfId="220" xr:uid="{00000000-0005-0000-0000-0000A8000000}"/>
    <cellStyle name="Calculation 2 3" xfId="221" xr:uid="{00000000-0005-0000-0000-0000A9000000}"/>
    <cellStyle name="Calculation 2 3 2" xfId="222" xr:uid="{00000000-0005-0000-0000-0000AA000000}"/>
    <cellStyle name="Calculation 2 4" xfId="223" xr:uid="{00000000-0005-0000-0000-0000AB000000}"/>
    <cellStyle name="Calculation 2 5" xfId="224" xr:uid="{00000000-0005-0000-0000-0000AC000000}"/>
    <cellStyle name="Calculation 3" xfId="225" xr:uid="{00000000-0005-0000-0000-0000AD000000}"/>
    <cellStyle name="Check Cell" xfId="28" builtinId="23" hidden="1"/>
    <cellStyle name="Check Cell 2" xfId="226" xr:uid="{00000000-0005-0000-0000-0000AF000000}"/>
    <cellStyle name="Check Cell 2 2" xfId="227" xr:uid="{00000000-0005-0000-0000-0000B0000000}"/>
    <cellStyle name="Check Cell 2 2 2 2" xfId="228" xr:uid="{00000000-0005-0000-0000-0000B1000000}"/>
    <cellStyle name="Check Cell 3" xfId="229" xr:uid="{00000000-0005-0000-0000-0000B2000000}"/>
    <cellStyle name="Comma" xfId="47" builtinId="3"/>
    <cellStyle name="Comma [0]7Z_87C" xfId="230" xr:uid="{00000000-0005-0000-0000-0000B4000000}"/>
    <cellStyle name="Comma 0" xfId="231" xr:uid="{00000000-0005-0000-0000-0000B5000000}"/>
    <cellStyle name="Comma 1" xfId="232" xr:uid="{00000000-0005-0000-0000-0000B6000000}"/>
    <cellStyle name="Comma 1 2" xfId="233" xr:uid="{00000000-0005-0000-0000-0000B7000000}"/>
    <cellStyle name="Comma 10" xfId="234" xr:uid="{00000000-0005-0000-0000-0000B8000000}"/>
    <cellStyle name="Comma 11" xfId="235" xr:uid="{00000000-0005-0000-0000-0000B9000000}"/>
    <cellStyle name="Comma 12" xfId="236" xr:uid="{00000000-0005-0000-0000-0000BA000000}"/>
    <cellStyle name="Comma 13" xfId="237" xr:uid="{00000000-0005-0000-0000-0000BB000000}"/>
    <cellStyle name="Comma 14" xfId="238" xr:uid="{00000000-0005-0000-0000-0000BC000000}"/>
    <cellStyle name="Comma 2" xfId="50" xr:uid="{00000000-0005-0000-0000-0000BD000000}"/>
    <cellStyle name="Comma 2 2" xfId="239" xr:uid="{00000000-0005-0000-0000-0000BE000000}"/>
    <cellStyle name="Comma 2 2 2" xfId="240" xr:uid="{00000000-0005-0000-0000-0000BF000000}"/>
    <cellStyle name="Comma 2 2 2 2" xfId="241" xr:uid="{00000000-0005-0000-0000-0000C0000000}"/>
    <cellStyle name="Comma 2 2 3" xfId="242" xr:uid="{00000000-0005-0000-0000-0000C1000000}"/>
    <cellStyle name="Comma 2 2 4" xfId="243" xr:uid="{00000000-0005-0000-0000-0000C2000000}"/>
    <cellStyle name="Comma 2 3" xfId="244" xr:uid="{00000000-0005-0000-0000-0000C3000000}"/>
    <cellStyle name="Comma 2 3 2" xfId="245" xr:uid="{00000000-0005-0000-0000-0000C4000000}"/>
    <cellStyle name="Comma 2 3 3" xfId="246" xr:uid="{00000000-0005-0000-0000-0000C5000000}"/>
    <cellStyle name="Comma 2 4" xfId="247" xr:uid="{00000000-0005-0000-0000-0000C6000000}"/>
    <cellStyle name="Comma 2 5" xfId="248" xr:uid="{00000000-0005-0000-0000-0000C7000000}"/>
    <cellStyle name="Comma 2 6" xfId="249" xr:uid="{00000000-0005-0000-0000-0000C8000000}"/>
    <cellStyle name="Comma 3" xfId="250" xr:uid="{00000000-0005-0000-0000-0000C9000000}"/>
    <cellStyle name="Comma 3 2" xfId="251" xr:uid="{00000000-0005-0000-0000-0000CA000000}"/>
    <cellStyle name="Comma 3 2 2" xfId="252" xr:uid="{00000000-0005-0000-0000-0000CB000000}"/>
    <cellStyle name="Comma 3 2 3" xfId="253" xr:uid="{00000000-0005-0000-0000-0000CC000000}"/>
    <cellStyle name="Comma 3 3" xfId="254" xr:uid="{00000000-0005-0000-0000-0000CD000000}"/>
    <cellStyle name="Comma 3 3 2" xfId="255" xr:uid="{00000000-0005-0000-0000-0000CE000000}"/>
    <cellStyle name="Comma 3 3 2 2" xfId="256" xr:uid="{00000000-0005-0000-0000-0000CF000000}"/>
    <cellStyle name="Comma 3 3 3" xfId="257" xr:uid="{00000000-0005-0000-0000-0000D0000000}"/>
    <cellStyle name="Comma 3 4" xfId="258" xr:uid="{00000000-0005-0000-0000-0000D1000000}"/>
    <cellStyle name="Comma 3 5" xfId="259" xr:uid="{00000000-0005-0000-0000-0000D2000000}"/>
    <cellStyle name="Comma 3 6" xfId="260" xr:uid="{00000000-0005-0000-0000-0000D3000000}"/>
    <cellStyle name="Comma 3 7" xfId="261" xr:uid="{00000000-0005-0000-0000-0000D4000000}"/>
    <cellStyle name="Comma 4" xfId="262" xr:uid="{00000000-0005-0000-0000-0000D5000000}"/>
    <cellStyle name="Comma 4 2" xfId="263" xr:uid="{00000000-0005-0000-0000-0000D6000000}"/>
    <cellStyle name="Comma 4 2 2" xfId="264" xr:uid="{00000000-0005-0000-0000-0000D7000000}"/>
    <cellStyle name="Comma 4 3" xfId="265" xr:uid="{00000000-0005-0000-0000-0000D8000000}"/>
    <cellStyle name="Comma 5" xfId="266" xr:uid="{00000000-0005-0000-0000-0000D9000000}"/>
    <cellStyle name="Comma 5 2" xfId="267" xr:uid="{00000000-0005-0000-0000-0000DA000000}"/>
    <cellStyle name="Comma 6" xfId="268" xr:uid="{00000000-0005-0000-0000-0000DB000000}"/>
    <cellStyle name="Comma 6 2" xfId="269" xr:uid="{00000000-0005-0000-0000-0000DC000000}"/>
    <cellStyle name="Comma 7" xfId="270" xr:uid="{00000000-0005-0000-0000-0000DD000000}"/>
    <cellStyle name="Comma 7 2" xfId="271" xr:uid="{00000000-0005-0000-0000-0000DE000000}"/>
    <cellStyle name="Comma 8" xfId="272" xr:uid="{00000000-0005-0000-0000-0000DF000000}"/>
    <cellStyle name="Comma 9" xfId="273" xr:uid="{00000000-0005-0000-0000-0000E0000000}"/>
    <cellStyle name="Comma 9 2" xfId="274" xr:uid="{00000000-0005-0000-0000-0000E1000000}"/>
    <cellStyle name="Comma 9 3" xfId="275" xr:uid="{00000000-0005-0000-0000-0000E2000000}"/>
    <cellStyle name="Comma0" xfId="276" xr:uid="{00000000-0005-0000-0000-0000E3000000}"/>
    <cellStyle name="Currency" xfId="1" builtinId="4" hidden="1" customBuiltin="1"/>
    <cellStyle name="Currency" xfId="39" xr:uid="{00000000-0005-0000-0000-0000E5000000}"/>
    <cellStyle name="Currency 11" xfId="277" xr:uid="{00000000-0005-0000-0000-0000E6000000}"/>
    <cellStyle name="Currency 11 2" xfId="278" xr:uid="{00000000-0005-0000-0000-0000E7000000}"/>
    <cellStyle name="Currency 2" xfId="53" xr:uid="{00000000-0005-0000-0000-0000E8000000}"/>
    <cellStyle name="Currency 2 2" xfId="279" xr:uid="{00000000-0005-0000-0000-0000E9000000}"/>
    <cellStyle name="Currency 2 2 2" xfId="280" xr:uid="{00000000-0005-0000-0000-0000EA000000}"/>
    <cellStyle name="Currency 2 3" xfId="281" xr:uid="{00000000-0005-0000-0000-0000EB000000}"/>
    <cellStyle name="Currency 3" xfId="282" xr:uid="{00000000-0005-0000-0000-0000EC000000}"/>
    <cellStyle name="Currency 3 2" xfId="283" xr:uid="{00000000-0005-0000-0000-0000ED000000}"/>
    <cellStyle name="Currency 4" xfId="284" xr:uid="{00000000-0005-0000-0000-0000EE000000}"/>
    <cellStyle name="Currency 4 2" xfId="285" xr:uid="{00000000-0005-0000-0000-0000EF000000}"/>
    <cellStyle name="Currency 5" xfId="286" xr:uid="{00000000-0005-0000-0000-0000F0000000}"/>
    <cellStyle name="Currency 6" xfId="287" xr:uid="{00000000-0005-0000-0000-0000F1000000}"/>
    <cellStyle name="Currency 6 2" xfId="288" xr:uid="{00000000-0005-0000-0000-0000F2000000}"/>
    <cellStyle name="Currency 6 3" xfId="289" xr:uid="{00000000-0005-0000-0000-0000F3000000}"/>
    <cellStyle name="Currency 7" xfId="290" xr:uid="{00000000-0005-0000-0000-0000F4000000}"/>
    <cellStyle name="Currency Assumptions" xfId="19" xr:uid="{00000000-0005-0000-0000-0000F5000000}"/>
    <cellStyle name="Currency Input" xfId="42" xr:uid="{00000000-0005-0000-0000-0000F6000000}"/>
    <cellStyle name="D4_B8B1_005004B79812_.wvu.PrintTitlest" xfId="291" xr:uid="{00000000-0005-0000-0000-0000F7000000}"/>
    <cellStyle name="Date" xfId="11" xr:uid="{00000000-0005-0000-0000-0000F8000000}"/>
    <cellStyle name="Date 2" xfId="292" xr:uid="{00000000-0005-0000-0000-0000F9000000}"/>
    <cellStyle name="Date Assumptions" xfId="12" xr:uid="{00000000-0005-0000-0000-0000FA000000}"/>
    <cellStyle name="Date Input" xfId="41" xr:uid="{00000000-0005-0000-0000-0000FB000000}"/>
    <cellStyle name="dms_Blue_HDR" xfId="293" xr:uid="{00000000-0005-0000-0000-0000FC000000}"/>
    <cellStyle name="Emphasis 1" xfId="294" xr:uid="{00000000-0005-0000-0000-0000FD000000}"/>
    <cellStyle name="Emphasis 2" xfId="295" xr:uid="{00000000-0005-0000-0000-0000FE000000}"/>
    <cellStyle name="Emphasis 3" xfId="296" xr:uid="{00000000-0005-0000-0000-0000FF000000}"/>
    <cellStyle name="Euro" xfId="297" xr:uid="{00000000-0005-0000-0000-000000010000}"/>
    <cellStyle name="Explanatory Text" xfId="31" builtinId="53" hidden="1"/>
    <cellStyle name="Explanatory Text 2" xfId="298" xr:uid="{00000000-0005-0000-0000-000002010000}"/>
    <cellStyle name="Explanatory Text 2 2" xfId="299" xr:uid="{00000000-0005-0000-0000-000003010000}"/>
    <cellStyle name="Explanatory Text 3" xfId="300" xr:uid="{00000000-0005-0000-0000-000004010000}"/>
    <cellStyle name="Fixed" xfId="301" xr:uid="{00000000-0005-0000-0000-000005010000}"/>
    <cellStyle name="Fixed 2" xfId="302" xr:uid="{00000000-0005-0000-0000-000006010000}"/>
    <cellStyle name="Gilsans" xfId="303" xr:uid="{00000000-0005-0000-0000-000007010000}"/>
    <cellStyle name="Gilsansl" xfId="304" xr:uid="{00000000-0005-0000-0000-000008010000}"/>
    <cellStyle name="Good" xfId="21" builtinId="26" hidden="1"/>
    <cellStyle name="Good 2" xfId="305" xr:uid="{00000000-0005-0000-0000-00000A010000}"/>
    <cellStyle name="Good 2 2" xfId="306" xr:uid="{00000000-0005-0000-0000-00000B010000}"/>
    <cellStyle name="Good 3" xfId="307" xr:uid="{00000000-0005-0000-0000-00000C010000}"/>
    <cellStyle name="GreyOrWhite" xfId="308" xr:uid="{00000000-0005-0000-0000-00000D010000}"/>
    <cellStyle name="Heading 1" xfId="3" builtinId="16" customBuiltin="1"/>
    <cellStyle name="Heading 1 2" xfId="309" xr:uid="{00000000-0005-0000-0000-00000F010000}"/>
    <cellStyle name="Heading 1 2 2" xfId="310" xr:uid="{00000000-0005-0000-0000-000010010000}"/>
    <cellStyle name="Heading 1 2 3" xfId="311" xr:uid="{00000000-0005-0000-0000-000011010000}"/>
    <cellStyle name="Heading 1 3" xfId="312" xr:uid="{00000000-0005-0000-0000-000012010000}"/>
    <cellStyle name="Heading 1 3 2" xfId="313" xr:uid="{00000000-0005-0000-0000-000013010000}"/>
    <cellStyle name="Heading 1 4" xfId="820" xr:uid="{00000000-0005-0000-0000-000014010000}"/>
    <cellStyle name="Heading 2" xfId="4" builtinId="17" hidden="1" customBuiltin="1"/>
    <cellStyle name="Heading 2" xfId="38" xr:uid="{00000000-0005-0000-0000-000016010000}"/>
    <cellStyle name="Heading 2 2" xfId="314" xr:uid="{00000000-0005-0000-0000-000017010000}"/>
    <cellStyle name="Heading 2 2 2" xfId="315" xr:uid="{00000000-0005-0000-0000-000018010000}"/>
    <cellStyle name="Heading 2 2 3" xfId="316" xr:uid="{00000000-0005-0000-0000-000019010000}"/>
    <cellStyle name="Heading 2 3" xfId="317" xr:uid="{00000000-0005-0000-0000-00001A010000}"/>
    <cellStyle name="Heading 2 3 2" xfId="318" xr:uid="{00000000-0005-0000-0000-00001B010000}"/>
    <cellStyle name="Heading 2 Input" xfId="821" xr:uid="{00000000-0005-0000-0000-00001C010000}"/>
    <cellStyle name="Heading 3" xfId="5" builtinId="18" hidden="1" customBuiltin="1"/>
    <cellStyle name="Heading 3 2" xfId="319" xr:uid="{00000000-0005-0000-0000-00001E010000}"/>
    <cellStyle name="Heading 3 2 2" xfId="320" xr:uid="{00000000-0005-0000-0000-00001F010000}"/>
    <cellStyle name="Heading 3 2 2 2" xfId="321" xr:uid="{00000000-0005-0000-0000-000020010000}"/>
    <cellStyle name="Heading 3 2 2 2 2" xfId="322" xr:uid="{00000000-0005-0000-0000-000021010000}"/>
    <cellStyle name="Heading 3 2 2 2 2 2" xfId="323" xr:uid="{00000000-0005-0000-0000-000022010000}"/>
    <cellStyle name="Heading 3 2 2 2 2 3" xfId="324" xr:uid="{00000000-0005-0000-0000-000023010000}"/>
    <cellStyle name="Heading 3 2 2 2 2 4" xfId="325" xr:uid="{00000000-0005-0000-0000-000024010000}"/>
    <cellStyle name="Heading 3 2 2 2 3" xfId="326" xr:uid="{00000000-0005-0000-0000-000025010000}"/>
    <cellStyle name="Heading 3 2 2 2 4" xfId="327" xr:uid="{00000000-0005-0000-0000-000026010000}"/>
    <cellStyle name="Heading 3 2 2 2 5" xfId="328" xr:uid="{00000000-0005-0000-0000-000027010000}"/>
    <cellStyle name="Heading 3 2 2 3" xfId="329" xr:uid="{00000000-0005-0000-0000-000028010000}"/>
    <cellStyle name="Heading 3 2 2 3 2" xfId="330" xr:uid="{00000000-0005-0000-0000-000029010000}"/>
    <cellStyle name="Heading 3 2 2 3 2 2" xfId="331" xr:uid="{00000000-0005-0000-0000-00002A010000}"/>
    <cellStyle name="Heading 3 2 2 3 2 3" xfId="332" xr:uid="{00000000-0005-0000-0000-00002B010000}"/>
    <cellStyle name="Heading 3 2 2 3 2 4" xfId="333" xr:uid="{00000000-0005-0000-0000-00002C010000}"/>
    <cellStyle name="Heading 3 2 2 3 3" xfId="334" xr:uid="{00000000-0005-0000-0000-00002D010000}"/>
    <cellStyle name="Heading 3 2 2 3 4" xfId="335" xr:uid="{00000000-0005-0000-0000-00002E010000}"/>
    <cellStyle name="Heading 3 2 2 3 5" xfId="336" xr:uid="{00000000-0005-0000-0000-00002F010000}"/>
    <cellStyle name="Heading 3 2 2 4" xfId="337" xr:uid="{00000000-0005-0000-0000-000030010000}"/>
    <cellStyle name="Heading 3 2 2 4 2" xfId="338" xr:uid="{00000000-0005-0000-0000-000031010000}"/>
    <cellStyle name="Heading 3 2 2 4 3" xfId="339" xr:uid="{00000000-0005-0000-0000-000032010000}"/>
    <cellStyle name="Heading 3 2 2 4 4" xfId="340" xr:uid="{00000000-0005-0000-0000-000033010000}"/>
    <cellStyle name="Heading 3 2 2 5" xfId="341" xr:uid="{00000000-0005-0000-0000-000034010000}"/>
    <cellStyle name="Heading 3 2 2 5 2" xfId="342" xr:uid="{00000000-0005-0000-0000-000035010000}"/>
    <cellStyle name="Heading 3 2 2 5 3" xfId="343" xr:uid="{00000000-0005-0000-0000-000036010000}"/>
    <cellStyle name="Heading 3 2 3" xfId="344" xr:uid="{00000000-0005-0000-0000-000037010000}"/>
    <cellStyle name="Heading 3 2 4" xfId="345" xr:uid="{00000000-0005-0000-0000-000038010000}"/>
    <cellStyle name="Heading 3 2 4 2" xfId="346" xr:uid="{00000000-0005-0000-0000-000039010000}"/>
    <cellStyle name="Heading 3 2 4 2 2" xfId="347" xr:uid="{00000000-0005-0000-0000-00003A010000}"/>
    <cellStyle name="Heading 3 2 4 2 3" xfId="348" xr:uid="{00000000-0005-0000-0000-00003B010000}"/>
    <cellStyle name="Heading 3 2 4 2 4" xfId="349" xr:uid="{00000000-0005-0000-0000-00003C010000}"/>
    <cellStyle name="Heading 3 2 4 3" xfId="350" xr:uid="{00000000-0005-0000-0000-00003D010000}"/>
    <cellStyle name="Heading 3 2 4 4" xfId="351" xr:uid="{00000000-0005-0000-0000-00003E010000}"/>
    <cellStyle name="Heading 3 2 4 5" xfId="352" xr:uid="{00000000-0005-0000-0000-00003F010000}"/>
    <cellStyle name="Heading 3 2 5" xfId="353" xr:uid="{00000000-0005-0000-0000-000040010000}"/>
    <cellStyle name="Heading 3 2 5 2" xfId="354" xr:uid="{00000000-0005-0000-0000-000041010000}"/>
    <cellStyle name="Heading 3 2 5 2 2" xfId="355" xr:uid="{00000000-0005-0000-0000-000042010000}"/>
    <cellStyle name="Heading 3 2 5 2 3" xfId="356" xr:uid="{00000000-0005-0000-0000-000043010000}"/>
    <cellStyle name="Heading 3 2 5 2 4" xfId="357" xr:uid="{00000000-0005-0000-0000-000044010000}"/>
    <cellStyle name="Heading 3 2 5 3" xfId="358" xr:uid="{00000000-0005-0000-0000-000045010000}"/>
    <cellStyle name="Heading 3 2 5 4" xfId="359" xr:uid="{00000000-0005-0000-0000-000046010000}"/>
    <cellStyle name="Heading 3 2 5 5" xfId="360" xr:uid="{00000000-0005-0000-0000-000047010000}"/>
    <cellStyle name="Heading 3 2 6" xfId="361" xr:uid="{00000000-0005-0000-0000-000048010000}"/>
    <cellStyle name="Heading 3 2 6 2" xfId="362" xr:uid="{00000000-0005-0000-0000-000049010000}"/>
    <cellStyle name="Heading 3 2 6 3" xfId="363" xr:uid="{00000000-0005-0000-0000-00004A010000}"/>
    <cellStyle name="Heading 3 2 6 4" xfId="364" xr:uid="{00000000-0005-0000-0000-00004B010000}"/>
    <cellStyle name="Heading 3 2 7" xfId="365" xr:uid="{00000000-0005-0000-0000-00004C010000}"/>
    <cellStyle name="Heading 3 2 7 2" xfId="366" xr:uid="{00000000-0005-0000-0000-00004D010000}"/>
    <cellStyle name="Heading 3 2 7 3" xfId="367" xr:uid="{00000000-0005-0000-0000-00004E010000}"/>
    <cellStyle name="Heading 3 2 8" xfId="368" xr:uid="{00000000-0005-0000-0000-00004F010000}"/>
    <cellStyle name="Heading 3 3" xfId="369" xr:uid="{00000000-0005-0000-0000-000050010000}"/>
    <cellStyle name="Heading 3 3 2" xfId="370" xr:uid="{00000000-0005-0000-0000-000051010000}"/>
    <cellStyle name="Heading 3 Input" xfId="34" xr:uid="{00000000-0005-0000-0000-000052010000}"/>
    <cellStyle name="Heading 3 Output" xfId="35" xr:uid="{00000000-0005-0000-0000-000053010000}"/>
    <cellStyle name="Heading 4" xfId="6" builtinId="19" hidden="1" customBuiltin="1"/>
    <cellStyle name="Heading 4 2" xfId="371" xr:uid="{00000000-0005-0000-0000-000055010000}"/>
    <cellStyle name="Heading 4 2 2" xfId="372" xr:uid="{00000000-0005-0000-0000-000056010000}"/>
    <cellStyle name="Heading 4 2 3" xfId="373" xr:uid="{00000000-0005-0000-0000-000057010000}"/>
    <cellStyle name="Heading 4 3" xfId="374" xr:uid="{00000000-0005-0000-0000-000058010000}"/>
    <cellStyle name="Heading 4 3 2" xfId="375" xr:uid="{00000000-0005-0000-0000-000059010000}"/>
    <cellStyle name="Heading 4 Assumptions" xfId="8" xr:uid="{00000000-0005-0000-0000-00005A010000}"/>
    <cellStyle name="Heading 4 Input" xfId="36" xr:uid="{00000000-0005-0000-0000-00005B010000}"/>
    <cellStyle name="Heading 4 Input 2" xfId="819" xr:uid="{00000000-0005-0000-0000-00005C010000}"/>
    <cellStyle name="Heading 4 Output" xfId="37" xr:uid="{00000000-0005-0000-0000-00005D010000}"/>
    <cellStyle name="Heading 4 Output 2" xfId="817" xr:uid="{00000000-0005-0000-0000-00005E010000}"/>
    <cellStyle name="Heading(4)" xfId="376" xr:uid="{00000000-0005-0000-0000-00005F010000}"/>
    <cellStyle name="Hyperlink" xfId="32" builtinId="8" customBuiltin="1"/>
    <cellStyle name="Hyperlink 2" xfId="377" xr:uid="{00000000-0005-0000-0000-000061010000}"/>
    <cellStyle name="Hyperlink 2 2" xfId="378" xr:uid="{00000000-0005-0000-0000-000062010000}"/>
    <cellStyle name="Hyperlink 2 3" xfId="379" xr:uid="{00000000-0005-0000-0000-000063010000}"/>
    <cellStyle name="Hyperlink 3" xfId="380" xr:uid="{00000000-0005-0000-0000-000064010000}"/>
    <cellStyle name="Hyperlink 4" xfId="381" xr:uid="{00000000-0005-0000-0000-000065010000}"/>
    <cellStyle name="Hyperlink 5" xfId="818" xr:uid="{00000000-0005-0000-0000-000066010000}"/>
    <cellStyle name="Hyperlink Arrow" xfId="382" xr:uid="{00000000-0005-0000-0000-000067010000}"/>
    <cellStyle name="Hyperlink Text" xfId="383" xr:uid="{00000000-0005-0000-0000-000068010000}"/>
    <cellStyle name="import" xfId="384" xr:uid="{00000000-0005-0000-0000-000069010000}"/>
    <cellStyle name="import%" xfId="385" xr:uid="{00000000-0005-0000-0000-00006A010000}"/>
    <cellStyle name="import_ICRC Electricity model 1-1  (1 Feb 2003) " xfId="386" xr:uid="{00000000-0005-0000-0000-00006B010000}"/>
    <cellStyle name="Input" xfId="24" builtinId="20" hidden="1"/>
    <cellStyle name="Input 2" xfId="387" xr:uid="{00000000-0005-0000-0000-00006D010000}"/>
    <cellStyle name="Input 2 2" xfId="388" xr:uid="{00000000-0005-0000-0000-00006E010000}"/>
    <cellStyle name="Input 2 2 2" xfId="389" xr:uid="{00000000-0005-0000-0000-00006F010000}"/>
    <cellStyle name="Input 2 3" xfId="390" xr:uid="{00000000-0005-0000-0000-000070010000}"/>
    <cellStyle name="Input 2 3 2" xfId="391" xr:uid="{00000000-0005-0000-0000-000071010000}"/>
    <cellStyle name="Input 2 4" xfId="392" xr:uid="{00000000-0005-0000-0000-000072010000}"/>
    <cellStyle name="Input 2 5" xfId="393" xr:uid="{00000000-0005-0000-0000-000073010000}"/>
    <cellStyle name="Input 3" xfId="394" xr:uid="{00000000-0005-0000-0000-000074010000}"/>
    <cellStyle name="Input1" xfId="395" xr:uid="{00000000-0005-0000-0000-000075010000}"/>
    <cellStyle name="Input1 2" xfId="396" xr:uid="{00000000-0005-0000-0000-000076010000}"/>
    <cellStyle name="Input1 2 2" xfId="397" xr:uid="{00000000-0005-0000-0000-000077010000}"/>
    <cellStyle name="Input1 3" xfId="398" xr:uid="{00000000-0005-0000-0000-000078010000}"/>
    <cellStyle name="Input1 3 2" xfId="399" xr:uid="{00000000-0005-0000-0000-000079010000}"/>
    <cellStyle name="Input1 4" xfId="400" xr:uid="{00000000-0005-0000-0000-00007A010000}"/>
    <cellStyle name="Input1 5" xfId="401" xr:uid="{00000000-0005-0000-0000-00007B010000}"/>
    <cellStyle name="Input1%" xfId="402" xr:uid="{00000000-0005-0000-0000-00007C010000}"/>
    <cellStyle name="Input1_ICRC Electricity model 1-1  (1 Feb 2003) " xfId="403" xr:uid="{00000000-0005-0000-0000-00007D010000}"/>
    <cellStyle name="Input1default" xfId="404" xr:uid="{00000000-0005-0000-0000-00007E010000}"/>
    <cellStyle name="Input1default%" xfId="405" xr:uid="{00000000-0005-0000-0000-00007F010000}"/>
    <cellStyle name="Input2" xfId="406" xr:uid="{00000000-0005-0000-0000-000080010000}"/>
    <cellStyle name="Input2 2" xfId="407" xr:uid="{00000000-0005-0000-0000-000081010000}"/>
    <cellStyle name="Input2 3" xfId="408" xr:uid="{00000000-0005-0000-0000-000082010000}"/>
    <cellStyle name="Input3" xfId="409" xr:uid="{00000000-0005-0000-0000-000083010000}"/>
    <cellStyle name="Input3 2" xfId="410" xr:uid="{00000000-0005-0000-0000-000084010000}"/>
    <cellStyle name="Input3 3" xfId="411" xr:uid="{00000000-0005-0000-0000-000085010000}"/>
    <cellStyle name="InputCell" xfId="412" xr:uid="{00000000-0005-0000-0000-000086010000}"/>
    <cellStyle name="InputCell 2" xfId="413" xr:uid="{00000000-0005-0000-0000-000087010000}"/>
    <cellStyle name="InputCell 3" xfId="414" xr:uid="{00000000-0005-0000-0000-000088010000}"/>
    <cellStyle name="InputCellText" xfId="415" xr:uid="{00000000-0005-0000-0000-000089010000}"/>
    <cellStyle name="InputCellText 2" xfId="416" xr:uid="{00000000-0005-0000-0000-00008A010000}"/>
    <cellStyle name="InputCellText 3" xfId="417" xr:uid="{00000000-0005-0000-0000-00008B010000}"/>
    <cellStyle name="key result" xfId="418" xr:uid="{00000000-0005-0000-0000-00008C010000}"/>
    <cellStyle name="Lines" xfId="419" xr:uid="{00000000-0005-0000-0000-00008D010000}"/>
    <cellStyle name="Linked Cell" xfId="27" builtinId="24" hidden="1"/>
    <cellStyle name="Linked Cell 2" xfId="420" xr:uid="{00000000-0005-0000-0000-00008F010000}"/>
    <cellStyle name="Linked Cell 2 2" xfId="421" xr:uid="{00000000-0005-0000-0000-000090010000}"/>
    <cellStyle name="Linked Cell 3" xfId="422" xr:uid="{00000000-0005-0000-0000-000091010000}"/>
    <cellStyle name="Local import" xfId="423" xr:uid="{00000000-0005-0000-0000-000092010000}"/>
    <cellStyle name="Local import %" xfId="424" xr:uid="{00000000-0005-0000-0000-000093010000}"/>
    <cellStyle name="Mine" xfId="425" xr:uid="{00000000-0005-0000-0000-000094010000}"/>
    <cellStyle name="Model Name" xfId="426" xr:uid="{00000000-0005-0000-0000-000095010000}"/>
    <cellStyle name="Multiple" xfId="17" xr:uid="{00000000-0005-0000-0000-000096010000}"/>
    <cellStyle name="Multiple Assumptions" xfId="18" xr:uid="{00000000-0005-0000-0000-000097010000}"/>
    <cellStyle name="Multiple Input" xfId="43" xr:uid="{00000000-0005-0000-0000-000098010000}"/>
    <cellStyle name="Neutral" xfId="23" builtinId="28" hidden="1"/>
    <cellStyle name="Neutral 2" xfId="427" xr:uid="{00000000-0005-0000-0000-00009A010000}"/>
    <cellStyle name="Neutral 2 2" xfId="428" xr:uid="{00000000-0005-0000-0000-00009B010000}"/>
    <cellStyle name="Neutral 3" xfId="429" xr:uid="{00000000-0005-0000-0000-00009C010000}"/>
    <cellStyle name="NonInputCell" xfId="430" xr:uid="{00000000-0005-0000-0000-00009D010000}"/>
    <cellStyle name="NonInputCell 2" xfId="431" xr:uid="{00000000-0005-0000-0000-00009E010000}"/>
    <cellStyle name="NonInputCell 3" xfId="432" xr:uid="{00000000-0005-0000-0000-00009F010000}"/>
    <cellStyle name="Normal" xfId="0" builtinId="0" customBuiltin="1"/>
    <cellStyle name="Normal - Style1" xfId="433" xr:uid="{00000000-0005-0000-0000-0000A1010000}"/>
    <cellStyle name="Normal - Style1 2" xfId="434" xr:uid="{00000000-0005-0000-0000-0000A2010000}"/>
    <cellStyle name="Normal 10" xfId="435" xr:uid="{00000000-0005-0000-0000-0000A3010000}"/>
    <cellStyle name="Normal 10 2" xfId="436" xr:uid="{00000000-0005-0000-0000-0000A4010000}"/>
    <cellStyle name="Normal 10 2 2" xfId="437" xr:uid="{00000000-0005-0000-0000-0000A5010000}"/>
    <cellStyle name="Normal 10 2 2 2" xfId="438" xr:uid="{00000000-0005-0000-0000-0000A6010000}"/>
    <cellStyle name="Normal 10 3" xfId="439" xr:uid="{00000000-0005-0000-0000-0000A7010000}"/>
    <cellStyle name="Normal 11" xfId="440" xr:uid="{00000000-0005-0000-0000-0000A8010000}"/>
    <cellStyle name="Normal 11 2" xfId="441" xr:uid="{00000000-0005-0000-0000-0000A9010000}"/>
    <cellStyle name="Normal 11 3" xfId="442" xr:uid="{00000000-0005-0000-0000-0000AA010000}"/>
    <cellStyle name="Normal 11 4" xfId="443" xr:uid="{00000000-0005-0000-0000-0000AB010000}"/>
    <cellStyle name="Normal 11 5" xfId="444" xr:uid="{00000000-0005-0000-0000-0000AC010000}"/>
    <cellStyle name="Normal 114" xfId="445" xr:uid="{00000000-0005-0000-0000-0000AD010000}"/>
    <cellStyle name="Normal 114 2" xfId="446" xr:uid="{00000000-0005-0000-0000-0000AE010000}"/>
    <cellStyle name="Normal 12" xfId="447" xr:uid="{00000000-0005-0000-0000-0000AF010000}"/>
    <cellStyle name="Normal 12 2" xfId="448" xr:uid="{00000000-0005-0000-0000-0000B0010000}"/>
    <cellStyle name="Normal 12 3" xfId="449" xr:uid="{00000000-0005-0000-0000-0000B1010000}"/>
    <cellStyle name="Normal 13" xfId="450" xr:uid="{00000000-0005-0000-0000-0000B2010000}"/>
    <cellStyle name="Normal 13 2" xfId="451" xr:uid="{00000000-0005-0000-0000-0000B3010000}"/>
    <cellStyle name="Normal 13 3" xfId="452" xr:uid="{00000000-0005-0000-0000-0000B4010000}"/>
    <cellStyle name="Normal 13_29(d) - Gas extensions -tariffs" xfId="453" xr:uid="{00000000-0005-0000-0000-0000B5010000}"/>
    <cellStyle name="Normal 14" xfId="454" xr:uid="{00000000-0005-0000-0000-0000B6010000}"/>
    <cellStyle name="Normal 14 2" xfId="455" xr:uid="{00000000-0005-0000-0000-0000B7010000}"/>
    <cellStyle name="Normal 14 3" xfId="456" xr:uid="{00000000-0005-0000-0000-0000B8010000}"/>
    <cellStyle name="Normal 14 3 2" xfId="457" xr:uid="{00000000-0005-0000-0000-0000B9010000}"/>
    <cellStyle name="Normal 14 3 3" xfId="458" xr:uid="{00000000-0005-0000-0000-0000BA010000}"/>
    <cellStyle name="Normal 14 4" xfId="459" xr:uid="{00000000-0005-0000-0000-0000BB010000}"/>
    <cellStyle name="Normal 14 5" xfId="460" xr:uid="{00000000-0005-0000-0000-0000BC010000}"/>
    <cellStyle name="Normal 14 6" xfId="461" xr:uid="{00000000-0005-0000-0000-0000BD010000}"/>
    <cellStyle name="Normal 14 7" xfId="462" xr:uid="{00000000-0005-0000-0000-0000BE010000}"/>
    <cellStyle name="Normal 15" xfId="463" xr:uid="{00000000-0005-0000-0000-0000BF010000}"/>
    <cellStyle name="Normal 15 2" xfId="464" xr:uid="{00000000-0005-0000-0000-0000C0010000}"/>
    <cellStyle name="Normal 15 3" xfId="465" xr:uid="{00000000-0005-0000-0000-0000C1010000}"/>
    <cellStyle name="Normal 16" xfId="466" xr:uid="{00000000-0005-0000-0000-0000C2010000}"/>
    <cellStyle name="Normal 16 2" xfId="467" xr:uid="{00000000-0005-0000-0000-0000C3010000}"/>
    <cellStyle name="Normal 16 3" xfId="468" xr:uid="{00000000-0005-0000-0000-0000C4010000}"/>
    <cellStyle name="Normal 17" xfId="469" xr:uid="{00000000-0005-0000-0000-0000C5010000}"/>
    <cellStyle name="Normal 17 2" xfId="470" xr:uid="{00000000-0005-0000-0000-0000C6010000}"/>
    <cellStyle name="Normal 17 2 2" xfId="471" xr:uid="{00000000-0005-0000-0000-0000C7010000}"/>
    <cellStyle name="Normal 17 2 2 2" xfId="472" xr:uid="{00000000-0005-0000-0000-0000C8010000}"/>
    <cellStyle name="Normal 17 2 2 3" xfId="473" xr:uid="{00000000-0005-0000-0000-0000C9010000}"/>
    <cellStyle name="Normal 17 2 3" xfId="474" xr:uid="{00000000-0005-0000-0000-0000CA010000}"/>
    <cellStyle name="Normal 17 2 4" xfId="475" xr:uid="{00000000-0005-0000-0000-0000CB010000}"/>
    <cellStyle name="Normal 17 2 5" xfId="476" xr:uid="{00000000-0005-0000-0000-0000CC010000}"/>
    <cellStyle name="Normal 17 3" xfId="477" xr:uid="{00000000-0005-0000-0000-0000CD010000}"/>
    <cellStyle name="Normal 17 3 2" xfId="478" xr:uid="{00000000-0005-0000-0000-0000CE010000}"/>
    <cellStyle name="Normal 17 3 2 2" xfId="479" xr:uid="{00000000-0005-0000-0000-0000CF010000}"/>
    <cellStyle name="Normal 17 3 2 3" xfId="480" xr:uid="{00000000-0005-0000-0000-0000D0010000}"/>
    <cellStyle name="Normal 17 3 3" xfId="481" xr:uid="{00000000-0005-0000-0000-0000D1010000}"/>
    <cellStyle name="Normal 17 3 4" xfId="482" xr:uid="{00000000-0005-0000-0000-0000D2010000}"/>
    <cellStyle name="Normal 17 4" xfId="483" xr:uid="{00000000-0005-0000-0000-0000D3010000}"/>
    <cellStyle name="Normal 17 4 2" xfId="484" xr:uid="{00000000-0005-0000-0000-0000D4010000}"/>
    <cellStyle name="Normal 17 4 3" xfId="485" xr:uid="{00000000-0005-0000-0000-0000D5010000}"/>
    <cellStyle name="Normal 17 5" xfId="486" xr:uid="{00000000-0005-0000-0000-0000D6010000}"/>
    <cellStyle name="Normal 17 6" xfId="487" xr:uid="{00000000-0005-0000-0000-0000D7010000}"/>
    <cellStyle name="Normal 17 7" xfId="488" xr:uid="{00000000-0005-0000-0000-0000D8010000}"/>
    <cellStyle name="Normal 18" xfId="489" xr:uid="{00000000-0005-0000-0000-0000D9010000}"/>
    <cellStyle name="Normal 18 2" xfId="490" xr:uid="{00000000-0005-0000-0000-0000DA010000}"/>
    <cellStyle name="Normal 18 2 2" xfId="491" xr:uid="{00000000-0005-0000-0000-0000DB010000}"/>
    <cellStyle name="Normal 18 3" xfId="492" xr:uid="{00000000-0005-0000-0000-0000DC010000}"/>
    <cellStyle name="Normal 19" xfId="493" xr:uid="{00000000-0005-0000-0000-0000DD010000}"/>
    <cellStyle name="Normal 19 2" xfId="494" xr:uid="{00000000-0005-0000-0000-0000DE010000}"/>
    <cellStyle name="Normal 2" xfId="49" xr:uid="{00000000-0005-0000-0000-0000DF010000}"/>
    <cellStyle name="Normal 2 2" xfId="495" xr:uid="{00000000-0005-0000-0000-0000E0010000}"/>
    <cellStyle name="Normal 2 2 2" xfId="496" xr:uid="{00000000-0005-0000-0000-0000E1010000}"/>
    <cellStyle name="Normal 2 2 3" xfId="497" xr:uid="{00000000-0005-0000-0000-0000E2010000}"/>
    <cellStyle name="Normal 2 2 3 2" xfId="498" xr:uid="{00000000-0005-0000-0000-0000E3010000}"/>
    <cellStyle name="Normal 2 2 3 3" xfId="499" xr:uid="{00000000-0005-0000-0000-0000E4010000}"/>
    <cellStyle name="Normal 2 2 4" xfId="500" xr:uid="{00000000-0005-0000-0000-0000E5010000}"/>
    <cellStyle name="Normal 2 2 5" xfId="501" xr:uid="{00000000-0005-0000-0000-0000E6010000}"/>
    <cellStyle name="Normal 2 3" xfId="502" xr:uid="{00000000-0005-0000-0000-0000E7010000}"/>
    <cellStyle name="Normal 2 3 2" xfId="503" xr:uid="{00000000-0005-0000-0000-0000E8010000}"/>
    <cellStyle name="Normal 2 3 3" xfId="504" xr:uid="{00000000-0005-0000-0000-0000E9010000}"/>
    <cellStyle name="Normal 2 3_29(d) - Gas extensions -tariffs" xfId="505" xr:uid="{00000000-0005-0000-0000-0000EA010000}"/>
    <cellStyle name="Normal 2 4" xfId="506" xr:uid="{00000000-0005-0000-0000-0000EB010000}"/>
    <cellStyle name="Normal 2 4 2" xfId="507" xr:uid="{00000000-0005-0000-0000-0000EC010000}"/>
    <cellStyle name="Normal 2 4 3" xfId="508" xr:uid="{00000000-0005-0000-0000-0000ED010000}"/>
    <cellStyle name="Normal 2 5" xfId="509" xr:uid="{00000000-0005-0000-0000-0000EE010000}"/>
    <cellStyle name="Normal 2 6" xfId="510" xr:uid="{00000000-0005-0000-0000-0000EF010000}"/>
    <cellStyle name="Normal 2_29(d) - Gas extensions -tariffs" xfId="511" xr:uid="{00000000-0005-0000-0000-0000F0010000}"/>
    <cellStyle name="Normal 20" xfId="512" xr:uid="{00000000-0005-0000-0000-0000F1010000}"/>
    <cellStyle name="Normal 20 2" xfId="513" xr:uid="{00000000-0005-0000-0000-0000F2010000}"/>
    <cellStyle name="Normal 20 2 2" xfId="514" xr:uid="{00000000-0005-0000-0000-0000F3010000}"/>
    <cellStyle name="Normal 20 3" xfId="515" xr:uid="{00000000-0005-0000-0000-0000F4010000}"/>
    <cellStyle name="Normal 20 4" xfId="516" xr:uid="{00000000-0005-0000-0000-0000F5010000}"/>
    <cellStyle name="Normal 20 5" xfId="517" xr:uid="{00000000-0005-0000-0000-0000F6010000}"/>
    <cellStyle name="Normal 206" xfId="518" xr:uid="{00000000-0005-0000-0000-0000F7010000}"/>
    <cellStyle name="Normal 21" xfId="519" xr:uid="{00000000-0005-0000-0000-0000F8010000}"/>
    <cellStyle name="Normal 21 2" xfId="520" xr:uid="{00000000-0005-0000-0000-0000F9010000}"/>
    <cellStyle name="Normal 21 3" xfId="521" xr:uid="{00000000-0005-0000-0000-0000FA010000}"/>
    <cellStyle name="Normal 22" xfId="522" xr:uid="{00000000-0005-0000-0000-0000FB010000}"/>
    <cellStyle name="Normal 23" xfId="523" xr:uid="{00000000-0005-0000-0000-0000FC010000}"/>
    <cellStyle name="Normal 23 2" xfId="524" xr:uid="{00000000-0005-0000-0000-0000FD010000}"/>
    <cellStyle name="Normal 23 2 2" xfId="525" xr:uid="{00000000-0005-0000-0000-0000FE010000}"/>
    <cellStyle name="Normal 23 3" xfId="526" xr:uid="{00000000-0005-0000-0000-0000FF010000}"/>
    <cellStyle name="Normal 23 4" xfId="527" xr:uid="{00000000-0005-0000-0000-000000020000}"/>
    <cellStyle name="Normal 24" xfId="528" xr:uid="{00000000-0005-0000-0000-000001020000}"/>
    <cellStyle name="Normal 24 2" xfId="529" xr:uid="{00000000-0005-0000-0000-000002020000}"/>
    <cellStyle name="Normal 24 2 2" xfId="530" xr:uid="{00000000-0005-0000-0000-000003020000}"/>
    <cellStyle name="Normal 24 3" xfId="531" xr:uid="{00000000-0005-0000-0000-000004020000}"/>
    <cellStyle name="Normal 24 4" xfId="532" xr:uid="{00000000-0005-0000-0000-000005020000}"/>
    <cellStyle name="Normal 25" xfId="533" xr:uid="{00000000-0005-0000-0000-000006020000}"/>
    <cellStyle name="Normal 25 2" xfId="534" xr:uid="{00000000-0005-0000-0000-000007020000}"/>
    <cellStyle name="Normal 25 2 2" xfId="535" xr:uid="{00000000-0005-0000-0000-000008020000}"/>
    <cellStyle name="Normal 25 3" xfId="536" xr:uid="{00000000-0005-0000-0000-000009020000}"/>
    <cellStyle name="Normal 25 4" xfId="537" xr:uid="{00000000-0005-0000-0000-00000A020000}"/>
    <cellStyle name="Normal 26" xfId="538" xr:uid="{00000000-0005-0000-0000-00000B020000}"/>
    <cellStyle name="Normal 26 2" xfId="539" xr:uid="{00000000-0005-0000-0000-00000C020000}"/>
    <cellStyle name="Normal 26 2 2" xfId="540" xr:uid="{00000000-0005-0000-0000-00000D020000}"/>
    <cellStyle name="Normal 26 3" xfId="541" xr:uid="{00000000-0005-0000-0000-00000E020000}"/>
    <cellStyle name="Normal 26 4" xfId="542" xr:uid="{00000000-0005-0000-0000-00000F020000}"/>
    <cellStyle name="Normal 27" xfId="543" xr:uid="{00000000-0005-0000-0000-000010020000}"/>
    <cellStyle name="Normal 28" xfId="544" xr:uid="{00000000-0005-0000-0000-000011020000}"/>
    <cellStyle name="Normal 28 2" xfId="545" xr:uid="{00000000-0005-0000-0000-000012020000}"/>
    <cellStyle name="Normal 29" xfId="546" xr:uid="{00000000-0005-0000-0000-000013020000}"/>
    <cellStyle name="Normal 3" xfId="51" xr:uid="{00000000-0005-0000-0000-000014020000}"/>
    <cellStyle name="Normal 3 2" xfId="547" xr:uid="{00000000-0005-0000-0000-000015020000}"/>
    <cellStyle name="Normal 3 2 2" xfId="548" xr:uid="{00000000-0005-0000-0000-000016020000}"/>
    <cellStyle name="Normal 3 2 3" xfId="549" xr:uid="{00000000-0005-0000-0000-000017020000}"/>
    <cellStyle name="Normal 3 3" xfId="550" xr:uid="{00000000-0005-0000-0000-000018020000}"/>
    <cellStyle name="Normal 3 3 2" xfId="551" xr:uid="{00000000-0005-0000-0000-000019020000}"/>
    <cellStyle name="Normal 3 3 3" xfId="552" xr:uid="{00000000-0005-0000-0000-00001A020000}"/>
    <cellStyle name="Normal 3 3 4" xfId="553" xr:uid="{00000000-0005-0000-0000-00001B020000}"/>
    <cellStyle name="Normal 3 4" xfId="554" xr:uid="{00000000-0005-0000-0000-00001C020000}"/>
    <cellStyle name="Normal 3 4 2" xfId="555" xr:uid="{00000000-0005-0000-0000-00001D020000}"/>
    <cellStyle name="Normal 3 5" xfId="556" xr:uid="{00000000-0005-0000-0000-00001E020000}"/>
    <cellStyle name="Normal 3 5 2" xfId="557" xr:uid="{00000000-0005-0000-0000-00001F020000}"/>
    <cellStyle name="Normal 3 5 3" xfId="558" xr:uid="{00000000-0005-0000-0000-000020020000}"/>
    <cellStyle name="Normal 3_29(d) - Gas extensions -tariffs" xfId="559" xr:uid="{00000000-0005-0000-0000-000021020000}"/>
    <cellStyle name="Normal 30" xfId="560" xr:uid="{00000000-0005-0000-0000-000022020000}"/>
    <cellStyle name="Normal 31" xfId="561" xr:uid="{00000000-0005-0000-0000-000023020000}"/>
    <cellStyle name="Normal 32" xfId="562" xr:uid="{00000000-0005-0000-0000-000024020000}"/>
    <cellStyle name="Normal 32 2" xfId="563" xr:uid="{00000000-0005-0000-0000-000025020000}"/>
    <cellStyle name="Normal 33" xfId="564" xr:uid="{00000000-0005-0000-0000-000026020000}"/>
    <cellStyle name="Normal 34" xfId="565" xr:uid="{00000000-0005-0000-0000-000027020000}"/>
    <cellStyle name="Normal 35" xfId="566" xr:uid="{00000000-0005-0000-0000-000028020000}"/>
    <cellStyle name="Normal 36" xfId="567" xr:uid="{00000000-0005-0000-0000-000029020000}"/>
    <cellStyle name="Normal 37" xfId="568" xr:uid="{00000000-0005-0000-0000-00002A020000}"/>
    <cellStyle name="Normal 38" xfId="569" xr:uid="{00000000-0005-0000-0000-00002B020000}"/>
    <cellStyle name="Normal 38 2" xfId="570" xr:uid="{00000000-0005-0000-0000-00002C020000}"/>
    <cellStyle name="Normal 38_29(d) - Gas extensions -tariffs" xfId="571" xr:uid="{00000000-0005-0000-0000-00002D020000}"/>
    <cellStyle name="Normal 39" xfId="572" xr:uid="{00000000-0005-0000-0000-00002E020000}"/>
    <cellStyle name="Normal 4" xfId="573" xr:uid="{00000000-0005-0000-0000-00002F020000}"/>
    <cellStyle name="Normal 4 2" xfId="574" xr:uid="{00000000-0005-0000-0000-000030020000}"/>
    <cellStyle name="Normal 4 2 2" xfId="575" xr:uid="{00000000-0005-0000-0000-000031020000}"/>
    <cellStyle name="Normal 4 2 2 2" xfId="576" xr:uid="{00000000-0005-0000-0000-000032020000}"/>
    <cellStyle name="Normal 4 2 2 2 2" xfId="577" xr:uid="{00000000-0005-0000-0000-000033020000}"/>
    <cellStyle name="Normal 4 2 2 2 3" xfId="578" xr:uid="{00000000-0005-0000-0000-000034020000}"/>
    <cellStyle name="Normal 4 2 2 3" xfId="579" xr:uid="{00000000-0005-0000-0000-000035020000}"/>
    <cellStyle name="Normal 4 2 2 4" xfId="580" xr:uid="{00000000-0005-0000-0000-000036020000}"/>
    <cellStyle name="Normal 4 2 3" xfId="581" xr:uid="{00000000-0005-0000-0000-000037020000}"/>
    <cellStyle name="Normal 4 2 3 2" xfId="582" xr:uid="{00000000-0005-0000-0000-000038020000}"/>
    <cellStyle name="Normal 4 2 3 2 2" xfId="583" xr:uid="{00000000-0005-0000-0000-000039020000}"/>
    <cellStyle name="Normal 4 2 3 2 3" xfId="584" xr:uid="{00000000-0005-0000-0000-00003A020000}"/>
    <cellStyle name="Normal 4 2 3 3" xfId="585" xr:uid="{00000000-0005-0000-0000-00003B020000}"/>
    <cellStyle name="Normal 4 2 3 4" xfId="586" xr:uid="{00000000-0005-0000-0000-00003C020000}"/>
    <cellStyle name="Normal 4 2 4" xfId="587" xr:uid="{00000000-0005-0000-0000-00003D020000}"/>
    <cellStyle name="Normal 4 3" xfId="588" xr:uid="{00000000-0005-0000-0000-00003E020000}"/>
    <cellStyle name="Normal 4 3 2" xfId="589" xr:uid="{00000000-0005-0000-0000-00003F020000}"/>
    <cellStyle name="Normal 4 3 2 2" xfId="590" xr:uid="{00000000-0005-0000-0000-000040020000}"/>
    <cellStyle name="Normal 4 3 2 3" xfId="591" xr:uid="{00000000-0005-0000-0000-000041020000}"/>
    <cellStyle name="Normal 4 3 3" xfId="592" xr:uid="{00000000-0005-0000-0000-000042020000}"/>
    <cellStyle name="Normal 4 3 3 2" xfId="593" xr:uid="{00000000-0005-0000-0000-000043020000}"/>
    <cellStyle name="Normal 4 3 4" xfId="594" xr:uid="{00000000-0005-0000-0000-000044020000}"/>
    <cellStyle name="Normal 4 4" xfId="595" xr:uid="{00000000-0005-0000-0000-000045020000}"/>
    <cellStyle name="Normal 4 5" xfId="596" xr:uid="{00000000-0005-0000-0000-000046020000}"/>
    <cellStyle name="Normal 4 6" xfId="597" xr:uid="{00000000-0005-0000-0000-000047020000}"/>
    <cellStyle name="Normal 4 7" xfId="598" xr:uid="{00000000-0005-0000-0000-000048020000}"/>
    <cellStyle name="Normal 4_29(d) - Gas extensions -tariffs" xfId="599" xr:uid="{00000000-0005-0000-0000-000049020000}"/>
    <cellStyle name="Normal 40" xfId="600" xr:uid="{00000000-0005-0000-0000-00004A020000}"/>
    <cellStyle name="Normal 40 2" xfId="601" xr:uid="{00000000-0005-0000-0000-00004B020000}"/>
    <cellStyle name="Normal 40_29(d) - Gas extensions -tariffs" xfId="602" xr:uid="{00000000-0005-0000-0000-00004C020000}"/>
    <cellStyle name="Normal 41" xfId="603" xr:uid="{00000000-0005-0000-0000-00004D020000}"/>
    <cellStyle name="Normal 42" xfId="604" xr:uid="{00000000-0005-0000-0000-00004E020000}"/>
    <cellStyle name="Normal 43" xfId="605" xr:uid="{00000000-0005-0000-0000-00004F020000}"/>
    <cellStyle name="Normal 44" xfId="813" xr:uid="{00000000-0005-0000-0000-000050020000}"/>
    <cellStyle name="Normal 45" xfId="816" xr:uid="{00000000-0005-0000-0000-000051020000}"/>
    <cellStyle name="Normal 484" xfId="606" xr:uid="{00000000-0005-0000-0000-000052020000}"/>
    <cellStyle name="Normal 5" xfId="607" xr:uid="{00000000-0005-0000-0000-000053020000}"/>
    <cellStyle name="Normal 5 2" xfId="608" xr:uid="{00000000-0005-0000-0000-000054020000}"/>
    <cellStyle name="Normal 5 2 2" xfId="609" xr:uid="{00000000-0005-0000-0000-000055020000}"/>
    <cellStyle name="Normal 5 2 3" xfId="610" xr:uid="{00000000-0005-0000-0000-000056020000}"/>
    <cellStyle name="Normal 5 3" xfId="611" xr:uid="{00000000-0005-0000-0000-000057020000}"/>
    <cellStyle name="Normal 5 3 2" xfId="612" xr:uid="{00000000-0005-0000-0000-000058020000}"/>
    <cellStyle name="Normal 5 4" xfId="613" xr:uid="{00000000-0005-0000-0000-000059020000}"/>
    <cellStyle name="Normal 6" xfId="614" xr:uid="{00000000-0005-0000-0000-00005A020000}"/>
    <cellStyle name="Normal 6 2" xfId="615" xr:uid="{00000000-0005-0000-0000-00005B020000}"/>
    <cellStyle name="Normal 6 2 2" xfId="616" xr:uid="{00000000-0005-0000-0000-00005C020000}"/>
    <cellStyle name="Normal 6 2 3" xfId="617" xr:uid="{00000000-0005-0000-0000-00005D020000}"/>
    <cellStyle name="Normal 6 3" xfId="618" xr:uid="{00000000-0005-0000-0000-00005E020000}"/>
    <cellStyle name="Normal 6 4" xfId="619" xr:uid="{00000000-0005-0000-0000-00005F020000}"/>
    <cellStyle name="Normal 7" xfId="620" xr:uid="{00000000-0005-0000-0000-000060020000}"/>
    <cellStyle name="Normal 7 2" xfId="621" xr:uid="{00000000-0005-0000-0000-000061020000}"/>
    <cellStyle name="Normal 7 2 2" xfId="622" xr:uid="{00000000-0005-0000-0000-000062020000}"/>
    <cellStyle name="Normal 7 2 2 2" xfId="623" xr:uid="{00000000-0005-0000-0000-000063020000}"/>
    <cellStyle name="Normal 7 2 2 3" xfId="624" xr:uid="{00000000-0005-0000-0000-000064020000}"/>
    <cellStyle name="Normal 7 2 3" xfId="625" xr:uid="{00000000-0005-0000-0000-000065020000}"/>
    <cellStyle name="Normal 7 2 4" xfId="626" xr:uid="{00000000-0005-0000-0000-000066020000}"/>
    <cellStyle name="Normal 7 2 5" xfId="627" xr:uid="{00000000-0005-0000-0000-000067020000}"/>
    <cellStyle name="Normal 8" xfId="628" xr:uid="{00000000-0005-0000-0000-000068020000}"/>
    <cellStyle name="Normal 8 2" xfId="629" xr:uid="{00000000-0005-0000-0000-000069020000}"/>
    <cellStyle name="Normal 8 2 2" xfId="630" xr:uid="{00000000-0005-0000-0000-00006A020000}"/>
    <cellStyle name="Normal 8 2 3" xfId="631" xr:uid="{00000000-0005-0000-0000-00006B020000}"/>
    <cellStyle name="Normal 8 2 3 2" xfId="632" xr:uid="{00000000-0005-0000-0000-00006C020000}"/>
    <cellStyle name="Normal 8 2 3 3" xfId="633" xr:uid="{00000000-0005-0000-0000-00006D020000}"/>
    <cellStyle name="Normal 8 2 4" xfId="634" xr:uid="{00000000-0005-0000-0000-00006E020000}"/>
    <cellStyle name="Normal 9" xfId="635" xr:uid="{00000000-0005-0000-0000-00006F020000}"/>
    <cellStyle name="Normal 9 2" xfId="636" xr:uid="{00000000-0005-0000-0000-000070020000}"/>
    <cellStyle name="Note" xfId="30" builtinId="10" hidden="1"/>
    <cellStyle name="Note 2" xfId="637" xr:uid="{00000000-0005-0000-0000-000072020000}"/>
    <cellStyle name="Note 2 2" xfId="638" xr:uid="{00000000-0005-0000-0000-000073020000}"/>
    <cellStyle name="Note 2 2 2" xfId="639" xr:uid="{00000000-0005-0000-0000-000074020000}"/>
    <cellStyle name="Note 2 3" xfId="640" xr:uid="{00000000-0005-0000-0000-000075020000}"/>
    <cellStyle name="Note 2 4" xfId="641" xr:uid="{00000000-0005-0000-0000-000076020000}"/>
    <cellStyle name="Note 3" xfId="642" xr:uid="{00000000-0005-0000-0000-000077020000}"/>
    <cellStyle name="Note 3 2" xfId="643" xr:uid="{00000000-0005-0000-0000-000078020000}"/>
    <cellStyle name="Note 3 3" xfId="644" xr:uid="{00000000-0005-0000-0000-000079020000}"/>
    <cellStyle name="Note 3 4" xfId="645" xr:uid="{00000000-0005-0000-0000-00007A020000}"/>
    <cellStyle name="Note 4" xfId="646" xr:uid="{00000000-0005-0000-0000-00007B020000}"/>
    <cellStyle name="Note 4 2" xfId="647" xr:uid="{00000000-0005-0000-0000-00007C020000}"/>
    <cellStyle name="Note 4 2 2" xfId="648" xr:uid="{00000000-0005-0000-0000-00007D020000}"/>
    <cellStyle name="Note 4 3" xfId="649" xr:uid="{00000000-0005-0000-0000-00007E020000}"/>
    <cellStyle name="Note 4 4" xfId="650" xr:uid="{00000000-0005-0000-0000-00007F020000}"/>
    <cellStyle name="Number" xfId="13" xr:uid="{00000000-0005-0000-0000-000080020000}"/>
    <cellStyle name="Number Assumptions" xfId="14" xr:uid="{00000000-0005-0000-0000-000081020000}"/>
    <cellStyle name="Number Input" xfId="40" xr:uid="{00000000-0005-0000-0000-000082020000}"/>
    <cellStyle name="Output" xfId="25" builtinId="21" hidden="1"/>
    <cellStyle name="Output 2" xfId="651" xr:uid="{00000000-0005-0000-0000-000084020000}"/>
    <cellStyle name="Output 2 2" xfId="652" xr:uid="{00000000-0005-0000-0000-000085020000}"/>
    <cellStyle name="Output 2 2 2" xfId="653" xr:uid="{00000000-0005-0000-0000-000086020000}"/>
    <cellStyle name="Output 2 3" xfId="654" xr:uid="{00000000-0005-0000-0000-000087020000}"/>
    <cellStyle name="Output 2 3 2" xfId="655" xr:uid="{00000000-0005-0000-0000-000088020000}"/>
    <cellStyle name="Output 2 4" xfId="656" xr:uid="{00000000-0005-0000-0000-000089020000}"/>
    <cellStyle name="Output 2 5" xfId="657" xr:uid="{00000000-0005-0000-0000-00008A020000}"/>
    <cellStyle name="Output 3" xfId="658" xr:uid="{00000000-0005-0000-0000-00008B020000}"/>
    <cellStyle name="Output Amounts" xfId="659" xr:uid="{00000000-0005-0000-0000-00008C020000}"/>
    <cellStyle name="Output Line Items" xfId="660" xr:uid="{00000000-0005-0000-0000-00008D020000}"/>
    <cellStyle name="Percent" xfId="46" builtinId="5" hidden="1"/>
    <cellStyle name="Percent" xfId="52" builtinId="5"/>
    <cellStyle name="Percent [2]" xfId="661" xr:uid="{00000000-0005-0000-0000-000090020000}"/>
    <cellStyle name="Percent [2] 2" xfId="662" xr:uid="{00000000-0005-0000-0000-000091020000}"/>
    <cellStyle name="Percent [2]_29(d) - Gas extensions -tariffs" xfId="663" xr:uid="{00000000-0005-0000-0000-000092020000}"/>
    <cellStyle name="Percent 10" xfId="664" xr:uid="{00000000-0005-0000-0000-000093020000}"/>
    <cellStyle name="Percent 11" xfId="665" xr:uid="{00000000-0005-0000-0000-000094020000}"/>
    <cellStyle name="Percent 12" xfId="666" xr:uid="{00000000-0005-0000-0000-000095020000}"/>
    <cellStyle name="Percent 12 2" xfId="667" xr:uid="{00000000-0005-0000-0000-000096020000}"/>
    <cellStyle name="Percent 12 2 2" xfId="668" xr:uid="{00000000-0005-0000-0000-000097020000}"/>
    <cellStyle name="Percent 12 3" xfId="669" xr:uid="{00000000-0005-0000-0000-000098020000}"/>
    <cellStyle name="Percent 12 4" xfId="670" xr:uid="{00000000-0005-0000-0000-000099020000}"/>
    <cellStyle name="Percent 13" xfId="671" xr:uid="{00000000-0005-0000-0000-00009A020000}"/>
    <cellStyle name="Percent 14" xfId="672" xr:uid="{00000000-0005-0000-0000-00009B020000}"/>
    <cellStyle name="Percent 15" xfId="673" xr:uid="{00000000-0005-0000-0000-00009C020000}"/>
    <cellStyle name="Percent 16" xfId="814" xr:uid="{00000000-0005-0000-0000-00009D020000}"/>
    <cellStyle name="Percent 2" xfId="674" xr:uid="{00000000-0005-0000-0000-00009E020000}"/>
    <cellStyle name="Percent 2 2" xfId="675" xr:uid="{00000000-0005-0000-0000-00009F020000}"/>
    <cellStyle name="Percent 2 2 2" xfId="676" xr:uid="{00000000-0005-0000-0000-0000A0020000}"/>
    <cellStyle name="Percent 2 2 2 2" xfId="677" xr:uid="{00000000-0005-0000-0000-0000A1020000}"/>
    <cellStyle name="Percent 2 2 2 2 2" xfId="678" xr:uid="{00000000-0005-0000-0000-0000A2020000}"/>
    <cellStyle name="Percent 2 2 2 2 3" xfId="679" xr:uid="{00000000-0005-0000-0000-0000A3020000}"/>
    <cellStyle name="Percent 2 2 2 3" xfId="680" xr:uid="{00000000-0005-0000-0000-0000A4020000}"/>
    <cellStyle name="Percent 2 2 2 4" xfId="681" xr:uid="{00000000-0005-0000-0000-0000A5020000}"/>
    <cellStyle name="Percent 2 2 3" xfId="682" xr:uid="{00000000-0005-0000-0000-0000A6020000}"/>
    <cellStyle name="Percent 2 2 3 2" xfId="683" xr:uid="{00000000-0005-0000-0000-0000A7020000}"/>
    <cellStyle name="Percent 2 2 3 2 2" xfId="684" xr:uid="{00000000-0005-0000-0000-0000A8020000}"/>
    <cellStyle name="Percent 2 2 3 2 3" xfId="685" xr:uid="{00000000-0005-0000-0000-0000A9020000}"/>
    <cellStyle name="Percent 2 2 3 3" xfId="686" xr:uid="{00000000-0005-0000-0000-0000AA020000}"/>
    <cellStyle name="Percent 2 2 3 4" xfId="687" xr:uid="{00000000-0005-0000-0000-0000AB020000}"/>
    <cellStyle name="Percent 2 2 4" xfId="688" xr:uid="{00000000-0005-0000-0000-0000AC020000}"/>
    <cellStyle name="Percent 2 3" xfId="689" xr:uid="{00000000-0005-0000-0000-0000AD020000}"/>
    <cellStyle name="Percent 2 3 2" xfId="690" xr:uid="{00000000-0005-0000-0000-0000AE020000}"/>
    <cellStyle name="Percent 2 3 2 2" xfId="691" xr:uid="{00000000-0005-0000-0000-0000AF020000}"/>
    <cellStyle name="Percent 2 3 2 3" xfId="692" xr:uid="{00000000-0005-0000-0000-0000B0020000}"/>
    <cellStyle name="Percent 2 3 3" xfId="693" xr:uid="{00000000-0005-0000-0000-0000B1020000}"/>
    <cellStyle name="Percent 2 3 4" xfId="694" xr:uid="{00000000-0005-0000-0000-0000B2020000}"/>
    <cellStyle name="Percent 2 4" xfId="695" xr:uid="{00000000-0005-0000-0000-0000B3020000}"/>
    <cellStyle name="Percent 2 4 2" xfId="696" xr:uid="{00000000-0005-0000-0000-0000B4020000}"/>
    <cellStyle name="Percent 2 4 2 2" xfId="697" xr:uid="{00000000-0005-0000-0000-0000B5020000}"/>
    <cellStyle name="Percent 2 4 2 3" xfId="698" xr:uid="{00000000-0005-0000-0000-0000B6020000}"/>
    <cellStyle name="Percent 2 4 3" xfId="699" xr:uid="{00000000-0005-0000-0000-0000B7020000}"/>
    <cellStyle name="Percent 2 4 4" xfId="700" xr:uid="{00000000-0005-0000-0000-0000B8020000}"/>
    <cellStyle name="Percent 3" xfId="701" xr:uid="{00000000-0005-0000-0000-0000B9020000}"/>
    <cellStyle name="Percent 3 2" xfId="702" xr:uid="{00000000-0005-0000-0000-0000BA020000}"/>
    <cellStyle name="Percent 3 4" xfId="703" xr:uid="{00000000-0005-0000-0000-0000BB020000}"/>
    <cellStyle name="Percent 3 4 2" xfId="704" xr:uid="{00000000-0005-0000-0000-0000BC020000}"/>
    <cellStyle name="Percent 3 4 3" xfId="705" xr:uid="{00000000-0005-0000-0000-0000BD020000}"/>
    <cellStyle name="Percent 4" xfId="706" xr:uid="{00000000-0005-0000-0000-0000BE020000}"/>
    <cellStyle name="Percent 4 2" xfId="707" xr:uid="{00000000-0005-0000-0000-0000BF020000}"/>
    <cellStyle name="Percent 5" xfId="48" xr:uid="{00000000-0005-0000-0000-0000C0020000}"/>
    <cellStyle name="Percent 5 2" xfId="708" xr:uid="{00000000-0005-0000-0000-0000C1020000}"/>
    <cellStyle name="Percent 5 3" xfId="709" xr:uid="{00000000-0005-0000-0000-0000C2020000}"/>
    <cellStyle name="Percent 5 4" xfId="710" xr:uid="{00000000-0005-0000-0000-0000C3020000}"/>
    <cellStyle name="Percent 6" xfId="711" xr:uid="{00000000-0005-0000-0000-0000C4020000}"/>
    <cellStyle name="Percent 6 2" xfId="712" xr:uid="{00000000-0005-0000-0000-0000C5020000}"/>
    <cellStyle name="Percent 7" xfId="713" xr:uid="{00000000-0005-0000-0000-0000C6020000}"/>
    <cellStyle name="Percent 8" xfId="714" xr:uid="{00000000-0005-0000-0000-0000C7020000}"/>
    <cellStyle name="Percent 9" xfId="715" xr:uid="{00000000-0005-0000-0000-0000C8020000}"/>
    <cellStyle name="Percentage" xfId="15" xr:uid="{00000000-0005-0000-0000-0000C9020000}"/>
    <cellStyle name="Percentage Assumptions" xfId="16" xr:uid="{00000000-0005-0000-0000-0000CA020000}"/>
    <cellStyle name="Percentage Input" xfId="44" xr:uid="{00000000-0005-0000-0000-0000CB020000}"/>
    <cellStyle name="Period Title" xfId="716" xr:uid="{00000000-0005-0000-0000-0000CC020000}"/>
    <cellStyle name="PSChar" xfId="717" xr:uid="{00000000-0005-0000-0000-0000CD020000}"/>
    <cellStyle name="PSDate" xfId="718" xr:uid="{00000000-0005-0000-0000-0000CE020000}"/>
    <cellStyle name="PSDec" xfId="719" xr:uid="{00000000-0005-0000-0000-0000CF020000}"/>
    <cellStyle name="PSDetail" xfId="720" xr:uid="{00000000-0005-0000-0000-0000D0020000}"/>
    <cellStyle name="PSHeading" xfId="721" xr:uid="{00000000-0005-0000-0000-0000D1020000}"/>
    <cellStyle name="PSHeading 2" xfId="722" xr:uid="{00000000-0005-0000-0000-0000D2020000}"/>
    <cellStyle name="PSHeading 2 2" xfId="723" xr:uid="{00000000-0005-0000-0000-0000D3020000}"/>
    <cellStyle name="PSHeading 2 2 2" xfId="724" xr:uid="{00000000-0005-0000-0000-0000D4020000}"/>
    <cellStyle name="PSHeading 2 3" xfId="725" xr:uid="{00000000-0005-0000-0000-0000D5020000}"/>
    <cellStyle name="PSHeading 3" xfId="726" xr:uid="{00000000-0005-0000-0000-0000D6020000}"/>
    <cellStyle name="PSHeading 3 2" xfId="727" xr:uid="{00000000-0005-0000-0000-0000D7020000}"/>
    <cellStyle name="PSHeading 3 2 2" xfId="728" xr:uid="{00000000-0005-0000-0000-0000D8020000}"/>
    <cellStyle name="PSHeading 3 2 2 2" xfId="729" xr:uid="{00000000-0005-0000-0000-0000D9020000}"/>
    <cellStyle name="PSHeading 3 2 3" xfId="730" xr:uid="{00000000-0005-0000-0000-0000DA020000}"/>
    <cellStyle name="PSHeading 3 3" xfId="731" xr:uid="{00000000-0005-0000-0000-0000DB020000}"/>
    <cellStyle name="PSHeading 4" xfId="732" xr:uid="{00000000-0005-0000-0000-0000DC020000}"/>
    <cellStyle name="PSHeading 4 2" xfId="733" xr:uid="{00000000-0005-0000-0000-0000DD020000}"/>
    <cellStyle name="PSHeading 5" xfId="734" xr:uid="{00000000-0005-0000-0000-0000DE020000}"/>
    <cellStyle name="PSInt" xfId="735" xr:uid="{00000000-0005-0000-0000-0000DF020000}"/>
    <cellStyle name="PSSpacer" xfId="736" xr:uid="{00000000-0005-0000-0000-0000E0020000}"/>
    <cellStyle name="Ratio" xfId="737" xr:uid="{00000000-0005-0000-0000-0000E1020000}"/>
    <cellStyle name="Ratio 2" xfId="738" xr:uid="{00000000-0005-0000-0000-0000E2020000}"/>
    <cellStyle name="Ratio_29(d) - Gas extensions -tariffs" xfId="739" xr:uid="{00000000-0005-0000-0000-0000E3020000}"/>
    <cellStyle name="Right Date" xfId="740" xr:uid="{00000000-0005-0000-0000-0000E4020000}"/>
    <cellStyle name="Right Number" xfId="741" xr:uid="{00000000-0005-0000-0000-0000E5020000}"/>
    <cellStyle name="Right Year" xfId="742" xr:uid="{00000000-0005-0000-0000-0000E6020000}"/>
    <cellStyle name="RIN_Input$_3dp" xfId="743" xr:uid="{00000000-0005-0000-0000-0000E7020000}"/>
    <cellStyle name="SAPError" xfId="744" xr:uid="{00000000-0005-0000-0000-0000E8020000}"/>
    <cellStyle name="SAPError 2" xfId="745" xr:uid="{00000000-0005-0000-0000-0000E9020000}"/>
    <cellStyle name="SAPKey" xfId="746" xr:uid="{00000000-0005-0000-0000-0000EA020000}"/>
    <cellStyle name="SAPKey 2" xfId="747" xr:uid="{00000000-0005-0000-0000-0000EB020000}"/>
    <cellStyle name="SAPLocked" xfId="748" xr:uid="{00000000-0005-0000-0000-0000EC020000}"/>
    <cellStyle name="SAPLocked 2" xfId="749" xr:uid="{00000000-0005-0000-0000-0000ED020000}"/>
    <cellStyle name="SAPOutput" xfId="750" xr:uid="{00000000-0005-0000-0000-0000EE020000}"/>
    <cellStyle name="SAPOutput 2" xfId="751" xr:uid="{00000000-0005-0000-0000-0000EF020000}"/>
    <cellStyle name="SAPSpace" xfId="752" xr:uid="{00000000-0005-0000-0000-0000F0020000}"/>
    <cellStyle name="SAPSpace 2" xfId="753" xr:uid="{00000000-0005-0000-0000-0000F1020000}"/>
    <cellStyle name="SAPText" xfId="754" xr:uid="{00000000-0005-0000-0000-0000F2020000}"/>
    <cellStyle name="SAPText 2" xfId="755" xr:uid="{00000000-0005-0000-0000-0000F3020000}"/>
    <cellStyle name="SAPUnLocked" xfId="756" xr:uid="{00000000-0005-0000-0000-0000F4020000}"/>
    <cellStyle name="SAPUnLocked 2" xfId="757" xr:uid="{00000000-0005-0000-0000-0000F5020000}"/>
    <cellStyle name="Sheet Title" xfId="758" xr:uid="{00000000-0005-0000-0000-0000F6020000}"/>
    <cellStyle name="Sheet Title Input" xfId="20" xr:uid="{00000000-0005-0000-0000-0000F7020000}"/>
    <cellStyle name="Sheet Title Input 2" xfId="815" xr:uid="{00000000-0005-0000-0000-0000F8020000}"/>
    <cellStyle name="Sheet Title Output" xfId="33" xr:uid="{00000000-0005-0000-0000-0000F9020000}"/>
    <cellStyle name="SheetHeader1" xfId="759" xr:uid="{00000000-0005-0000-0000-0000FA020000}"/>
    <cellStyle name="Style 1" xfId="760" xr:uid="{00000000-0005-0000-0000-0000FB020000}"/>
    <cellStyle name="Style 1 2" xfId="761" xr:uid="{00000000-0005-0000-0000-0000FC020000}"/>
    <cellStyle name="Style 1 2 2" xfId="762" xr:uid="{00000000-0005-0000-0000-0000FD020000}"/>
    <cellStyle name="Style 1 3" xfId="763" xr:uid="{00000000-0005-0000-0000-0000FE020000}"/>
    <cellStyle name="Style 1 3 2" xfId="764" xr:uid="{00000000-0005-0000-0000-0000FF020000}"/>
    <cellStyle name="Style 1 3 3" xfId="765" xr:uid="{00000000-0005-0000-0000-000000030000}"/>
    <cellStyle name="Style 1 4" xfId="766" xr:uid="{00000000-0005-0000-0000-000001030000}"/>
    <cellStyle name="Style 1_29(d) - Gas extensions -tariffs" xfId="767" xr:uid="{00000000-0005-0000-0000-000002030000}"/>
    <cellStyle name="Style2" xfId="768" xr:uid="{00000000-0005-0000-0000-000003030000}"/>
    <cellStyle name="Style3" xfId="769" xr:uid="{00000000-0005-0000-0000-000004030000}"/>
    <cellStyle name="Style4" xfId="770" xr:uid="{00000000-0005-0000-0000-000005030000}"/>
    <cellStyle name="Style4 2" xfId="771" xr:uid="{00000000-0005-0000-0000-000006030000}"/>
    <cellStyle name="Style4_29(d) - Gas extensions -tariffs" xfId="772" xr:uid="{00000000-0005-0000-0000-000007030000}"/>
    <cellStyle name="Style5" xfId="773" xr:uid="{00000000-0005-0000-0000-000008030000}"/>
    <cellStyle name="Style5 2" xfId="774" xr:uid="{00000000-0005-0000-0000-000009030000}"/>
    <cellStyle name="Style5_29(d) - Gas extensions -tariffs" xfId="775" xr:uid="{00000000-0005-0000-0000-00000A030000}"/>
    <cellStyle name="Table Head Green" xfId="776" xr:uid="{00000000-0005-0000-0000-00000B030000}"/>
    <cellStyle name="Table Head Green 2" xfId="777" xr:uid="{00000000-0005-0000-0000-00000C030000}"/>
    <cellStyle name="Table Head_pldt" xfId="778" xr:uid="{00000000-0005-0000-0000-00000D030000}"/>
    <cellStyle name="Table Source" xfId="779" xr:uid="{00000000-0005-0000-0000-00000E030000}"/>
    <cellStyle name="Table Units" xfId="780" xr:uid="{00000000-0005-0000-0000-00000F030000}"/>
    <cellStyle name="TableLvl2" xfId="781" xr:uid="{00000000-0005-0000-0000-000010030000}"/>
    <cellStyle name="TableLvl3" xfId="782" xr:uid="{00000000-0005-0000-0000-000011030000}"/>
    <cellStyle name="Text" xfId="783" xr:uid="{00000000-0005-0000-0000-000012030000}"/>
    <cellStyle name="Text 2" xfId="784" xr:uid="{00000000-0005-0000-0000-000013030000}"/>
    <cellStyle name="Text 3" xfId="785" xr:uid="{00000000-0005-0000-0000-000014030000}"/>
    <cellStyle name="Text Head 1" xfId="786" xr:uid="{00000000-0005-0000-0000-000015030000}"/>
    <cellStyle name="Text Head 2" xfId="787" xr:uid="{00000000-0005-0000-0000-000016030000}"/>
    <cellStyle name="Text Indent 2" xfId="788" xr:uid="{00000000-0005-0000-0000-000017030000}"/>
    <cellStyle name="Theirs" xfId="789" xr:uid="{00000000-0005-0000-0000-000018030000}"/>
    <cellStyle name="Title" xfId="2" builtinId="15" hidden="1"/>
    <cellStyle name="Title 2" xfId="790" xr:uid="{00000000-0005-0000-0000-00001A030000}"/>
    <cellStyle name="Title 2 2" xfId="791" xr:uid="{00000000-0005-0000-0000-00001B030000}"/>
    <cellStyle name="Title 3" xfId="792" xr:uid="{00000000-0005-0000-0000-00001C030000}"/>
    <cellStyle name="Title 4" xfId="793" xr:uid="{00000000-0005-0000-0000-00001D030000}"/>
    <cellStyle name="TOC 1" xfId="794" xr:uid="{00000000-0005-0000-0000-00001E030000}"/>
    <cellStyle name="TOC 2" xfId="795" xr:uid="{00000000-0005-0000-0000-00001F030000}"/>
    <cellStyle name="TOC 3" xfId="796" xr:uid="{00000000-0005-0000-0000-000020030000}"/>
    <cellStyle name="Total" xfId="7" builtinId="25" hidden="1"/>
    <cellStyle name="Total 2" xfId="797" xr:uid="{00000000-0005-0000-0000-000022030000}"/>
    <cellStyle name="Total 2 2" xfId="798" xr:uid="{00000000-0005-0000-0000-000023030000}"/>
    <cellStyle name="Total 2 2 2" xfId="799" xr:uid="{00000000-0005-0000-0000-000024030000}"/>
    <cellStyle name="Total 2 3" xfId="800" xr:uid="{00000000-0005-0000-0000-000025030000}"/>
    <cellStyle name="Total 2 3 2" xfId="801" xr:uid="{00000000-0005-0000-0000-000026030000}"/>
    <cellStyle name="Total 2 4" xfId="802" xr:uid="{00000000-0005-0000-0000-000027030000}"/>
    <cellStyle name="Total 2 5" xfId="803" xr:uid="{00000000-0005-0000-0000-000028030000}"/>
    <cellStyle name="Total 3" xfId="804" xr:uid="{00000000-0005-0000-0000-000029030000}"/>
    <cellStyle name="Warning Text" xfId="29" builtinId="11" hidden="1"/>
    <cellStyle name="Warning Text 2" xfId="805" xr:uid="{00000000-0005-0000-0000-00002B030000}"/>
    <cellStyle name="Warning Text 2 2" xfId="806" xr:uid="{00000000-0005-0000-0000-00002C030000}"/>
    <cellStyle name="Warning Text 3" xfId="807" xr:uid="{00000000-0005-0000-0000-00002D030000}"/>
    <cellStyle name="Year" xfId="9" xr:uid="{00000000-0005-0000-0000-00002E030000}"/>
    <cellStyle name="year 2" xfId="808" xr:uid="{00000000-0005-0000-0000-00002F030000}"/>
    <cellStyle name="year 2 2" xfId="809" xr:uid="{00000000-0005-0000-0000-000030030000}"/>
    <cellStyle name="year 3" xfId="810" xr:uid="{00000000-0005-0000-0000-000031030000}"/>
    <cellStyle name="Year Assumptions" xfId="10" xr:uid="{00000000-0005-0000-0000-000032030000}"/>
    <cellStyle name="Year Input" xfId="45" xr:uid="{00000000-0005-0000-0000-000033030000}"/>
    <cellStyle name="year_29(d) - Gas extensions -tariffs" xfId="811" xr:uid="{00000000-0005-0000-0000-000034030000}"/>
    <cellStyle name="Yellow" xfId="812" xr:uid="{00000000-0005-0000-0000-000035030000}"/>
  </cellStyles>
  <dxfs count="29">
    <dxf>
      <font>
        <color rgb="FFFF0000"/>
      </font>
    </dxf>
    <dxf>
      <font>
        <color rgb="FFFF0000"/>
      </font>
    </dxf>
    <dxf>
      <font>
        <b/>
        <i val="0"/>
        <color rgb="FFFF0000"/>
      </font>
    </dxf>
    <dxf>
      <font>
        <b/>
        <i val="0"/>
        <color rgb="FFFF0000"/>
      </font>
    </dxf>
    <dxf>
      <font>
        <b/>
        <i val="0"/>
        <color rgb="FFFF0000"/>
      </font>
    </dxf>
    <dxf>
      <font>
        <b/>
        <i val="0"/>
        <color rgb="FFFF0000"/>
      </font>
    </dxf>
    <dxf>
      <font>
        <color rgb="FFFF0000"/>
      </font>
    </dxf>
    <dxf>
      <font>
        <color rgb="FFFF0000"/>
      </font>
    </dxf>
    <dxf>
      <font>
        <color rgb="FFFF0000"/>
      </font>
    </dxf>
    <dxf>
      <font>
        <b/>
        <i val="0"/>
        <color rgb="FFFF0000"/>
      </font>
    </dxf>
    <dxf>
      <font>
        <color rgb="FFFF0000"/>
      </font>
    </dxf>
    <dxf>
      <fill>
        <patternFill>
          <bgColor theme="6" tint="0.79998168889431442"/>
        </patternFill>
      </fill>
    </dxf>
    <dxf>
      <fill>
        <patternFill>
          <bgColor theme="5" tint="0.79998168889431442"/>
        </patternFill>
      </fill>
    </dxf>
    <dxf>
      <fill>
        <patternFill>
          <bgColor theme="6" tint="0.79998168889431442"/>
        </patternFill>
      </fill>
    </dxf>
    <dxf>
      <fill>
        <patternFill>
          <bgColor theme="5" tint="0.79998168889431442"/>
        </patternFill>
      </fill>
    </dxf>
    <dxf>
      <fill>
        <patternFill>
          <bgColor theme="6" tint="0.79998168889431442"/>
        </patternFill>
      </fill>
    </dxf>
    <dxf>
      <fill>
        <patternFill>
          <bgColor theme="5" tint="0.79998168889431442"/>
        </patternFill>
      </fill>
    </dxf>
    <dxf>
      <fill>
        <patternFill>
          <bgColor theme="5" tint="0.79998168889431442"/>
        </patternFill>
      </fill>
    </dxf>
    <dxf>
      <font>
        <b/>
        <i val="0"/>
        <color rgb="FFFF0000"/>
      </font>
    </dxf>
    <dxf>
      <font>
        <color rgb="FFFF0000"/>
      </font>
    </dxf>
    <dxf>
      <font>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colors>
    <mruColors>
      <color rgb="FFFF0066"/>
      <color rgb="FF2A3D6F"/>
      <color rgb="FF75842F"/>
      <color rgb="FF139C00"/>
      <color rgb="FF426286"/>
      <color rgb="FFCC9900"/>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941696113074223E-2"/>
          <c:y val="3.6827195467422122E-2"/>
          <c:w val="0.80998377770639196"/>
          <c:h val="0.85170930829113822"/>
        </c:manualLayout>
      </c:layout>
      <c:scatterChart>
        <c:scatterStyle val="lineMarker"/>
        <c:varyColors val="0"/>
        <c:ser>
          <c:idx val="0"/>
          <c:order val="0"/>
          <c:tx>
            <c:v>Existing DBT</c:v>
          </c:tx>
          <c:spPr>
            <a:ln w="28575">
              <a:solidFill>
                <a:srgbClr val="0000FF"/>
              </a:solidFill>
            </a:ln>
          </c:spPr>
          <c:marker>
            <c:symbol val="none"/>
          </c:marker>
          <c:xVal>
            <c:numRef>
              <c:f>'Output_Impact&lt;750'!$T$46:$T$147</c:f>
              <c:numCache>
                <c:formatCode>General</c:formatCode>
                <c:ptCount val="102"/>
              </c:numCache>
            </c:numRef>
          </c:xVal>
          <c:yVal>
            <c:numRef>
              <c:f>'Output_Impact&lt;750'!$AI$46:$AI$147</c:f>
              <c:numCache>
                <c:formatCode>General</c:formatCode>
                <c:ptCount val="102"/>
              </c:numCache>
            </c:numRef>
          </c:yVal>
          <c:smooth val="0"/>
          <c:extLst>
            <c:ext xmlns:c16="http://schemas.microsoft.com/office/drawing/2014/chart" uri="{C3380CC4-5D6E-409C-BE32-E72D297353CC}">
              <c16:uniqueId val="{00000000-F94D-4D8F-8AA7-4DCB5BA9A83F}"/>
            </c:ext>
          </c:extLst>
        </c:ser>
        <c:ser>
          <c:idx val="2"/>
          <c:order val="2"/>
          <c:tx>
            <c:v>Flat rate</c:v>
          </c:tx>
          <c:spPr>
            <a:ln>
              <a:solidFill>
                <a:schemeClr val="tx1"/>
              </a:solidFill>
            </a:ln>
          </c:spPr>
          <c:marker>
            <c:symbol val="none"/>
          </c:marker>
          <c:xVal>
            <c:numRef>
              <c:f>'Output_Impact&lt;750'!$T$44:$T$147</c:f>
              <c:numCache>
                <c:formatCode>General</c:formatCode>
                <c:ptCount val="104"/>
              </c:numCache>
            </c:numRef>
          </c:xVal>
          <c:yVal>
            <c:numRef>
              <c:f>'Output_Impact&lt;750'!$AM$46:$AM$148</c:f>
              <c:numCache>
                <c:formatCode>General</c:formatCode>
                <c:ptCount val="103"/>
              </c:numCache>
            </c:numRef>
          </c:yVal>
          <c:smooth val="0"/>
          <c:extLst>
            <c:ext xmlns:c16="http://schemas.microsoft.com/office/drawing/2014/chart" uri="{C3380CC4-5D6E-409C-BE32-E72D297353CC}">
              <c16:uniqueId val="{00000001-F94D-4D8F-8AA7-4DCB5BA9A83F}"/>
            </c:ext>
          </c:extLst>
        </c:ser>
        <c:ser>
          <c:idx val="3"/>
          <c:order val="3"/>
          <c:tx>
            <c:v>IBT 1</c:v>
          </c:tx>
          <c:spPr>
            <a:ln>
              <a:solidFill>
                <a:srgbClr val="008000"/>
              </a:solidFill>
            </a:ln>
          </c:spPr>
          <c:marker>
            <c:symbol val="none"/>
          </c:marker>
          <c:xVal>
            <c:numRef>
              <c:f>'Output_Impact&lt;750'!$T$46:$T$147</c:f>
              <c:numCache>
                <c:formatCode>General</c:formatCode>
                <c:ptCount val="102"/>
              </c:numCache>
            </c:numRef>
          </c:xVal>
          <c:yVal>
            <c:numRef>
              <c:f>'Output_Impact&lt;750'!$AO$46:$AO$147</c:f>
              <c:numCache>
                <c:formatCode>General</c:formatCode>
                <c:ptCount val="102"/>
              </c:numCache>
            </c:numRef>
          </c:yVal>
          <c:smooth val="0"/>
          <c:extLst>
            <c:ext xmlns:c16="http://schemas.microsoft.com/office/drawing/2014/chart" uri="{C3380CC4-5D6E-409C-BE32-E72D297353CC}">
              <c16:uniqueId val="{00000002-F94D-4D8F-8AA7-4DCB5BA9A83F}"/>
            </c:ext>
          </c:extLst>
        </c:ser>
        <c:ser>
          <c:idx val="4"/>
          <c:order val="4"/>
          <c:tx>
            <c:v>IBT 2</c:v>
          </c:tx>
          <c:spPr>
            <a:ln>
              <a:solidFill>
                <a:srgbClr val="800000"/>
              </a:solidFill>
            </a:ln>
          </c:spPr>
          <c:marker>
            <c:symbol val="none"/>
          </c:marker>
          <c:xVal>
            <c:numRef>
              <c:f>'Output_Impact&lt;750'!$T$46:$T$147</c:f>
              <c:numCache>
                <c:formatCode>General</c:formatCode>
                <c:ptCount val="102"/>
              </c:numCache>
            </c:numRef>
          </c:xVal>
          <c:yVal>
            <c:numRef>
              <c:f>'Output_Impact&lt;750'!$AQ$46:$AQ$146</c:f>
              <c:numCache>
                <c:formatCode>General</c:formatCode>
                <c:ptCount val="101"/>
              </c:numCache>
            </c:numRef>
          </c:yVal>
          <c:smooth val="0"/>
          <c:extLst>
            <c:ext xmlns:c16="http://schemas.microsoft.com/office/drawing/2014/chart" uri="{C3380CC4-5D6E-409C-BE32-E72D297353CC}">
              <c16:uniqueId val="{00000003-F94D-4D8F-8AA7-4DCB5BA9A83F}"/>
            </c:ext>
          </c:extLst>
        </c:ser>
        <c:ser>
          <c:idx val="5"/>
          <c:order val="5"/>
          <c:spPr>
            <a:ln w="88900" cap="sq">
              <a:solidFill>
                <a:srgbClr val="FF6600"/>
              </a:solidFill>
              <a:headEnd type="stealth"/>
              <a:tailEnd type="none"/>
            </a:ln>
          </c:spPr>
          <c:marker>
            <c:symbol val="none"/>
          </c:marker>
          <c:xVal>
            <c:numRef>
              <c:f>'Output_Impact&lt;750'!$BB$52:$BC$52</c:f>
              <c:numCache>
                <c:formatCode>General</c:formatCode>
                <c:ptCount val="2"/>
              </c:numCache>
            </c:numRef>
          </c:xVal>
          <c:yVal>
            <c:numRef>
              <c:f>'Output_Impact&lt;750'!$BB$51:$BC$51</c:f>
              <c:numCache>
                <c:formatCode>General</c:formatCode>
                <c:ptCount val="2"/>
              </c:numCache>
            </c:numRef>
          </c:yVal>
          <c:smooth val="0"/>
          <c:extLst>
            <c:ext xmlns:c16="http://schemas.microsoft.com/office/drawing/2014/chart" uri="{C3380CC4-5D6E-409C-BE32-E72D297353CC}">
              <c16:uniqueId val="{00000004-F94D-4D8F-8AA7-4DCB5BA9A83F}"/>
            </c:ext>
          </c:extLst>
        </c:ser>
        <c:ser>
          <c:idx val="6"/>
          <c:order val="6"/>
          <c:spPr>
            <a:ln w="88900" cap="sq">
              <a:solidFill>
                <a:srgbClr val="FF6600"/>
              </a:solidFill>
              <a:headEnd type="none"/>
              <a:tailEnd type="stealth"/>
            </a:ln>
          </c:spPr>
          <c:marker>
            <c:symbol val="none"/>
          </c:marker>
          <c:xVal>
            <c:numRef>
              <c:f>'Output_Impact&lt;750'!$BB$55:$BC$55</c:f>
              <c:numCache>
                <c:formatCode>General</c:formatCode>
                <c:ptCount val="2"/>
              </c:numCache>
            </c:numRef>
          </c:xVal>
          <c:yVal>
            <c:numRef>
              <c:f>'Output_Impact&lt;750'!$BB$54:$BC$54</c:f>
              <c:numCache>
                <c:formatCode>General</c:formatCode>
                <c:ptCount val="2"/>
              </c:numCache>
            </c:numRef>
          </c:yVal>
          <c:smooth val="0"/>
          <c:extLst>
            <c:ext xmlns:c16="http://schemas.microsoft.com/office/drawing/2014/chart" uri="{C3380CC4-5D6E-409C-BE32-E72D297353CC}">
              <c16:uniqueId val="{00000005-F94D-4D8F-8AA7-4DCB5BA9A83F}"/>
            </c:ext>
          </c:extLst>
        </c:ser>
        <c:dLbls>
          <c:showLegendKey val="0"/>
          <c:showVal val="0"/>
          <c:showCatName val="0"/>
          <c:showSerName val="0"/>
          <c:showPercent val="0"/>
          <c:showBubbleSize val="0"/>
        </c:dLbls>
        <c:axId val="179343744"/>
        <c:axId val="179345664"/>
      </c:scatterChart>
      <c:scatterChart>
        <c:scatterStyle val="lineMarker"/>
        <c:varyColors val="0"/>
        <c:ser>
          <c:idx val="1"/>
          <c:order val="1"/>
          <c:tx>
            <c:v>Proportion of customers (RHS)</c:v>
          </c:tx>
          <c:spPr>
            <a:ln>
              <a:solidFill>
                <a:srgbClr val="FF0000"/>
              </a:solidFill>
            </a:ln>
          </c:spPr>
          <c:marker>
            <c:symbol val="none"/>
          </c:marker>
          <c:xVal>
            <c:numRef>
              <c:f>'Output_Impact&lt;750'!$T$45:$T$147</c:f>
              <c:numCache>
                <c:formatCode>General</c:formatCode>
                <c:ptCount val="103"/>
              </c:numCache>
            </c:numRef>
          </c:xVal>
          <c:yVal>
            <c:numRef>
              <c:f>'Output_Impact&lt;750'!$W$45:$W$147</c:f>
              <c:numCache>
                <c:formatCode>General</c:formatCode>
                <c:ptCount val="103"/>
              </c:numCache>
            </c:numRef>
          </c:yVal>
          <c:smooth val="0"/>
          <c:extLst>
            <c:ext xmlns:c16="http://schemas.microsoft.com/office/drawing/2014/chart" uri="{C3380CC4-5D6E-409C-BE32-E72D297353CC}">
              <c16:uniqueId val="{00000006-F94D-4D8F-8AA7-4DCB5BA9A83F}"/>
            </c:ext>
          </c:extLst>
        </c:ser>
        <c:dLbls>
          <c:showLegendKey val="0"/>
          <c:showVal val="0"/>
          <c:showCatName val="0"/>
          <c:showSerName val="0"/>
          <c:showPercent val="0"/>
          <c:showBubbleSize val="0"/>
        </c:dLbls>
        <c:axId val="179364224"/>
        <c:axId val="179365760"/>
      </c:scatterChart>
      <c:valAx>
        <c:axId val="179343744"/>
        <c:scaling>
          <c:orientation val="minMax"/>
          <c:max val="25000"/>
        </c:scaling>
        <c:delete val="0"/>
        <c:axPos val="b"/>
        <c:title>
          <c:tx>
            <c:rich>
              <a:bodyPr/>
              <a:lstStyle/>
              <a:p>
                <a:pPr>
                  <a:defRPr sz="1200"/>
                </a:pPr>
                <a:r>
                  <a:rPr lang="en-US" sz="1200"/>
                  <a:t>Customer consumption kWh p.a.</a:t>
                </a:r>
              </a:p>
            </c:rich>
          </c:tx>
          <c:overlay val="0"/>
        </c:title>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79345664"/>
        <c:crosses val="autoZero"/>
        <c:crossBetween val="midCat"/>
      </c:valAx>
      <c:valAx>
        <c:axId val="179345664"/>
        <c:scaling>
          <c:orientation val="minMax"/>
          <c:max val="30"/>
        </c:scaling>
        <c:delete val="0"/>
        <c:axPos val="l"/>
        <c:majorGridlines/>
        <c:title>
          <c:tx>
            <c:rich>
              <a:bodyPr rot="-5400000" vert="horz"/>
              <a:lstStyle/>
              <a:p>
                <a:pPr>
                  <a:defRPr sz="1200"/>
                </a:pPr>
                <a:r>
                  <a:rPr lang="en-US" sz="1200"/>
                  <a:t>Average price ¢/kWh</a:t>
                </a:r>
              </a:p>
            </c:rich>
          </c:tx>
          <c:layout>
            <c:manualLayout>
              <c:xMode val="edge"/>
              <c:yMode val="edge"/>
              <c:x val="1.0108644535818934E-2"/>
              <c:y val="0.33261282056055075"/>
            </c:manualLayout>
          </c:layout>
          <c:overlay val="0"/>
        </c:title>
        <c:numFmt formatCode="0" sourceLinked="0"/>
        <c:majorTickMark val="out"/>
        <c:minorTickMark val="none"/>
        <c:tickLblPos val="nextTo"/>
        <c:crossAx val="179343744"/>
        <c:crosses val="autoZero"/>
        <c:crossBetween val="midCat"/>
      </c:valAx>
      <c:valAx>
        <c:axId val="179364224"/>
        <c:scaling>
          <c:orientation val="minMax"/>
        </c:scaling>
        <c:delete val="1"/>
        <c:axPos val="b"/>
        <c:numFmt formatCode="General" sourceLinked="1"/>
        <c:majorTickMark val="out"/>
        <c:minorTickMark val="none"/>
        <c:tickLblPos val="none"/>
        <c:crossAx val="179365760"/>
        <c:crosses val="autoZero"/>
        <c:crossBetween val="midCat"/>
      </c:valAx>
      <c:valAx>
        <c:axId val="179365760"/>
        <c:scaling>
          <c:orientation val="minMax"/>
          <c:max val="3.0000000000000002E-2"/>
        </c:scaling>
        <c:delete val="0"/>
        <c:axPos val="r"/>
        <c:title>
          <c:tx>
            <c:rich>
              <a:bodyPr rot="-5400000" vert="horz"/>
              <a:lstStyle/>
              <a:p>
                <a:pPr>
                  <a:defRPr sz="1200"/>
                </a:pPr>
                <a:r>
                  <a:rPr lang="en-US" sz="1200"/>
                  <a:t>Proportion of customers</a:t>
                </a:r>
              </a:p>
            </c:rich>
          </c:tx>
          <c:layout>
            <c:manualLayout>
              <c:xMode val="edge"/>
              <c:yMode val="edge"/>
              <c:x val="0.95729236755053393"/>
              <c:y val="0.28199574343987155"/>
            </c:manualLayout>
          </c:layout>
          <c:overlay val="0"/>
        </c:title>
        <c:numFmt formatCode="0%" sourceLinked="0"/>
        <c:majorTickMark val="out"/>
        <c:minorTickMark val="none"/>
        <c:tickLblPos val="nextTo"/>
        <c:crossAx val="179364224"/>
        <c:crosses val="max"/>
        <c:crossBetween val="midCat"/>
      </c:valAx>
    </c:plotArea>
    <c:legend>
      <c:legendPos val="r"/>
      <c:legendEntry>
        <c:idx val="4"/>
        <c:delete val="1"/>
      </c:legendEntry>
      <c:legendEntry>
        <c:idx val="5"/>
        <c:delete val="1"/>
      </c:legendEntry>
      <c:layout>
        <c:manualLayout>
          <c:xMode val="edge"/>
          <c:yMode val="edge"/>
          <c:x val="0.31240428790199093"/>
          <c:y val="6.3830035429968429E-2"/>
          <c:w val="0.43032159264931102"/>
          <c:h val="0.26004777771572885"/>
        </c:manualLayout>
      </c:layout>
      <c:overlay val="0"/>
      <c:spPr>
        <a:solidFill>
          <a:schemeClr val="bg1"/>
        </a:solidFill>
      </c:spPr>
      <c:txPr>
        <a:bodyPr/>
        <a:lstStyle/>
        <a:p>
          <a:pPr>
            <a:defRPr sz="1200"/>
          </a:pPr>
          <a:endParaRPr lang="en-US"/>
        </a:p>
      </c:txPr>
    </c:legend>
    <c:plotVisOnly val="1"/>
    <c:dispBlanksAs val="gap"/>
    <c:showDLblsOverMax val="0"/>
  </c:chart>
  <c:spPr>
    <a:ln>
      <a:noFill/>
    </a:ln>
  </c:spPr>
  <c:printSettings>
    <c:headerFooter/>
    <c:pageMargins b="1" l="0.75000000000000022" r="0.75000000000000022"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02034528292703"/>
          <c:y val="3.6827195467422122E-2"/>
          <c:w val="0.85590108024691403"/>
          <c:h val="0.85170930829113822"/>
        </c:manualLayout>
      </c:layout>
      <c:scatterChart>
        <c:scatterStyle val="lineMarker"/>
        <c:varyColors val="0"/>
        <c:ser>
          <c:idx val="1"/>
          <c:order val="0"/>
          <c:spPr>
            <a:ln>
              <a:solidFill>
                <a:srgbClr val="FF0000"/>
              </a:solidFill>
            </a:ln>
          </c:spPr>
          <c:marker>
            <c:symbol val="none"/>
          </c:marker>
          <c:xVal>
            <c:numRef>
              <c:f>'Output_Impact&lt;750'!$T$44:$T$147</c:f>
              <c:numCache>
                <c:formatCode>General</c:formatCode>
                <c:ptCount val="104"/>
              </c:numCache>
            </c:numRef>
          </c:xVal>
          <c:yVal>
            <c:numRef>
              <c:f>'Output_Impact&lt;750'!$V$44:$V$147</c:f>
              <c:numCache>
                <c:formatCode>General</c:formatCode>
                <c:ptCount val="104"/>
              </c:numCache>
            </c:numRef>
          </c:yVal>
          <c:smooth val="0"/>
          <c:extLst>
            <c:ext xmlns:c16="http://schemas.microsoft.com/office/drawing/2014/chart" uri="{C3380CC4-5D6E-409C-BE32-E72D297353CC}">
              <c16:uniqueId val="{00000000-2CAF-45F7-A408-DE3200CEBCA7}"/>
            </c:ext>
          </c:extLst>
        </c:ser>
        <c:dLbls>
          <c:showLegendKey val="0"/>
          <c:showVal val="0"/>
          <c:showCatName val="0"/>
          <c:showSerName val="0"/>
          <c:showPercent val="0"/>
          <c:showBubbleSize val="0"/>
        </c:dLbls>
        <c:axId val="179674112"/>
        <c:axId val="179680384"/>
      </c:scatterChart>
      <c:valAx>
        <c:axId val="179674112"/>
        <c:scaling>
          <c:orientation val="minMax"/>
          <c:max val="25000"/>
        </c:scaling>
        <c:delete val="0"/>
        <c:axPos val="b"/>
        <c:title>
          <c:tx>
            <c:rich>
              <a:bodyPr/>
              <a:lstStyle/>
              <a:p>
                <a:pPr>
                  <a:defRPr sz="1200"/>
                </a:pPr>
                <a:r>
                  <a:rPr lang="en-US" sz="1200"/>
                  <a:t>Customer consumption kWh p.a.</a:t>
                </a:r>
              </a:p>
            </c:rich>
          </c:tx>
          <c:overlay val="0"/>
        </c:title>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79680384"/>
        <c:crosses val="autoZero"/>
        <c:crossBetween val="midCat"/>
      </c:valAx>
      <c:valAx>
        <c:axId val="179680384"/>
        <c:scaling>
          <c:orientation val="minMax"/>
        </c:scaling>
        <c:delete val="0"/>
        <c:axPos val="l"/>
        <c:majorGridlines/>
        <c:title>
          <c:tx>
            <c:rich>
              <a:bodyPr rot="-5400000" vert="horz"/>
              <a:lstStyle/>
              <a:p>
                <a:pPr>
                  <a:defRPr sz="1200"/>
                </a:pPr>
                <a:r>
                  <a:rPr lang="en-US" sz="1200"/>
                  <a:t>Cumulative proportion of customers</a:t>
                </a:r>
              </a:p>
            </c:rich>
          </c:tx>
          <c:overlay val="0"/>
        </c:title>
        <c:numFmt formatCode="0%" sourceLinked="0"/>
        <c:majorTickMark val="out"/>
        <c:minorTickMark val="none"/>
        <c:tickLblPos val="nextTo"/>
        <c:crossAx val="179674112"/>
        <c:crosses val="autoZero"/>
        <c:crossBetween val="midCat"/>
      </c:valAx>
    </c:plotArea>
    <c:plotVisOnly val="1"/>
    <c:dispBlanksAs val="gap"/>
    <c:showDLblsOverMax val="0"/>
  </c:chart>
  <c:spPr>
    <a:ln>
      <a:noFill/>
    </a:ln>
  </c:spPr>
  <c:printSettings>
    <c:headerFooter/>
    <c:pageMargins b="1" l="0.75000000000000022" r="0.75000000000000022"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'Output_Impact&gt;750'!$W$34</c:f>
              <c:strCache>
                <c:ptCount val="1"/>
              </c:strCache>
            </c:strRef>
          </c:tx>
          <c:spPr>
            <a:ln w="28575">
              <a:noFill/>
            </a:ln>
          </c:spPr>
          <c:xVal>
            <c:numRef>
              <c:f>'Output_Impact&gt;750'!$D$35:$D$219</c:f>
              <c:numCache>
                <c:formatCode>General</c:formatCode>
                <c:ptCount val="185"/>
              </c:numCache>
            </c:numRef>
          </c:xVal>
          <c:yVal>
            <c:numRef>
              <c:f>'Output_Impact&gt;750'!$X$35:$X$214</c:f>
              <c:numCache>
                <c:formatCode>General</c:formatCode>
                <c:ptCount val="180"/>
              </c:numCache>
            </c:numRef>
          </c:yVal>
          <c:smooth val="0"/>
          <c:extLst>
            <c:ext xmlns:c16="http://schemas.microsoft.com/office/drawing/2014/chart" uri="{C3380CC4-5D6E-409C-BE32-E72D297353CC}">
              <c16:uniqueId val="{00000000-7136-4BDF-81AD-A94565D1811C}"/>
            </c:ext>
          </c:extLst>
        </c:ser>
        <c:dLbls>
          <c:showLegendKey val="0"/>
          <c:showVal val="0"/>
          <c:showCatName val="0"/>
          <c:showSerName val="0"/>
          <c:showPercent val="0"/>
          <c:showBubbleSize val="0"/>
        </c:dLbls>
        <c:axId val="179765632"/>
        <c:axId val="179767168"/>
      </c:scatterChart>
      <c:valAx>
        <c:axId val="179765632"/>
        <c:scaling>
          <c:orientation val="minMax"/>
        </c:scaling>
        <c:delete val="0"/>
        <c:axPos val="b"/>
        <c:numFmt formatCode="General" sourceLinked="1"/>
        <c:majorTickMark val="out"/>
        <c:minorTickMark val="none"/>
        <c:tickLblPos val="nextTo"/>
        <c:crossAx val="179767168"/>
        <c:crosses val="autoZero"/>
        <c:crossBetween val="midCat"/>
      </c:valAx>
      <c:valAx>
        <c:axId val="179767168"/>
        <c:scaling>
          <c:orientation val="minMax"/>
        </c:scaling>
        <c:delete val="0"/>
        <c:axPos val="l"/>
        <c:majorGridlines/>
        <c:numFmt formatCode="General" sourceLinked="1"/>
        <c:majorTickMark val="out"/>
        <c:minorTickMark val="none"/>
        <c:tickLblPos val="nextTo"/>
        <c:crossAx val="179765632"/>
        <c:crosses val="autoZero"/>
        <c:crossBetween val="midCat"/>
      </c:valAx>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238125</xdr:colOff>
      <xdr:row>4</xdr:row>
      <xdr:rowOff>19050</xdr:rowOff>
    </xdr:from>
    <xdr:to>
      <xdr:col>5</xdr:col>
      <xdr:colOff>581025</xdr:colOff>
      <xdr:row>9</xdr:row>
      <xdr:rowOff>76201</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1" cstate="print"/>
        <a:srcRect l="14325" t="12822" r="14313" b="16229"/>
        <a:stretch/>
      </xdr:blipFill>
      <xdr:spPr>
        <a:xfrm>
          <a:off x="771525" y="695325"/>
          <a:ext cx="2562225" cy="7905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277882</xdr:colOff>
      <xdr:row>14</xdr:row>
      <xdr:rowOff>17395</xdr:rowOff>
    </xdr:from>
    <xdr:to>
      <xdr:col>4</xdr:col>
      <xdr:colOff>7454348</xdr:colOff>
      <xdr:row>45</xdr:row>
      <xdr:rowOff>77173</xdr:rowOff>
    </xdr:to>
    <xdr:pic>
      <xdr:nvPicPr>
        <xdr:cNvPr id="2" name="Picture 1">
          <a:extLst>
            <a:ext uri="{FF2B5EF4-FFF2-40B4-BE49-F238E27FC236}">
              <a16:creationId xmlns:a16="http://schemas.microsoft.com/office/drawing/2014/main" id="{19670850-9808-4F97-87F0-5992D01ECB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1782" y="2774883"/>
          <a:ext cx="7176466" cy="5227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298175</xdr:colOff>
      <xdr:row>62</xdr:row>
      <xdr:rowOff>132522</xdr:rowOff>
    </xdr:from>
    <xdr:to>
      <xdr:col>4</xdr:col>
      <xdr:colOff>7562023</xdr:colOff>
      <xdr:row>72</xdr:row>
      <xdr:rowOff>113837</xdr:rowOff>
    </xdr:to>
    <xdr:pic>
      <xdr:nvPicPr>
        <xdr:cNvPr id="3" name="Picture 2">
          <a:extLst>
            <a:ext uri="{FF2B5EF4-FFF2-40B4-BE49-F238E27FC236}">
              <a16:creationId xmlns:a16="http://schemas.microsoft.com/office/drawing/2014/main" id="{4F6D9948-87DA-4B54-AC80-17B7D518AC4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22075" y="11462510"/>
          <a:ext cx="7263848" cy="16481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45</xdr:col>
      <xdr:colOff>371475</xdr:colOff>
      <xdr:row>44</xdr:row>
      <xdr:rowOff>161925</xdr:rowOff>
    </xdr:from>
    <xdr:to>
      <xdr:col>52</xdr:col>
      <xdr:colOff>38100</xdr:colOff>
      <xdr:row>66</xdr:row>
      <xdr:rowOff>0</xdr:rowOff>
    </xdr:to>
    <xdr:graphicFrame macro="">
      <xdr:nvGraphicFramePr>
        <xdr:cNvPr id="4" name="Chart 7">
          <a:extLst>
            <a:ext uri="{FF2B5EF4-FFF2-40B4-BE49-F238E27FC236}">
              <a16:creationId xmlns:a16="http://schemas.microsoft.com/office/drawing/2014/main" id="{00000000-0008-0000-0D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45</xdr:col>
      <xdr:colOff>371475</xdr:colOff>
      <xdr:row>71</xdr:row>
      <xdr:rowOff>57150</xdr:rowOff>
    </xdr:from>
    <xdr:to>
      <xdr:col>52</xdr:col>
      <xdr:colOff>28575</xdr:colOff>
      <xdr:row>95</xdr:row>
      <xdr:rowOff>114300</xdr:rowOff>
    </xdr:to>
    <xdr:graphicFrame macro="">
      <xdr:nvGraphicFramePr>
        <xdr:cNvPr id="5" name="Chart 8">
          <a:extLst>
            <a:ext uri="{FF2B5EF4-FFF2-40B4-BE49-F238E27FC236}">
              <a16:creationId xmlns:a16="http://schemas.microsoft.com/office/drawing/2014/main" id="{00000000-0008-0000-0D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12</xdr:col>
      <xdr:colOff>642937</xdr:colOff>
      <xdr:row>221</xdr:row>
      <xdr:rowOff>38099</xdr:rowOff>
    </xdr:from>
    <xdr:to>
      <xdr:col>27</xdr:col>
      <xdr:colOff>114300</xdr:colOff>
      <xdr:row>261</xdr:row>
      <xdr:rowOff>9524</xdr:rowOff>
    </xdr:to>
    <xdr:graphicFrame macro="">
      <xdr:nvGraphicFramePr>
        <xdr:cNvPr id="3" name="Chart 2">
          <a:extLst>
            <a:ext uri="{FF2B5EF4-FFF2-40B4-BE49-F238E27FC236}">
              <a16:creationId xmlns:a16="http://schemas.microsoft.com/office/drawing/2014/main" id="{00000000-0008-0000-0C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WC12.10%20-%20Rate%20of%20Return%20Model%20-%2031%20Jan%2018%20-%20Publ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WC12.1%20-%20SCS%20Post-tax%20Revenue%20Model%20-%2016%20Mar%2018%20-%20Public.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WC12.7%20-%20SCS%20and%20ACS%20Metering%20Capex%20Model%20%20-%2016%20Mar%2018%20-%20Public.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OC"/>
      <sheetName val="Input_Data"/>
      <sheetName val="Calc_Returns"/>
      <sheetName val="Output_PTRM"/>
      <sheetName val="Lookup"/>
      <sheetName val="Checks"/>
      <sheetName val="PWC12"/>
    </sheetNames>
    <sheetDataSet>
      <sheetData sheetId="0"/>
      <sheetData sheetId="1"/>
      <sheetData sheetId="2">
        <row r="18">
          <cell r="J18">
            <v>1.5108593012275628E-2</v>
          </cell>
        </row>
      </sheetData>
      <sheetData sheetId="3">
        <row r="110">
          <cell r="J110">
            <v>4.6481759804943998E-2</v>
          </cell>
        </row>
      </sheetData>
      <sheetData sheetId="4">
        <row r="18">
          <cell r="O18">
            <v>2.4248746575396662E-2</v>
          </cell>
        </row>
      </sheetData>
      <sheetData sheetId="5">
        <row r="1">
          <cell r="B1" t="str">
            <v>Model Lookups</v>
          </cell>
        </row>
      </sheetData>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Business &amp; other details"/>
      <sheetName val="Intro"/>
      <sheetName val="DMS input"/>
      <sheetName val="Depn|Inputs"/>
      <sheetName val="Depn|Calc"/>
      <sheetName val="Depn|Comparison"/>
      <sheetName val="Depn|Existing Assets"/>
      <sheetName val="DMIA"/>
      <sheetName val="PTRM input"/>
      <sheetName val="WACC"/>
      <sheetName val="Assets"/>
      <sheetName val="Analysis"/>
      <sheetName val="Forecast revenues"/>
      <sheetName val="X factors"/>
      <sheetName val="Revenue summary"/>
      <sheetName val="Equity raising costs"/>
      <sheetName val="Chart 1-Revenue"/>
      <sheetName val="Chart 2-Price path"/>
      <sheetName val="Chart 3-Building blocks"/>
      <sheetName val="PWC12"/>
    </sheetNames>
    <definedNames>
      <definedName name="f" refersTo="='PTRM input'!$G$216"/>
      <definedName name="vanilla01" refersTo="='WACC'!$G$18"/>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7">
          <cell r="J7">
            <v>268.24601667949491</v>
          </cell>
        </row>
        <row r="8">
          <cell r="J8">
            <v>243.79090173519486</v>
          </cell>
        </row>
        <row r="9">
          <cell r="J9">
            <v>180.53440799429359</v>
          </cell>
        </row>
        <row r="10">
          <cell r="J10">
            <v>7.6600899739675867</v>
          </cell>
        </row>
        <row r="11">
          <cell r="J11">
            <v>99.608956662973966</v>
          </cell>
        </row>
        <row r="12">
          <cell r="J12">
            <v>43.812806131127651</v>
          </cell>
        </row>
        <row r="13">
          <cell r="J13">
            <v>33.116638375029275</v>
          </cell>
        </row>
        <row r="14">
          <cell r="J14">
            <v>9.4940274448363784</v>
          </cell>
        </row>
        <row r="15">
          <cell r="J15">
            <v>15.044125562886432</v>
          </cell>
        </row>
        <row r="16">
          <cell r="J16">
            <v>46.354917721396681</v>
          </cell>
        </row>
        <row r="17">
          <cell r="J17">
            <v>10.359004210140208</v>
          </cell>
        </row>
        <row r="18">
          <cell r="G18" t="str">
            <v>IT and Communications</v>
          </cell>
          <cell r="J18">
            <v>14.722412528496614</v>
          </cell>
        </row>
        <row r="19">
          <cell r="J19">
            <v>0.31276830796123112</v>
          </cell>
        </row>
        <row r="20">
          <cell r="J20">
            <v>0.44612408791803038</v>
          </cell>
        </row>
        <row r="216">
          <cell r="G216">
            <v>2.4248746575396662E-2</v>
          </cell>
        </row>
      </sheetData>
      <sheetData sheetId="10">
        <row r="18">
          <cell r="G18">
            <v>6.6223823594072889E-2</v>
          </cell>
        </row>
      </sheetData>
      <sheetData sheetId="11" refreshError="1"/>
      <sheetData sheetId="12" refreshError="1"/>
      <sheetData sheetId="13" refreshError="1"/>
      <sheetData sheetId="14">
        <row r="60">
          <cell r="F60">
            <v>177.84186661021639</v>
          </cell>
          <cell r="G60">
            <v>164.99861387816443</v>
          </cell>
          <cell r="H60">
            <v>174.7051634304531</v>
          </cell>
          <cell r="I60">
            <v>184.98273053250497</v>
          </cell>
          <cell r="J60">
            <v>195.86490704313468</v>
          </cell>
          <cell r="K60">
            <v>207.387260965286</v>
          </cell>
        </row>
        <row r="63">
          <cell r="G63">
            <v>9.4182208389897021E-2</v>
          </cell>
          <cell r="H63">
            <v>-3.3760666814186872E-2</v>
          </cell>
          <cell r="I63">
            <v>-3.3760666814186872E-2</v>
          </cell>
          <cell r="J63">
            <v>-3.3760666814186872E-2</v>
          </cell>
          <cell r="K63">
            <v>-3.3760666814186872E-2</v>
          </cell>
        </row>
      </sheetData>
      <sheetData sheetId="15">
        <row r="30">
          <cell r="Q30">
            <v>337.78954211459484</v>
          </cell>
        </row>
        <row r="31">
          <cell r="Q31">
            <v>149.11498268395454</v>
          </cell>
        </row>
        <row r="32">
          <cell r="Q32">
            <v>339.25110215696355</v>
          </cell>
        </row>
        <row r="33">
          <cell r="Q33">
            <v>0.37477792817639299</v>
          </cell>
        </row>
        <row r="34">
          <cell r="Q34">
            <v>34.927943946344243</v>
          </cell>
        </row>
      </sheetData>
      <sheetData sheetId="16" refreshError="1"/>
      <sheetData sheetId="17" refreshError="1"/>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OC"/>
      <sheetName val="Project list"/>
      <sheetName val="Total by category"/>
      <sheetName val="SCS --&gt;"/>
      <sheetName val="SCS total"/>
      <sheetName val="SCS CapCon"/>
      <sheetName val="Augex"/>
      <sheetName val="Repex"/>
      <sheetName val="Connections"/>
      <sheetName val="Non-Network"/>
      <sheetName val="IT"/>
      <sheetName val="Escalation"/>
      <sheetName val="Capitalised OH"/>
      <sheetName val="ACS Metering --&gt;"/>
      <sheetName val="Metering total"/>
      <sheetName val="Metering"/>
      <sheetName val="Metering | Escalation"/>
      <sheetName val="Metering | Capitalised OH"/>
      <sheetName val="Repex --&gt;"/>
      <sheetName val="BNI 1"/>
      <sheetName val="BNI 2"/>
      <sheetName val="BNI 3"/>
      <sheetName val="BNI 4"/>
      <sheetName val="BNI 5"/>
      <sheetName val="BNI 6"/>
      <sheetName val="BNI 7"/>
      <sheetName val="BNI 8"/>
      <sheetName val="BNI 9"/>
      <sheetName val="BNI 10"/>
      <sheetName val="BNI 11"/>
      <sheetName val="BNI 12"/>
      <sheetName val="BNI 13"/>
      <sheetName val="BNI 14"/>
      <sheetName val="BNI 15"/>
      <sheetName val="BNI 16"/>
      <sheetName val="BNI 17"/>
      <sheetName val="BNI 18"/>
      <sheetName val="BNI 19"/>
      <sheetName val="BNI 20"/>
      <sheetName val="BNI 21"/>
      <sheetName val="BNI 22"/>
      <sheetName val="BNI 23"/>
      <sheetName val="BNI 24"/>
      <sheetName val="BNI 25"/>
      <sheetName val="BNI 26"/>
      <sheetName val="BNI 27"/>
      <sheetName val="BNI 28"/>
      <sheetName val="BNI 29"/>
      <sheetName val="BNI 30"/>
      <sheetName val="BNI 31"/>
      <sheetName val="BNI 32"/>
      <sheetName val="BNI 33"/>
      <sheetName val="BNI 34"/>
      <sheetName val="BNI 35"/>
      <sheetName val="Augex --&gt;"/>
      <sheetName val="A-BNI 1"/>
      <sheetName val="A-BNI 2"/>
      <sheetName val="A-BNI 3"/>
      <sheetName val="A-BNI 4"/>
      <sheetName val="A-BNI 5"/>
      <sheetName val="A-BNI 6"/>
      <sheetName val="A-BNI 7"/>
      <sheetName val="A-BNI 8"/>
      <sheetName val="A-BNI 9"/>
      <sheetName val="A-BNI 10"/>
      <sheetName val="A-BNI 11"/>
      <sheetName val="A-BNI 12"/>
      <sheetName val="A-BNI 13"/>
      <sheetName val="A-BNI 14"/>
      <sheetName val="A-BNI 15"/>
      <sheetName val="ICT --&gt;"/>
      <sheetName val="I-BNI 1"/>
      <sheetName val="NonN --&gt;"/>
      <sheetName val="N-BNI 1"/>
      <sheetName val="N-BNI 2"/>
      <sheetName val="N-BNI 3"/>
      <sheetName val="N-BNI 4"/>
      <sheetName val="N-BNI 5"/>
      <sheetName val="N-BNI 6"/>
      <sheetName val="Checks"/>
    </sheetNames>
    <sheetDataSet>
      <sheetData sheetId="0"/>
      <sheetData sheetId="1"/>
      <sheetData sheetId="2"/>
      <sheetData sheetId="3"/>
      <sheetData sheetId="4"/>
      <sheetData sheetId="5">
        <row r="7">
          <cell r="I7">
            <v>2.2499999999999999E-2</v>
          </cell>
        </row>
      </sheetData>
      <sheetData sheetId="6"/>
      <sheetData sheetId="7">
        <row r="8">
          <cell r="J8">
            <v>2.1</v>
          </cell>
          <cell r="K8">
            <v>0.5</v>
          </cell>
          <cell r="L8">
            <v>8.1530000000000005</v>
          </cell>
          <cell r="M8">
            <v>10.129999999999999</v>
          </cell>
          <cell r="N8">
            <v>7.2670000000000003</v>
          </cell>
        </row>
        <row r="9">
          <cell r="J9">
            <v>1.5</v>
          </cell>
          <cell r="K9">
            <v>1.5</v>
          </cell>
          <cell r="L9">
            <v>1.5</v>
          </cell>
          <cell r="M9">
            <v>1.5</v>
          </cell>
          <cell r="N9">
            <v>1.5</v>
          </cell>
        </row>
        <row r="10">
          <cell r="J10">
            <v>0.8</v>
          </cell>
          <cell r="K10">
            <v>0.8</v>
          </cell>
          <cell r="L10">
            <v>0.8</v>
          </cell>
          <cell r="M10">
            <v>0.8</v>
          </cell>
          <cell r="N10">
            <v>0.8</v>
          </cell>
        </row>
        <row r="11">
          <cell r="J11">
            <v>0</v>
          </cell>
          <cell r="K11">
            <v>0</v>
          </cell>
          <cell r="L11">
            <v>0</v>
          </cell>
          <cell r="M11">
            <v>0</v>
          </cell>
          <cell r="N11">
            <v>0</v>
          </cell>
        </row>
        <row r="12">
          <cell r="J12">
            <v>0.3</v>
          </cell>
          <cell r="K12">
            <v>0.3</v>
          </cell>
          <cell r="L12">
            <v>0.3</v>
          </cell>
          <cell r="M12">
            <v>0.3</v>
          </cell>
          <cell r="N12">
            <v>0.3</v>
          </cell>
        </row>
        <row r="13">
          <cell r="J13">
            <v>1.9165269733530961</v>
          </cell>
          <cell r="K13">
            <v>1.8996415088260687</v>
          </cell>
          <cell r="L13">
            <v>1.7129856840751394</v>
          </cell>
          <cell r="M13">
            <v>1.6642978766294496</v>
          </cell>
          <cell r="N13">
            <v>1.6337413722922536</v>
          </cell>
        </row>
        <row r="14">
          <cell r="J14">
            <v>0</v>
          </cell>
          <cell r="K14">
            <v>0</v>
          </cell>
          <cell r="L14">
            <v>0.94899999999999995</v>
          </cell>
          <cell r="M14">
            <v>0.94399999999999995</v>
          </cell>
          <cell r="N14">
            <v>0.82799999999999996</v>
          </cell>
        </row>
        <row r="15">
          <cell r="J15">
            <v>0</v>
          </cell>
          <cell r="K15">
            <v>0</v>
          </cell>
          <cell r="L15">
            <v>0.39899999999999997</v>
          </cell>
          <cell r="M15">
            <v>0.38800000000000001</v>
          </cell>
          <cell r="N15">
            <v>0.34</v>
          </cell>
        </row>
        <row r="16">
          <cell r="J16">
            <v>0.53</v>
          </cell>
          <cell r="K16">
            <v>0.53</v>
          </cell>
          <cell r="L16">
            <v>0.92900000000000005</v>
          </cell>
          <cell r="M16">
            <v>0.91800000000000004</v>
          </cell>
          <cell r="N16">
            <v>0.87000000000000011</v>
          </cell>
        </row>
        <row r="17">
          <cell r="J17">
            <v>0</v>
          </cell>
          <cell r="K17">
            <v>0</v>
          </cell>
          <cell r="L17">
            <v>0</v>
          </cell>
          <cell r="M17">
            <v>0</v>
          </cell>
          <cell r="N17">
            <v>0</v>
          </cell>
        </row>
        <row r="18">
          <cell r="J18">
            <v>0</v>
          </cell>
          <cell r="K18">
            <v>0</v>
          </cell>
          <cell r="L18">
            <v>0</v>
          </cell>
          <cell r="M18">
            <v>0</v>
          </cell>
          <cell r="N18">
            <v>0</v>
          </cell>
        </row>
        <row r="19">
          <cell r="J19">
            <v>0</v>
          </cell>
          <cell r="K19">
            <v>0</v>
          </cell>
          <cell r="L19">
            <v>0</v>
          </cell>
          <cell r="M19">
            <v>0</v>
          </cell>
          <cell r="N19">
            <v>0</v>
          </cell>
        </row>
        <row r="20">
          <cell r="J20">
            <v>0</v>
          </cell>
          <cell r="K20">
            <v>0</v>
          </cell>
          <cell r="L20">
            <v>0</v>
          </cell>
          <cell r="M20">
            <v>0</v>
          </cell>
          <cell r="N20">
            <v>0</v>
          </cell>
        </row>
        <row r="21">
          <cell r="J21">
            <v>0</v>
          </cell>
          <cell r="K21">
            <v>0</v>
          </cell>
          <cell r="L21">
            <v>0</v>
          </cell>
          <cell r="M21">
            <v>0</v>
          </cell>
          <cell r="N21">
            <v>0</v>
          </cell>
        </row>
        <row r="22">
          <cell r="J22">
            <v>0</v>
          </cell>
          <cell r="K22">
            <v>0</v>
          </cell>
          <cell r="L22">
            <v>0</v>
          </cell>
          <cell r="M22">
            <v>0</v>
          </cell>
          <cell r="N22">
            <v>0</v>
          </cell>
        </row>
      </sheetData>
      <sheetData sheetId="8">
        <row r="8">
          <cell r="J8">
            <v>8.125</v>
          </cell>
          <cell r="K8">
            <v>8.213000000000001</v>
          </cell>
          <cell r="L8">
            <v>4.53</v>
          </cell>
          <cell r="M8">
            <v>1.867</v>
          </cell>
          <cell r="N8">
            <v>0.15</v>
          </cell>
        </row>
        <row r="9">
          <cell r="J9">
            <v>12.882666166478044</v>
          </cell>
          <cell r="K9">
            <v>14.74236817547644</v>
          </cell>
          <cell r="L9">
            <v>10.937164443200933</v>
          </cell>
          <cell r="M9">
            <v>8.2383464805098807</v>
          </cell>
          <cell r="N9">
            <v>9.1621007877890506</v>
          </cell>
        </row>
        <row r="10">
          <cell r="J10">
            <v>1.65</v>
          </cell>
          <cell r="K10">
            <v>1.468</v>
          </cell>
          <cell r="L10">
            <v>1.468</v>
          </cell>
          <cell r="M10">
            <v>1.468</v>
          </cell>
          <cell r="N10">
            <v>1.4390000000000001</v>
          </cell>
        </row>
        <row r="11">
          <cell r="J11">
            <v>7.5999999999999998E-2</v>
          </cell>
          <cell r="K11">
            <v>7.5999999999999998E-2</v>
          </cell>
          <cell r="L11">
            <v>7.5999999999999998E-2</v>
          </cell>
          <cell r="M11">
            <v>7.5999999999999998E-2</v>
          </cell>
          <cell r="N11">
            <v>7.5999999999999998E-2</v>
          </cell>
        </row>
        <row r="12">
          <cell r="J12">
            <v>2.9210000000000003</v>
          </cell>
          <cell r="K12">
            <v>3.1639999999999997</v>
          </cell>
          <cell r="L12">
            <v>3.3919999999999999</v>
          </cell>
          <cell r="M12">
            <v>3.5679999999999996</v>
          </cell>
          <cell r="N12">
            <v>3.6440000000000001</v>
          </cell>
        </row>
        <row r="13">
          <cell r="J13">
            <v>2.1619999999999999</v>
          </cell>
          <cell r="K13">
            <v>2.2250000000000001</v>
          </cell>
          <cell r="L13">
            <v>2.2930000000000001</v>
          </cell>
          <cell r="M13">
            <v>2.363</v>
          </cell>
          <cell r="N13">
            <v>2.4329999999999998</v>
          </cell>
        </row>
        <row r="14">
          <cell r="J14">
            <v>3.1959999999999997</v>
          </cell>
          <cell r="K14">
            <v>3.383</v>
          </cell>
          <cell r="L14">
            <v>1.17</v>
          </cell>
          <cell r="M14">
            <v>1.079</v>
          </cell>
          <cell r="N14">
            <v>0.76</v>
          </cell>
        </row>
        <row r="15">
          <cell r="J15">
            <v>0.88100000000000012</v>
          </cell>
          <cell r="K15">
            <v>1.0529999999999999</v>
          </cell>
          <cell r="L15">
            <v>0.55200000000000005</v>
          </cell>
          <cell r="M15">
            <v>0.29099999999999998</v>
          </cell>
          <cell r="N15">
            <v>0.17299999999999999</v>
          </cell>
        </row>
        <row r="16">
          <cell r="J16">
            <v>1.8310000000000002</v>
          </cell>
          <cell r="K16">
            <v>1.94</v>
          </cell>
          <cell r="L16">
            <v>1.4180000000000001</v>
          </cell>
          <cell r="M16">
            <v>1.0370000000000001</v>
          </cell>
          <cell r="N16">
            <v>0.67100000000000004</v>
          </cell>
        </row>
        <row r="17">
          <cell r="J17">
            <v>0</v>
          </cell>
          <cell r="K17">
            <v>0</v>
          </cell>
          <cell r="L17">
            <v>0</v>
          </cell>
          <cell r="M17">
            <v>0</v>
          </cell>
          <cell r="N17">
            <v>0</v>
          </cell>
        </row>
        <row r="18">
          <cell r="J18">
            <v>2.4500000000000001E-2</v>
          </cell>
          <cell r="K18">
            <v>0.13564999999999999</v>
          </cell>
          <cell r="L18">
            <v>0.16420000000000001</v>
          </cell>
          <cell r="M18">
            <v>4.2099999999999999E-2</v>
          </cell>
          <cell r="N18">
            <v>2.5950000000000001E-2</v>
          </cell>
        </row>
        <row r="19">
          <cell r="J19">
            <v>0</v>
          </cell>
          <cell r="K19">
            <v>0.6</v>
          </cell>
          <cell r="L19">
            <v>5.9</v>
          </cell>
          <cell r="M19">
            <v>0.8</v>
          </cell>
          <cell r="N19">
            <v>0</v>
          </cell>
        </row>
        <row r="20">
          <cell r="J20">
            <v>0</v>
          </cell>
          <cell r="K20">
            <v>0</v>
          </cell>
          <cell r="L20">
            <v>0</v>
          </cell>
          <cell r="M20">
            <v>0</v>
          </cell>
          <cell r="N20">
            <v>0</v>
          </cell>
        </row>
        <row r="21">
          <cell r="J21">
            <v>0</v>
          </cell>
          <cell r="K21">
            <v>0</v>
          </cell>
          <cell r="L21">
            <v>0</v>
          </cell>
          <cell r="M21">
            <v>0</v>
          </cell>
          <cell r="N21">
            <v>0</v>
          </cell>
        </row>
        <row r="22">
          <cell r="J22">
            <v>0</v>
          </cell>
          <cell r="K22">
            <v>0</v>
          </cell>
          <cell r="L22">
            <v>0</v>
          </cell>
          <cell r="M22">
            <v>0</v>
          </cell>
          <cell r="N22">
            <v>0</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X35"/>
  <sheetViews>
    <sheetView showGridLines="0" tabSelected="1" zoomScaleNormal="100" workbookViewId="0"/>
  </sheetViews>
  <sheetFormatPr defaultColWidth="0" defaultRowHeight="12.9" zeroHeight="1"/>
  <cols>
    <col min="1" max="1" width="9.1171875" style="13" customWidth="1"/>
    <col min="2" max="3" width="5.703125" style="13" customWidth="1"/>
    <col min="4" max="4" width="12.703125" style="13" customWidth="1"/>
    <col min="5" max="24" width="9.1171875" style="13" customWidth="1"/>
    <col min="25" max="16384" width="9.1171875" style="13" hidden="1"/>
  </cols>
  <sheetData>
    <row r="1" spans="2:13" ht="11.25" customHeight="1"/>
    <row r="2" spans="2:13" ht="11.25" customHeight="1"/>
    <row r="3" spans="2:13" s="11" customFormat="1" ht="20.399999999999999">
      <c r="B3" s="8" t="s">
        <v>547</v>
      </c>
    </row>
    <row r="4" spans="2:13" ht="11.25" customHeight="1"/>
    <row r="5" spans="2:13" ht="11.25" customHeight="1"/>
    <row r="6" spans="2:13" ht="11.25" customHeight="1"/>
    <row r="7" spans="2:13" ht="11.25" customHeight="1"/>
    <row r="8" spans="2:13" ht="11.25" customHeight="1"/>
    <row r="9" spans="2:13"/>
    <row r="10" spans="2:13"/>
    <row r="11" spans="2:13">
      <c r="C11" s="64" t="s">
        <v>89</v>
      </c>
      <c r="E11" s="29" t="s">
        <v>546</v>
      </c>
    </row>
    <row r="12" spans="2:13"/>
    <row r="13" spans="2:13">
      <c r="D13" s="337" t="str">
        <f>TOC!B1</f>
        <v>Table of Contents</v>
      </c>
    </row>
    <row r="14" spans="2:13"/>
    <row r="15" spans="2:13">
      <c r="C15" s="48"/>
      <c r="D15" s="49"/>
      <c r="E15" s="49"/>
      <c r="F15" s="49"/>
      <c r="G15" s="49"/>
      <c r="H15" s="49"/>
      <c r="I15" s="49"/>
      <c r="J15" s="49"/>
      <c r="K15" s="49"/>
      <c r="L15" s="49"/>
      <c r="M15" s="50"/>
    </row>
    <row r="16" spans="2:13">
      <c r="C16" s="51"/>
      <c r="D16" s="61" t="s">
        <v>72</v>
      </c>
      <c r="E16" s="52"/>
      <c r="F16" s="54" t="s">
        <v>86</v>
      </c>
      <c r="G16" s="52"/>
      <c r="H16" s="52"/>
      <c r="I16" s="52"/>
      <c r="J16" s="52"/>
      <c r="K16" s="52"/>
      <c r="L16" s="52"/>
      <c r="M16" s="53"/>
    </row>
    <row r="17" spans="3:22">
      <c r="C17" s="51"/>
      <c r="D17" s="55" t="s">
        <v>81</v>
      </c>
      <c r="E17" s="52"/>
      <c r="F17" s="54" t="s">
        <v>83</v>
      </c>
      <c r="G17" s="52"/>
      <c r="H17" s="52"/>
      <c r="I17" s="52"/>
      <c r="J17" s="52"/>
      <c r="K17" s="52"/>
      <c r="L17" s="52"/>
      <c r="M17" s="53"/>
    </row>
    <row r="18" spans="3:22">
      <c r="C18" s="51"/>
      <c r="D18" s="56" t="s">
        <v>82</v>
      </c>
      <c r="E18" s="52"/>
      <c r="F18" s="54" t="s">
        <v>84</v>
      </c>
      <c r="G18" s="52"/>
      <c r="H18" s="52"/>
      <c r="I18" s="52"/>
      <c r="J18" s="52"/>
      <c r="K18" s="52"/>
      <c r="L18" s="52"/>
      <c r="M18" s="53"/>
    </row>
    <row r="19" spans="3:22">
      <c r="C19" s="51"/>
      <c r="D19" s="57" t="s">
        <v>20</v>
      </c>
      <c r="E19" s="52"/>
      <c r="F19" s="54" t="s">
        <v>87</v>
      </c>
      <c r="G19" s="52"/>
      <c r="H19" s="52"/>
      <c r="I19" s="52"/>
      <c r="J19" s="52"/>
      <c r="K19" s="52"/>
      <c r="L19" s="52"/>
      <c r="M19" s="53"/>
    </row>
    <row r="20" spans="3:22" ht="14.4">
      <c r="C20" s="51"/>
      <c r="D20" s="70" t="s">
        <v>85</v>
      </c>
      <c r="E20" s="52"/>
      <c r="F20" s="54" t="s">
        <v>88</v>
      </c>
      <c r="G20" s="52"/>
      <c r="H20" s="52"/>
      <c r="I20" s="52"/>
      <c r="J20" s="52"/>
      <c r="K20" s="52"/>
      <c r="L20" s="52"/>
      <c r="M20" s="53"/>
    </row>
    <row r="21" spans="3:22">
      <c r="C21" s="58"/>
      <c r="D21" s="59"/>
      <c r="E21" s="59"/>
      <c r="F21" s="59"/>
      <c r="G21" s="59"/>
      <c r="H21" s="59"/>
      <c r="I21" s="59"/>
      <c r="J21" s="59"/>
      <c r="K21" s="59"/>
      <c r="L21" s="59"/>
      <c r="M21" s="60"/>
    </row>
    <row r="22" spans="3:22"/>
    <row r="23" spans="3:22">
      <c r="C23" s="482" t="s">
        <v>553</v>
      </c>
      <c r="D23" s="482"/>
      <c r="E23" s="482"/>
      <c r="F23" s="482"/>
      <c r="G23" s="482"/>
      <c r="H23" s="482"/>
      <c r="I23" s="482"/>
      <c r="J23" s="482"/>
      <c r="K23" s="482"/>
      <c r="L23" s="482"/>
      <c r="M23" s="482"/>
      <c r="N23" s="482"/>
      <c r="O23" s="482"/>
      <c r="P23" s="482"/>
      <c r="Q23" s="482"/>
      <c r="R23" s="482"/>
      <c r="S23" s="482"/>
      <c r="T23" s="482"/>
      <c r="U23" s="482"/>
      <c r="V23" s="482"/>
    </row>
    <row r="24" spans="3:22">
      <c r="C24" s="482"/>
      <c r="D24" s="482"/>
      <c r="E24" s="482"/>
      <c r="F24" s="482"/>
      <c r="G24" s="482"/>
      <c r="H24" s="482"/>
      <c r="I24" s="482"/>
      <c r="J24" s="482"/>
      <c r="K24" s="482"/>
      <c r="L24" s="482"/>
      <c r="M24" s="482"/>
      <c r="N24" s="482"/>
      <c r="O24" s="482"/>
      <c r="P24" s="482"/>
      <c r="Q24" s="482"/>
      <c r="R24" s="482"/>
      <c r="S24" s="482"/>
      <c r="T24" s="482"/>
      <c r="U24" s="482"/>
      <c r="V24" s="482"/>
    </row>
    <row r="25" spans="3:22">
      <c r="C25" s="482"/>
      <c r="D25" s="482"/>
      <c r="E25" s="482"/>
      <c r="F25" s="482"/>
      <c r="G25" s="482"/>
      <c r="H25" s="482"/>
      <c r="I25" s="482"/>
      <c r="J25" s="482"/>
      <c r="K25" s="482"/>
      <c r="L25" s="482"/>
      <c r="M25" s="482"/>
      <c r="N25" s="482"/>
      <c r="O25" s="482"/>
      <c r="P25" s="482"/>
      <c r="Q25" s="482"/>
      <c r="R25" s="482"/>
      <c r="S25" s="482"/>
      <c r="T25" s="482"/>
      <c r="U25" s="482"/>
      <c r="V25" s="482"/>
    </row>
    <row r="26" spans="3:22">
      <c r="C26" s="482"/>
      <c r="D26" s="482"/>
      <c r="E26" s="482"/>
      <c r="F26" s="482"/>
      <c r="G26" s="482"/>
      <c r="H26" s="482"/>
      <c r="I26" s="482"/>
      <c r="J26" s="482"/>
      <c r="K26" s="482"/>
      <c r="L26" s="482"/>
      <c r="M26" s="482"/>
      <c r="N26" s="482"/>
      <c r="O26" s="482"/>
      <c r="P26" s="482"/>
      <c r="Q26" s="482"/>
      <c r="R26" s="482"/>
      <c r="S26" s="482"/>
      <c r="T26" s="482"/>
      <c r="U26" s="482"/>
      <c r="V26" s="482"/>
    </row>
    <row r="27" spans="3:22">
      <c r="C27" s="482"/>
      <c r="D27" s="482"/>
      <c r="E27" s="482"/>
      <c r="F27" s="482"/>
      <c r="G27" s="482"/>
      <c r="H27" s="482"/>
      <c r="I27" s="482"/>
      <c r="J27" s="482"/>
      <c r="K27" s="482"/>
      <c r="L27" s="482"/>
      <c r="M27" s="482"/>
      <c r="N27" s="482"/>
      <c r="O27" s="482"/>
      <c r="P27" s="482"/>
      <c r="Q27" s="482"/>
      <c r="R27" s="482"/>
      <c r="S27" s="482"/>
      <c r="T27" s="482"/>
      <c r="U27" s="482"/>
      <c r="V27" s="482"/>
    </row>
    <row r="28" spans="3:22">
      <c r="C28" s="482"/>
      <c r="D28" s="482"/>
      <c r="E28" s="482"/>
      <c r="F28" s="482"/>
      <c r="G28" s="482"/>
      <c r="H28" s="482"/>
      <c r="I28" s="482"/>
      <c r="J28" s="482"/>
      <c r="K28" s="482"/>
      <c r="L28" s="482"/>
      <c r="M28" s="482"/>
      <c r="N28" s="482"/>
      <c r="O28" s="482"/>
      <c r="P28" s="482"/>
      <c r="Q28" s="482"/>
      <c r="R28" s="482"/>
      <c r="S28" s="482"/>
      <c r="T28" s="482"/>
      <c r="U28" s="482"/>
      <c r="V28" s="482"/>
    </row>
    <row r="29" spans="3:22">
      <c r="C29" s="482"/>
      <c r="D29" s="482"/>
      <c r="E29" s="482"/>
      <c r="F29" s="482"/>
      <c r="G29" s="482"/>
      <c r="H29" s="482"/>
      <c r="I29" s="482"/>
      <c r="J29" s="482"/>
      <c r="K29" s="482"/>
      <c r="L29" s="482"/>
      <c r="M29" s="482"/>
      <c r="N29" s="482"/>
      <c r="O29" s="482"/>
      <c r="P29" s="482"/>
      <c r="Q29" s="482"/>
      <c r="R29" s="482"/>
      <c r="S29" s="482"/>
      <c r="T29" s="482"/>
      <c r="U29" s="482"/>
      <c r="V29" s="482"/>
    </row>
    <row r="30" spans="3:22"/>
    <row r="31" spans="3:22"/>
    <row r="32" spans="3:22"/>
    <row r="33"/>
    <row r="34"/>
    <row r="35"/>
  </sheetData>
  <mergeCells count="1">
    <mergeCell ref="C23:V29"/>
  </mergeCells>
  <hyperlinks>
    <hyperlink ref="D13" location="'ToC'!$A$1" tooltip="Go To Table of Contents" display="='ToC'!B1" xr:uid="{00000000-0004-0000-0000-000000000000}"/>
  </hyperlinks>
  <pageMargins left="0.7" right="0.7" top="0.75" bottom="0.75" header="0.3" footer="0.3"/>
  <pageSetup paperSize="9" scale="77"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34998626667073579"/>
  </sheetPr>
  <dimension ref="B1:O76"/>
  <sheetViews>
    <sheetView showGridLines="0" zoomScaleNormal="100" workbookViewId="0">
      <pane xSplit="1" ySplit="5" topLeftCell="B6" activePane="bottomRight" state="frozen"/>
      <selection activeCell="B6" sqref="B6"/>
      <selection pane="topRight" activeCell="B6" sqref="B6"/>
      <selection pane="bottomLeft" activeCell="B6" sqref="B6"/>
      <selection pane="bottomRight" activeCell="B6" sqref="B6"/>
    </sheetView>
  </sheetViews>
  <sheetFormatPr defaultColWidth="9.1171875" defaultRowHeight="12.75" customHeight="1"/>
  <cols>
    <col min="1" max="3" width="2.703125" style="13" customWidth="1"/>
    <col min="4" max="4" width="20.703125" style="13" customWidth="1"/>
    <col min="5" max="6" width="10.703125" style="13" customWidth="1"/>
    <col min="7" max="7" width="15.703125" style="13" customWidth="1"/>
    <col min="8" max="8" width="18.29296875" style="13" bestFit="1" customWidth="1"/>
    <col min="9" max="9" width="5.703125" style="13" customWidth="1"/>
    <col min="10" max="15" width="13.703125" style="13" customWidth="1"/>
    <col min="16" max="30" width="10.703125" style="13" customWidth="1"/>
    <col min="31" max="31" width="20.703125" style="13" customWidth="1"/>
    <col min="32" max="36" width="15.703125" style="13" customWidth="1"/>
    <col min="37" max="16384" width="9.1171875" style="13"/>
  </cols>
  <sheetData>
    <row r="1" spans="2:15" ht="20.399999999999999">
      <c r="B1" s="8" t="s">
        <v>445</v>
      </c>
    </row>
    <row r="2" spans="2:15" ht="11.25" customHeight="1">
      <c r="B2" s="72" t="s">
        <v>565</v>
      </c>
    </row>
    <row r="3" spans="2:15" ht="12.9">
      <c r="B3" s="71" t="s">
        <v>547</v>
      </c>
    </row>
    <row r="4" spans="2:15" ht="12.9">
      <c r="B4" s="337" t="s">
        <v>96</v>
      </c>
      <c r="G4" s="15" t="s">
        <v>167</v>
      </c>
      <c r="H4" s="33" t="s">
        <v>159</v>
      </c>
      <c r="I4" s="173"/>
    </row>
    <row r="7" spans="2:15" s="7" customFormat="1" ht="15.6">
      <c r="B7" s="7" t="s">
        <v>513</v>
      </c>
    </row>
    <row r="9" spans="2:15" ht="12.75" customHeight="1">
      <c r="G9" s="55" t="s">
        <v>135</v>
      </c>
      <c r="H9" s="55" t="s">
        <v>136</v>
      </c>
      <c r="I9" s="55"/>
      <c r="J9" s="168" t="s">
        <v>158</v>
      </c>
      <c r="K9" s="167" t="s">
        <v>159</v>
      </c>
      <c r="L9" s="167" t="s">
        <v>566</v>
      </c>
      <c r="M9" s="167" t="s">
        <v>567</v>
      </c>
      <c r="N9" s="167" t="s">
        <v>568</v>
      </c>
      <c r="O9" s="167" t="s">
        <v>569</v>
      </c>
    </row>
    <row r="10" spans="2:15" ht="12.75" customHeight="1">
      <c r="D10" s="14" t="s">
        <v>253</v>
      </c>
      <c r="G10" s="42" t="s">
        <v>277</v>
      </c>
      <c r="H10" s="42" t="s">
        <v>164</v>
      </c>
      <c r="I10" s="42"/>
      <c r="J10" s="148">
        <v>2.4248746575396662E-2</v>
      </c>
      <c r="K10" s="148">
        <v>2.4248746575396662E-2</v>
      </c>
      <c r="L10" s="148">
        <v>2.4248746575396662E-2</v>
      </c>
      <c r="M10" s="148">
        <v>2.4248746575396662E-2</v>
      </c>
      <c r="N10" s="148">
        <v>2.4248746575396662E-2</v>
      </c>
      <c r="O10" s="148">
        <v>2.4248746575396662E-2</v>
      </c>
    </row>
    <row r="11" spans="2:15" ht="12.75" customHeight="1">
      <c r="D11" s="14" t="s">
        <v>161</v>
      </c>
      <c r="G11" s="42" t="s">
        <v>277</v>
      </c>
      <c r="H11" s="42" t="s">
        <v>164</v>
      </c>
      <c r="I11" s="42"/>
      <c r="J11" s="166"/>
      <c r="K11" s="166">
        <v>9.4182208389897021E-2</v>
      </c>
      <c r="L11" s="166">
        <v>-3.3760666814186872E-2</v>
      </c>
      <c r="M11" s="166">
        <v>-3.3760666814186872E-2</v>
      </c>
      <c r="N11" s="166">
        <v>-3.3760666814186872E-2</v>
      </c>
      <c r="O11" s="166">
        <v>-3.3760666814186872E-2</v>
      </c>
    </row>
    <row r="12" spans="2:15" ht="12.75" customHeight="1">
      <c r="D12" s="14" t="s">
        <v>514</v>
      </c>
      <c r="G12" s="42" t="s">
        <v>277</v>
      </c>
      <c r="H12" s="42" t="s">
        <v>164</v>
      </c>
      <c r="I12" s="42"/>
      <c r="J12" s="148">
        <v>0.02</v>
      </c>
      <c r="K12" s="148">
        <v>0.02</v>
      </c>
      <c r="L12" s="148">
        <v>0.02</v>
      </c>
      <c r="M12" s="148">
        <v>0.02</v>
      </c>
      <c r="N12" s="148">
        <v>0.02</v>
      </c>
      <c r="O12" s="148">
        <v>0.02</v>
      </c>
    </row>
    <row r="13" spans="2:15" s="361" customFormat="1" ht="12.75" customHeight="1">
      <c r="D13" s="21" t="s">
        <v>518</v>
      </c>
      <c r="G13" s="108" t="s">
        <v>277</v>
      </c>
      <c r="H13" s="108" t="s">
        <v>164</v>
      </c>
      <c r="I13" s="108"/>
      <c r="K13" s="438">
        <v>0</v>
      </c>
      <c r="L13" s="438">
        <v>0</v>
      </c>
      <c r="M13" s="438">
        <v>0</v>
      </c>
      <c r="N13" s="438">
        <v>0</v>
      </c>
      <c r="O13" s="438">
        <v>0</v>
      </c>
    </row>
    <row r="14" spans="2:15" ht="12.75" customHeight="1">
      <c r="D14" s="14" t="s">
        <v>517</v>
      </c>
      <c r="G14" s="42" t="s">
        <v>81</v>
      </c>
      <c r="H14" s="42" t="s">
        <v>164</v>
      </c>
      <c r="I14" s="42"/>
      <c r="K14" s="112">
        <v>0</v>
      </c>
      <c r="L14" s="112">
        <v>0</v>
      </c>
      <c r="M14" s="112">
        <v>0</v>
      </c>
      <c r="N14" s="112">
        <v>0</v>
      </c>
      <c r="O14" s="112">
        <v>0</v>
      </c>
    </row>
    <row r="15" spans="2:15" ht="12.75" customHeight="1">
      <c r="D15" s="14"/>
      <c r="G15" s="42"/>
      <c r="H15" s="42"/>
      <c r="I15" s="42"/>
    </row>
    <row r="16" spans="2:15" ht="12.75" customHeight="1">
      <c r="C16" s="476" t="s">
        <v>242</v>
      </c>
    </row>
    <row r="17" spans="2:15" ht="12.75" customHeight="1">
      <c r="D17" s="14" t="s">
        <v>516</v>
      </c>
      <c r="G17" s="42" t="s">
        <v>277</v>
      </c>
      <c r="H17" s="42" t="s">
        <v>278</v>
      </c>
      <c r="I17" s="42"/>
      <c r="J17" s="413">
        <v>177841.86661021638</v>
      </c>
      <c r="K17" s="151">
        <v>164998.61387816441</v>
      </c>
      <c r="L17" s="151">
        <v>174705.16343045305</v>
      </c>
      <c r="M17" s="151">
        <v>184982.73053250491</v>
      </c>
      <c r="N17" s="151">
        <v>195864.90704313459</v>
      </c>
      <c r="O17" s="151">
        <v>207387.26096528588</v>
      </c>
    </row>
    <row r="18" spans="2:15" ht="12.75" customHeight="1">
      <c r="D18" s="14"/>
      <c r="G18" s="42"/>
      <c r="H18" s="42"/>
      <c r="I18" s="42"/>
      <c r="J18" s="161"/>
      <c r="K18" s="151"/>
      <c r="L18" s="151"/>
      <c r="M18" s="151"/>
      <c r="N18" s="151"/>
      <c r="O18" s="151"/>
    </row>
    <row r="19" spans="2:15" ht="12.75" customHeight="1">
      <c r="C19" s="476" t="s">
        <v>254</v>
      </c>
    </row>
    <row r="20" spans="2:15" ht="12.75" customHeight="1">
      <c r="D20" s="14" t="s">
        <v>515</v>
      </c>
      <c r="G20" s="42" t="s">
        <v>277</v>
      </c>
      <c r="H20" s="42" t="s">
        <v>164</v>
      </c>
      <c r="I20" s="42"/>
      <c r="J20" s="166" t="s">
        <v>251</v>
      </c>
      <c r="K20" s="414">
        <v>-5.3661607564011282E-2</v>
      </c>
      <c r="L20" s="166">
        <v>8.0004628588244531E-2</v>
      </c>
      <c r="M20" s="166">
        <v>8.0004628588244531E-2</v>
      </c>
      <c r="N20" s="166">
        <v>8.0004628588244531E-2</v>
      </c>
      <c r="O20" s="166">
        <v>8.0004628588244531E-2</v>
      </c>
    </row>
    <row r="21" spans="2:15" ht="12.75" customHeight="1" thickBot="1"/>
    <row r="22" spans="2:15" s="361" customFormat="1" ht="12.75" customHeight="1">
      <c r="B22" s="439"/>
      <c r="C22" s="440" t="s">
        <v>255</v>
      </c>
      <c r="D22" s="441"/>
      <c r="E22" s="441"/>
      <c r="F22" s="441"/>
      <c r="G22" s="441"/>
      <c r="H22" s="441"/>
      <c r="I22" s="441"/>
      <c r="J22" s="442" t="s">
        <v>591</v>
      </c>
      <c r="K22" s="442" t="s">
        <v>592</v>
      </c>
      <c r="L22" s="442" t="s">
        <v>593</v>
      </c>
      <c r="M22" s="442" t="s">
        <v>593</v>
      </c>
      <c r="N22" s="442" t="s">
        <v>593</v>
      </c>
      <c r="O22" s="443" t="s">
        <v>593</v>
      </c>
    </row>
    <row r="23" spans="2:15" s="361" customFormat="1" ht="12.75" customHeight="1">
      <c r="B23" s="444"/>
      <c r="C23" s="223"/>
      <c r="D23" s="223"/>
      <c r="E23" s="223"/>
      <c r="F23" s="223"/>
      <c r="G23" s="223"/>
      <c r="H23" s="223"/>
      <c r="I23" s="223"/>
      <c r="J23" s="445" t="s">
        <v>594</v>
      </c>
      <c r="K23" s="445" t="s">
        <v>595</v>
      </c>
      <c r="L23" s="445" t="s">
        <v>596</v>
      </c>
      <c r="M23" s="445" t="s">
        <v>596</v>
      </c>
      <c r="N23" s="445" t="s">
        <v>596</v>
      </c>
      <c r="O23" s="446" t="s">
        <v>596</v>
      </c>
    </row>
    <row r="24" spans="2:15" s="361" customFormat="1" ht="12.75" customHeight="1">
      <c r="B24" s="444"/>
      <c r="C24" s="223"/>
      <c r="D24" s="29" t="s">
        <v>256</v>
      </c>
      <c r="E24" s="223"/>
      <c r="F24" s="223"/>
      <c r="G24" s="108" t="s">
        <v>277</v>
      </c>
      <c r="H24" s="108" t="s">
        <v>278</v>
      </c>
      <c r="I24" s="108"/>
      <c r="J24" s="210">
        <v>0</v>
      </c>
      <c r="K24" s="210">
        <v>0</v>
      </c>
      <c r="L24" s="210">
        <v>0</v>
      </c>
      <c r="M24" s="210">
        <v>0</v>
      </c>
      <c r="N24" s="210">
        <v>0</v>
      </c>
      <c r="O24" s="415">
        <v>0</v>
      </c>
    </row>
    <row r="25" spans="2:15" s="361" customFormat="1" ht="12.75" customHeight="1">
      <c r="B25" s="444"/>
      <c r="C25" s="223"/>
      <c r="D25" s="29" t="s">
        <v>257</v>
      </c>
      <c r="E25" s="223"/>
      <c r="F25" s="223"/>
      <c r="G25" s="108" t="s">
        <v>277</v>
      </c>
      <c r="H25" s="108" t="s">
        <v>278</v>
      </c>
      <c r="I25" s="108"/>
      <c r="J25" s="210">
        <v>0</v>
      </c>
      <c r="K25" s="210">
        <v>0</v>
      </c>
      <c r="L25" s="210">
        <v>0</v>
      </c>
      <c r="M25" s="210">
        <v>0</v>
      </c>
      <c r="N25" s="210">
        <v>0</v>
      </c>
      <c r="O25" s="415">
        <v>0</v>
      </c>
    </row>
    <row r="26" spans="2:15" s="361" customFormat="1" ht="12.75" customHeight="1">
      <c r="B26" s="444"/>
      <c r="C26" s="478" t="s">
        <v>258</v>
      </c>
      <c r="D26" s="479"/>
      <c r="E26" s="479"/>
      <c r="F26" s="479"/>
      <c r="G26" s="480" t="s">
        <v>277</v>
      </c>
      <c r="H26" s="480" t="s">
        <v>278</v>
      </c>
      <c r="I26" s="480"/>
      <c r="J26" s="481">
        <v>0</v>
      </c>
      <c r="K26" s="481">
        <v>0</v>
      </c>
      <c r="L26" s="481">
        <v>0</v>
      </c>
      <c r="M26" s="481">
        <v>0</v>
      </c>
      <c r="N26" s="481">
        <v>0</v>
      </c>
      <c r="O26" s="447">
        <v>0</v>
      </c>
    </row>
    <row r="27" spans="2:15" s="361" customFormat="1" ht="12.75" customHeight="1">
      <c r="B27" s="444"/>
      <c r="C27" s="223"/>
      <c r="D27" s="223"/>
      <c r="E27" s="223"/>
      <c r="F27" s="223"/>
      <c r="G27" s="223"/>
      <c r="H27" s="223"/>
      <c r="I27" s="223"/>
      <c r="J27" s="223"/>
      <c r="K27" s="223"/>
      <c r="L27" s="223"/>
      <c r="M27" s="223"/>
      <c r="N27" s="223"/>
      <c r="O27" s="448"/>
    </row>
    <row r="28" spans="2:15" s="361" customFormat="1" ht="12.75" customHeight="1">
      <c r="B28" s="444"/>
      <c r="C28" s="223"/>
      <c r="D28" s="29" t="s">
        <v>259</v>
      </c>
      <c r="E28" s="223"/>
      <c r="F28" s="223"/>
      <c r="G28" s="108" t="s">
        <v>277</v>
      </c>
      <c r="H28" s="108" t="s">
        <v>278</v>
      </c>
      <c r="I28" s="108"/>
      <c r="J28" s="210">
        <v>0</v>
      </c>
      <c r="K28" s="210">
        <v>164998.61387816441</v>
      </c>
      <c r="L28" s="210">
        <v>0</v>
      </c>
      <c r="M28" s="210">
        <v>0</v>
      </c>
      <c r="N28" s="210">
        <v>0</v>
      </c>
      <c r="O28" s="415">
        <v>0</v>
      </c>
    </row>
    <row r="29" spans="2:15" s="361" customFormat="1" ht="12.75" customHeight="1">
      <c r="B29" s="444"/>
      <c r="C29" s="223"/>
      <c r="D29" s="29" t="s">
        <v>260</v>
      </c>
      <c r="E29" s="223"/>
      <c r="F29" s="223"/>
      <c r="G29" s="108" t="s">
        <v>277</v>
      </c>
      <c r="H29" s="108" t="s">
        <v>278</v>
      </c>
      <c r="I29" s="108"/>
      <c r="J29" s="210">
        <v>0</v>
      </c>
      <c r="K29" s="210">
        <v>164998.61387816441</v>
      </c>
      <c r="L29" s="210">
        <v>0</v>
      </c>
      <c r="M29" s="210">
        <v>0</v>
      </c>
      <c r="N29" s="210">
        <v>0</v>
      </c>
      <c r="O29" s="415">
        <v>0</v>
      </c>
    </row>
    <row r="30" spans="2:15" s="361" customFormat="1" ht="12.75" customHeight="1">
      <c r="B30" s="444"/>
      <c r="C30" s="478" t="s">
        <v>264</v>
      </c>
      <c r="D30" s="479"/>
      <c r="E30" s="479"/>
      <c r="F30" s="479"/>
      <c r="G30" s="480" t="s">
        <v>277</v>
      </c>
      <c r="H30" s="480" t="s">
        <v>278</v>
      </c>
      <c r="I30" s="479"/>
      <c r="J30" s="481">
        <v>0</v>
      </c>
      <c r="K30" s="481">
        <v>0</v>
      </c>
      <c r="L30" s="481">
        <v>0</v>
      </c>
      <c r="M30" s="481">
        <v>0</v>
      </c>
      <c r="N30" s="481">
        <v>0</v>
      </c>
      <c r="O30" s="447">
        <v>0</v>
      </c>
    </row>
    <row r="31" spans="2:15" s="361" customFormat="1" ht="12.75" customHeight="1">
      <c r="B31" s="444"/>
      <c r="C31" s="29" t="s">
        <v>261</v>
      </c>
      <c r="D31" s="223"/>
      <c r="E31" s="223"/>
      <c r="F31" s="223"/>
      <c r="G31" s="108" t="s">
        <v>277</v>
      </c>
      <c r="H31" s="108" t="s">
        <v>278</v>
      </c>
      <c r="I31" s="223"/>
      <c r="J31" s="210">
        <v>0</v>
      </c>
      <c r="K31" s="210">
        <v>0</v>
      </c>
      <c r="L31" s="210">
        <v>0</v>
      </c>
      <c r="M31" s="210">
        <v>0</v>
      </c>
      <c r="N31" s="210">
        <v>0</v>
      </c>
      <c r="O31" s="415">
        <v>0</v>
      </c>
    </row>
    <row r="32" spans="2:15" s="361" customFormat="1" ht="12.75" customHeight="1">
      <c r="B32" s="444"/>
      <c r="C32" s="478" t="s">
        <v>262</v>
      </c>
      <c r="D32" s="479"/>
      <c r="E32" s="479"/>
      <c r="F32" s="479"/>
      <c r="G32" s="480" t="s">
        <v>277</v>
      </c>
      <c r="H32" s="480" t="s">
        <v>278</v>
      </c>
      <c r="I32" s="479"/>
      <c r="J32" s="481">
        <v>0</v>
      </c>
      <c r="K32" s="481">
        <v>0</v>
      </c>
      <c r="L32" s="481">
        <v>0</v>
      </c>
      <c r="M32" s="481">
        <v>0</v>
      </c>
      <c r="N32" s="481">
        <v>0</v>
      </c>
      <c r="O32" s="447">
        <v>0</v>
      </c>
    </row>
    <row r="33" spans="2:15" s="361" customFormat="1" ht="12.75" customHeight="1" thickBot="1">
      <c r="B33" s="449"/>
      <c r="C33" s="450" t="s">
        <v>263</v>
      </c>
      <c r="D33" s="451"/>
      <c r="E33" s="451"/>
      <c r="F33" s="451"/>
      <c r="G33" s="452" t="s">
        <v>277</v>
      </c>
      <c r="H33" s="452" t="s">
        <v>263</v>
      </c>
      <c r="I33" s="451"/>
      <c r="J33" s="453" t="s">
        <v>251</v>
      </c>
      <c r="K33" s="453" t="s">
        <v>597</v>
      </c>
      <c r="L33" s="453" t="s">
        <v>251</v>
      </c>
      <c r="M33" s="453" t="s">
        <v>251</v>
      </c>
      <c r="N33" s="453" t="s">
        <v>251</v>
      </c>
      <c r="O33" s="454" t="s">
        <v>251</v>
      </c>
    </row>
    <row r="34" spans="2:15" s="361" customFormat="1" ht="12.75" customHeight="1"/>
    <row r="35" spans="2:15" s="7" customFormat="1" ht="15.6">
      <c r="B35" s="7" t="s">
        <v>598</v>
      </c>
      <c r="J35" s="7" t="s">
        <v>599</v>
      </c>
    </row>
    <row r="38" spans="2:15" ht="12.9">
      <c r="C38" s="476" t="s">
        <v>267</v>
      </c>
      <c r="G38" s="55" t="s">
        <v>135</v>
      </c>
      <c r="H38" s="55" t="s">
        <v>136</v>
      </c>
      <c r="J38" s="113" t="s">
        <v>158</v>
      </c>
      <c r="K38" s="113" t="s">
        <v>159</v>
      </c>
      <c r="L38" s="30" t="s">
        <v>265</v>
      </c>
      <c r="M38" s="477" t="s">
        <v>266</v>
      </c>
    </row>
    <row r="39" spans="2:15" ht="12.75" customHeight="1">
      <c r="D39" s="14" t="s">
        <v>403</v>
      </c>
      <c r="G39" s="42" t="s">
        <v>277</v>
      </c>
      <c r="H39" s="42" t="s">
        <v>278</v>
      </c>
      <c r="J39" s="40">
        <v>130696.8671331246</v>
      </c>
      <c r="K39" s="40">
        <v>130696.8671331246</v>
      </c>
      <c r="L39" s="148">
        <v>0</v>
      </c>
      <c r="M39" s="148">
        <v>-5.3661607564011282E-2</v>
      </c>
      <c r="O39" s="169" t="s">
        <v>600</v>
      </c>
    </row>
    <row r="40" spans="2:15" ht="12.75" customHeight="1">
      <c r="D40" s="14" t="s">
        <v>314</v>
      </c>
      <c r="G40" s="42" t="s">
        <v>277</v>
      </c>
      <c r="H40" s="42" t="s">
        <v>278</v>
      </c>
      <c r="J40" s="40">
        <v>11101.173251720584</v>
      </c>
      <c r="K40" s="40">
        <v>11101.173251720584</v>
      </c>
      <c r="L40" s="148">
        <v>0</v>
      </c>
      <c r="M40" s="148">
        <v>-5.3661607564011282E-2</v>
      </c>
      <c r="O40" s="169" t="s">
        <v>600</v>
      </c>
    </row>
    <row r="41" spans="2:15" ht="12.75" customHeight="1">
      <c r="D41" s="14" t="s">
        <v>181</v>
      </c>
      <c r="G41" s="42" t="s">
        <v>277</v>
      </c>
      <c r="H41" s="42" t="s">
        <v>278</v>
      </c>
      <c r="J41" s="40">
        <v>11151.748446630932</v>
      </c>
      <c r="K41" s="40">
        <v>11151.748446630932</v>
      </c>
      <c r="L41" s="148">
        <v>0</v>
      </c>
      <c r="M41" s="148">
        <v>-5.3661607564011282E-2</v>
      </c>
      <c r="O41" s="169" t="s">
        <v>600</v>
      </c>
    </row>
    <row r="42" spans="2:15" ht="12.75" customHeight="1">
      <c r="D42" s="171" t="s">
        <v>268</v>
      </c>
      <c r="J42" s="260" t="s">
        <v>27</v>
      </c>
      <c r="K42" s="260" t="s">
        <v>27</v>
      </c>
    </row>
    <row r="44" spans="2:15" s="7" customFormat="1" ht="15.6">
      <c r="B44" s="7" t="s">
        <v>269</v>
      </c>
    </row>
    <row r="46" spans="2:15" ht="12.75" customHeight="1">
      <c r="C46" s="476" t="s">
        <v>270</v>
      </c>
      <c r="G46" s="55" t="s">
        <v>135</v>
      </c>
      <c r="H46" s="55" t="s">
        <v>136</v>
      </c>
      <c r="J46" s="113" t="s">
        <v>403</v>
      </c>
      <c r="K46" s="113" t="s">
        <v>314</v>
      </c>
      <c r="L46" s="113" t="s">
        <v>181</v>
      </c>
      <c r="M46" s="348" t="s">
        <v>73</v>
      </c>
    </row>
    <row r="47" spans="2:15" ht="12.75" customHeight="1">
      <c r="D47" s="14" t="s">
        <v>271</v>
      </c>
      <c r="G47" s="42" t="s">
        <v>277</v>
      </c>
      <c r="H47" s="42" t="s">
        <v>278</v>
      </c>
      <c r="J47" s="40">
        <v>153488.78463247034</v>
      </c>
      <c r="K47" s="40">
        <v>140221.60378469538</v>
      </c>
      <c r="L47" s="40">
        <v>52468.211590706735</v>
      </c>
      <c r="M47" s="176">
        <v>346178.60000787245</v>
      </c>
    </row>
    <row r="48" spans="2:15" ht="12.75" customHeight="1">
      <c r="D48" s="14" t="s">
        <v>272</v>
      </c>
      <c r="G48" s="42" t="s">
        <v>277</v>
      </c>
      <c r="H48" s="42" t="s">
        <v>278</v>
      </c>
      <c r="J48" s="40">
        <v>125342.75204017675</v>
      </c>
      <c r="K48" s="40">
        <v>20417.468634081826</v>
      </c>
      <c r="L48" s="40">
        <v>19238.393203905816</v>
      </c>
      <c r="M48" s="176">
        <v>164998.61387816438</v>
      </c>
    </row>
    <row r="49" spans="2:13" ht="12.75" customHeight="1">
      <c r="D49" s="14" t="s">
        <v>273</v>
      </c>
      <c r="G49" s="42" t="s">
        <v>277</v>
      </c>
      <c r="H49" s="42" t="s">
        <v>278</v>
      </c>
      <c r="J49" s="40">
        <v>130696.8671331246</v>
      </c>
      <c r="K49" s="40">
        <v>17445.249353450752</v>
      </c>
      <c r="L49" s="40">
        <v>16856.497391589084</v>
      </c>
      <c r="M49" s="176">
        <v>164998.61387816441</v>
      </c>
    </row>
    <row r="50" spans="2:13" ht="12.75" customHeight="1">
      <c r="D50" s="14" t="s">
        <v>274</v>
      </c>
      <c r="G50" s="42" t="s">
        <v>277</v>
      </c>
      <c r="H50" s="42" t="s">
        <v>278</v>
      </c>
      <c r="J50" s="40">
        <v>20216.663239890215</v>
      </c>
      <c r="K50" s="40">
        <v>11113.346883954133</v>
      </c>
      <c r="L50" s="40">
        <v>5361.2334895073382</v>
      </c>
      <c r="M50" s="176">
        <v>36691.243613351682</v>
      </c>
    </row>
    <row r="52" spans="2:13" ht="12.75" customHeight="1">
      <c r="C52" s="476" t="s">
        <v>275</v>
      </c>
    </row>
    <row r="53" spans="2:13" ht="12.75" customHeight="1">
      <c r="D53" s="15" t="s">
        <v>275</v>
      </c>
      <c r="G53" s="42" t="s">
        <v>277</v>
      </c>
      <c r="H53" s="42" t="s">
        <v>152</v>
      </c>
      <c r="J53" s="40">
        <v>392746.59469214262</v>
      </c>
      <c r="K53" s="40">
        <v>70742.168813108554</v>
      </c>
      <c r="L53" s="40">
        <v>85339.349800832526</v>
      </c>
    </row>
    <row r="54" spans="2:13" ht="12.75" customHeight="1">
      <c r="D54" s="14" t="s">
        <v>164</v>
      </c>
      <c r="G54" s="42" t="s">
        <v>277</v>
      </c>
      <c r="H54" s="42" t="s">
        <v>164</v>
      </c>
      <c r="J54" s="146">
        <v>0.7156094689214767</v>
      </c>
      <c r="K54" s="146">
        <v>0.12722616397359784</v>
      </c>
      <c r="L54" s="146">
        <v>0.16697349222920999</v>
      </c>
      <c r="M54" s="274">
        <v>1.0098091251242844</v>
      </c>
    </row>
    <row r="56" spans="2:13" ht="12.75" customHeight="1">
      <c r="C56" s="476" t="s">
        <v>276</v>
      </c>
    </row>
    <row r="57" spans="2:13" ht="12.75" customHeight="1">
      <c r="D57" s="15" t="s">
        <v>271</v>
      </c>
      <c r="G57" s="42" t="s">
        <v>277</v>
      </c>
      <c r="H57" s="42" t="s">
        <v>151</v>
      </c>
      <c r="J57" s="174">
        <v>390.80869626071154</v>
      </c>
      <c r="K57" s="174">
        <v>1982.15019608944</v>
      </c>
      <c r="L57" s="174">
        <v>614.81850650559898</v>
      </c>
    </row>
    <row r="58" spans="2:13" ht="12.75" customHeight="1">
      <c r="D58" s="15" t="s">
        <v>272</v>
      </c>
      <c r="G58" s="42" t="s">
        <v>277</v>
      </c>
      <c r="H58" s="42" t="s">
        <v>151</v>
      </c>
      <c r="J58" s="174">
        <v>319.14408357487508</v>
      </c>
      <c r="K58" s="174">
        <v>288.61807570562439</v>
      </c>
      <c r="L58" s="174">
        <v>225.43402602439488</v>
      </c>
    </row>
    <row r="59" spans="2:13" ht="12.75" customHeight="1">
      <c r="D59" s="15" t="s">
        <v>273</v>
      </c>
      <c r="G59" s="42" t="s">
        <v>277</v>
      </c>
      <c r="H59" s="42" t="s">
        <v>151</v>
      </c>
      <c r="J59" s="174">
        <v>332.77657629488124</v>
      </c>
      <c r="K59" s="174">
        <v>246.6032586524</v>
      </c>
      <c r="L59" s="174">
        <v>197.52315234331255</v>
      </c>
    </row>
    <row r="60" spans="2:13" ht="12.75" customHeight="1">
      <c r="D60" s="15" t="s">
        <v>274</v>
      </c>
      <c r="G60" s="42" t="s">
        <v>277</v>
      </c>
      <c r="H60" s="42" t="s">
        <v>151</v>
      </c>
      <c r="J60" s="174">
        <v>51.47508218559399</v>
      </c>
      <c r="K60" s="174">
        <v>157.09649662161368</v>
      </c>
      <c r="L60" s="174">
        <v>62.822525622934108</v>
      </c>
    </row>
    <row r="61" spans="2:13" ht="12.75" customHeight="1">
      <c r="D61" s="14" t="s">
        <v>104</v>
      </c>
      <c r="G61" s="42" t="s">
        <v>277</v>
      </c>
      <c r="H61" s="42" t="s">
        <v>151</v>
      </c>
      <c r="J61" s="349">
        <v>466.85759606922733</v>
      </c>
      <c r="K61" s="349">
        <v>466.85759606922733</v>
      </c>
      <c r="L61" s="349">
        <v>220.56024738362552</v>
      </c>
    </row>
    <row r="63" spans="2:13" s="7" customFormat="1" ht="15.6">
      <c r="B63" s="7" t="s">
        <v>279</v>
      </c>
    </row>
    <row r="65" spans="2:13" ht="12.75" customHeight="1">
      <c r="G65" s="55" t="s">
        <v>135</v>
      </c>
      <c r="H65" s="55" t="s">
        <v>136</v>
      </c>
      <c r="J65" s="113" t="s">
        <v>403</v>
      </c>
      <c r="K65" s="113" t="s">
        <v>314</v>
      </c>
      <c r="L65" s="113" t="s">
        <v>181</v>
      </c>
      <c r="M65" s="175" t="s">
        <v>73</v>
      </c>
    </row>
    <row r="66" spans="2:13" ht="12.75" customHeight="1">
      <c r="D66" s="14" t="s">
        <v>280</v>
      </c>
      <c r="G66" s="42" t="s">
        <v>277</v>
      </c>
      <c r="H66" s="42" t="s">
        <v>278</v>
      </c>
      <c r="J66" s="151">
        <v>153488.78463247034</v>
      </c>
      <c r="K66" s="151">
        <v>140221.60378469538</v>
      </c>
      <c r="L66" s="151">
        <v>52468.211590706735</v>
      </c>
      <c r="M66" s="176">
        <v>346178.60000787245</v>
      </c>
    </row>
    <row r="67" spans="2:13" ht="12.75" customHeight="1">
      <c r="D67" s="14" t="s">
        <v>260</v>
      </c>
      <c r="G67" s="42" t="s">
        <v>277</v>
      </c>
      <c r="H67" s="42" t="s">
        <v>278</v>
      </c>
      <c r="J67" s="151">
        <v>130696.8671331246</v>
      </c>
      <c r="K67" s="151">
        <v>17445.249353450752</v>
      </c>
      <c r="L67" s="151">
        <v>16856.497391589084</v>
      </c>
      <c r="M67" s="176">
        <v>164998.61387816441</v>
      </c>
    </row>
    <row r="68" spans="2:13" ht="12.75" customHeight="1">
      <c r="D68" s="14" t="s">
        <v>281</v>
      </c>
      <c r="G68" s="42" t="s">
        <v>277</v>
      </c>
      <c r="H68" s="42" t="s">
        <v>278</v>
      </c>
      <c r="J68" s="151">
        <v>20216.663239890215</v>
      </c>
      <c r="K68" s="151">
        <v>11113.346883954133</v>
      </c>
      <c r="L68" s="151">
        <v>5361.2334895073382</v>
      </c>
      <c r="M68" s="176">
        <v>36691.243613351682</v>
      </c>
    </row>
    <row r="69" spans="2:13" ht="12.75" customHeight="1">
      <c r="D69" s="14" t="s">
        <v>263</v>
      </c>
      <c r="G69" s="42" t="s">
        <v>277</v>
      </c>
      <c r="H69" s="42" t="s">
        <v>263</v>
      </c>
      <c r="J69" s="169" t="s">
        <v>597</v>
      </c>
      <c r="K69" s="169" t="s">
        <v>597</v>
      </c>
      <c r="L69" s="169" t="s">
        <v>597</v>
      </c>
    </row>
    <row r="71" spans="2:13" s="7" customFormat="1" ht="15.6">
      <c r="B71" s="7" t="s">
        <v>282</v>
      </c>
    </row>
    <row r="73" spans="2:13" ht="38.700000000000003">
      <c r="C73" s="476" t="s">
        <v>187</v>
      </c>
      <c r="G73" s="55" t="s">
        <v>135</v>
      </c>
      <c r="H73" s="55" t="s">
        <v>136</v>
      </c>
      <c r="J73" s="30" t="s">
        <v>239</v>
      </c>
      <c r="K73" s="477" t="s">
        <v>283</v>
      </c>
      <c r="L73" s="507" t="s">
        <v>284</v>
      </c>
      <c r="M73" s="507"/>
    </row>
    <row r="74" spans="2:13" ht="12.75" customHeight="1">
      <c r="D74" s="15" t="s">
        <v>403</v>
      </c>
      <c r="G74" s="42" t="s">
        <v>277</v>
      </c>
      <c r="H74" s="42" t="s">
        <v>278</v>
      </c>
      <c r="J74" s="109" t="s">
        <v>498</v>
      </c>
      <c r="K74" s="177">
        <v>1.4029160383437977</v>
      </c>
      <c r="L74" s="356">
        <v>0.76741946204404887</v>
      </c>
      <c r="M74" s="14" t="s">
        <v>285</v>
      </c>
    </row>
    <row r="75" spans="2:13" ht="12.75" customHeight="1">
      <c r="D75" s="15" t="s">
        <v>314</v>
      </c>
      <c r="G75" s="42" t="s">
        <v>277</v>
      </c>
      <c r="H75" s="42" t="s">
        <v>278</v>
      </c>
      <c r="J75" s="109" t="s">
        <v>156</v>
      </c>
      <c r="K75" s="177">
        <v>1.8931525828995113</v>
      </c>
      <c r="L75" s="356">
        <v>0.49683451349169017</v>
      </c>
      <c r="M75" s="14" t="s">
        <v>286</v>
      </c>
    </row>
    <row r="76" spans="2:13" ht="12.75" customHeight="1">
      <c r="D76" s="15" t="s">
        <v>181</v>
      </c>
      <c r="G76" s="42" t="s">
        <v>277</v>
      </c>
      <c r="H76" s="42" t="s">
        <v>278</v>
      </c>
      <c r="J76" s="109" t="s">
        <v>181</v>
      </c>
      <c r="K76" s="177">
        <v>1.1166298470179965</v>
      </c>
      <c r="L76" s="356">
        <v>0.34772964915297866</v>
      </c>
      <c r="M76" s="14" t="s">
        <v>286</v>
      </c>
    </row>
  </sheetData>
  <mergeCells count="1">
    <mergeCell ref="L73:M73"/>
  </mergeCells>
  <conditionalFormatting sqref="B2">
    <cfRule type="cellIs" dxfId="18" priority="9" operator="notEqual">
      <formula>"No Errors Found"</formula>
    </cfRule>
  </conditionalFormatting>
  <conditionalFormatting sqref="K9:O9">
    <cfRule type="expression" dxfId="17" priority="8">
      <formula>K$9=Tariff_Year</formula>
    </cfRule>
  </conditionalFormatting>
  <conditionalFormatting sqref="J33:O33">
    <cfRule type="expression" dxfId="16" priority="6">
      <formula>J33="Fail"</formula>
    </cfRule>
    <cfRule type="expression" dxfId="15" priority="7">
      <formula>J33="Pass"</formula>
    </cfRule>
  </conditionalFormatting>
  <conditionalFormatting sqref="O39:O41">
    <cfRule type="expression" dxfId="14" priority="4">
      <formula>O39="Fail"</formula>
    </cfRule>
    <cfRule type="expression" dxfId="13" priority="5">
      <formula>O39="Pass"</formula>
    </cfRule>
  </conditionalFormatting>
  <conditionalFormatting sqref="J69:L69">
    <cfRule type="expression" dxfId="12" priority="2">
      <formula>J69="Fail"</formula>
    </cfRule>
    <cfRule type="expression" dxfId="11" priority="3">
      <formula>J69="Pass"</formula>
    </cfRule>
  </conditionalFormatting>
  <conditionalFormatting sqref="J42:K42">
    <cfRule type="expression" dxfId="10" priority="1">
      <formula>J42&lt;&gt;Ok</formula>
    </cfRule>
  </conditionalFormatting>
  <pageMargins left="0.7" right="0.7" top="0.75" bottom="0.75" header="0.3" footer="0.3"/>
  <pageSetup paperSize="9" scale="77" orientation="landscape"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900-000000000000}">
          <x14:formula1>
            <xm:f>Inputs_General!$H$15:$N$15</xm:f>
          </x14:formula1>
          <xm:sqref>J74:J76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34998626667073579"/>
  </sheetPr>
  <dimension ref="A1:AC55"/>
  <sheetViews>
    <sheetView showGridLines="0" zoomScaleNormal="100" workbookViewId="0">
      <pane xSplit="4" ySplit="5" topLeftCell="E6" activePane="bottomRight" state="frozen"/>
      <selection activeCell="H64" sqref="H64"/>
      <selection pane="topRight" activeCell="H64" sqref="H64"/>
      <selection pane="bottomLeft" activeCell="H64" sqref="H64"/>
      <selection pane="bottomRight" activeCell="E6" sqref="E6"/>
    </sheetView>
  </sheetViews>
  <sheetFormatPr defaultColWidth="9.1171875" defaultRowHeight="12.75" customHeight="1"/>
  <cols>
    <col min="1" max="3" width="2.703125" style="13" customWidth="1"/>
    <col min="4" max="4" width="20.703125" style="13" customWidth="1"/>
    <col min="5" max="5" width="10.703125" style="13" customWidth="1"/>
    <col min="6" max="6" width="3.703125" style="13" customWidth="1"/>
    <col min="7" max="12" width="10.703125" style="13" customWidth="1"/>
    <col min="13" max="13" width="3.703125" style="13" customWidth="1"/>
    <col min="14" max="19" width="10.703125" style="13" customWidth="1"/>
    <col min="20" max="20" width="3.703125" style="13" customWidth="1"/>
    <col min="21" max="21" width="10.703125" style="13" customWidth="1"/>
    <col min="22" max="22" width="3.703125" style="13" customWidth="1"/>
    <col min="23" max="23" width="20.703125" style="13" customWidth="1"/>
    <col min="24" max="40" width="10.703125" style="13" customWidth="1"/>
    <col min="41" max="16384" width="9.1171875" style="13"/>
  </cols>
  <sheetData>
    <row r="1" spans="1:29" ht="20.399999999999999">
      <c r="B1" s="8" t="s">
        <v>446</v>
      </c>
    </row>
    <row r="2" spans="1:29" ht="11.25" customHeight="1">
      <c r="B2" s="72" t="s">
        <v>565</v>
      </c>
    </row>
    <row r="3" spans="1:29" ht="12.9">
      <c r="B3" s="71" t="s">
        <v>547</v>
      </c>
    </row>
    <row r="4" spans="1:29" ht="12.9">
      <c r="B4" s="337" t="s">
        <v>96</v>
      </c>
    </row>
    <row r="7" spans="1:29" s="7" customFormat="1" ht="12.75" customHeight="1">
      <c r="B7" s="7" t="s">
        <v>368</v>
      </c>
    </row>
    <row r="9" spans="1:29" ht="12.75" customHeight="1">
      <c r="C9" s="170" t="s">
        <v>367</v>
      </c>
    </row>
    <row r="10" spans="1:29" ht="213.75" customHeight="1">
      <c r="D10" s="508" t="s">
        <v>508</v>
      </c>
      <c r="E10" s="509"/>
      <c r="F10" s="509"/>
      <c r="G10" s="509"/>
      <c r="H10" s="509"/>
      <c r="I10" s="509"/>
      <c r="J10" s="509"/>
      <c r="K10" s="509"/>
      <c r="L10" s="509"/>
      <c r="M10" s="509"/>
      <c r="N10" s="509"/>
      <c r="O10" s="509"/>
      <c r="P10" s="509"/>
      <c r="Q10" s="509"/>
      <c r="R10" s="509"/>
      <c r="S10" s="509"/>
      <c r="T10" s="509"/>
      <c r="U10" s="509"/>
      <c r="V10" s="509"/>
      <c r="W10" s="509"/>
      <c r="X10" s="510"/>
    </row>
    <row r="12" spans="1:29" s="7" customFormat="1" ht="12.75" customHeight="1">
      <c r="B12" s="7" t="s">
        <v>559</v>
      </c>
    </row>
    <row r="14" spans="1:29" ht="12.75" customHeight="1">
      <c r="G14" s="490" t="s">
        <v>356</v>
      </c>
      <c r="H14" s="490"/>
      <c r="I14" s="490"/>
      <c r="J14" s="490"/>
      <c r="K14" s="490"/>
      <c r="L14" s="490"/>
      <c r="N14" s="490" t="s">
        <v>357</v>
      </c>
      <c r="O14" s="490"/>
      <c r="P14" s="490"/>
      <c r="Q14" s="490"/>
      <c r="R14" s="490"/>
      <c r="S14" s="490"/>
      <c r="W14" s="490" t="s">
        <v>327</v>
      </c>
      <c r="X14" s="490"/>
      <c r="Y14" s="490"/>
      <c r="Z14" s="490"/>
      <c r="AA14" s="490"/>
      <c r="AB14" s="490"/>
      <c r="AC14" s="490"/>
    </row>
    <row r="16" spans="1:29" ht="38.700000000000003">
      <c r="A16"/>
      <c r="E16" s="170"/>
      <c r="F16" s="170"/>
      <c r="G16" s="493" t="s">
        <v>321</v>
      </c>
      <c r="H16" s="495"/>
      <c r="I16" s="493" t="s">
        <v>322</v>
      </c>
      <c r="J16" s="495"/>
      <c r="K16" s="493" t="s">
        <v>323</v>
      </c>
      <c r="L16" s="495"/>
      <c r="N16" s="281" t="s">
        <v>182</v>
      </c>
      <c r="O16" s="281" t="s">
        <v>183</v>
      </c>
      <c r="P16" s="281" t="s">
        <v>184</v>
      </c>
      <c r="Q16" s="281" t="s">
        <v>185</v>
      </c>
      <c r="R16" s="281" t="s">
        <v>186</v>
      </c>
      <c r="S16" s="281" t="s">
        <v>353</v>
      </c>
      <c r="U16" s="74" t="s">
        <v>363</v>
      </c>
      <c r="W16" s="172" t="s">
        <v>187</v>
      </c>
      <c r="X16" s="30" t="s">
        <v>359</v>
      </c>
      <c r="Y16" s="30" t="s">
        <v>364</v>
      </c>
      <c r="Z16" s="264" t="s">
        <v>363</v>
      </c>
      <c r="AA16" s="30" t="s">
        <v>324</v>
      </c>
      <c r="AB16" s="178" t="s">
        <v>365</v>
      </c>
      <c r="AC16" s="178" t="s">
        <v>366</v>
      </c>
    </row>
    <row r="17" spans="1:29" ht="12.75" customHeight="1">
      <c r="D17" s="73" t="s">
        <v>187</v>
      </c>
      <c r="E17" s="170" t="s">
        <v>354</v>
      </c>
      <c r="G17" s="254" t="s">
        <v>325</v>
      </c>
      <c r="H17" s="254" t="s">
        <v>164</v>
      </c>
      <c r="I17" s="254" t="s">
        <v>326</v>
      </c>
      <c r="J17" s="254" t="s">
        <v>164</v>
      </c>
      <c r="K17" s="254" t="s">
        <v>152</v>
      </c>
      <c r="L17" s="254" t="s">
        <v>164</v>
      </c>
      <c r="N17" s="272">
        <v>0.17568194337308013</v>
      </c>
      <c r="O17" s="272">
        <v>0.28190784737374991</v>
      </c>
      <c r="P17" s="272">
        <v>0.19226215221687115</v>
      </c>
      <c r="Q17" s="272">
        <v>0.17520182322560329</v>
      </c>
      <c r="R17" s="272">
        <v>7.4946233810695539E-2</v>
      </c>
      <c r="S17" s="272">
        <v>0.1</v>
      </c>
    </row>
    <row r="18" spans="1:29" ht="12.75" customHeight="1">
      <c r="D18" s="15" t="s">
        <v>490</v>
      </c>
      <c r="E18" s="14" t="s">
        <v>403</v>
      </c>
      <c r="F18" s="15"/>
      <c r="G18" s="151">
        <v>630990.3661654637</v>
      </c>
      <c r="H18" s="146">
        <v>0.57222111289082744</v>
      </c>
      <c r="I18" s="40">
        <v>71706</v>
      </c>
      <c r="J18" s="146">
        <v>0.86013482714775813</v>
      </c>
      <c r="K18" s="151">
        <v>203542.48706792702</v>
      </c>
      <c r="L18" s="146">
        <v>0.51596705391152564</v>
      </c>
      <c r="N18" s="146">
        <v>9.0646094747659625E-2</v>
      </c>
      <c r="O18" s="146">
        <v>0.14545516148397375</v>
      </c>
      <c r="P18" s="146">
        <v>9.920093625802831E-2</v>
      </c>
      <c r="Q18" s="146">
        <v>9.079904274186705E-2</v>
      </c>
      <c r="R18" s="146">
        <v>5.8162456347861796E-2</v>
      </c>
      <c r="S18" s="146">
        <v>5.1596705391152568E-2</v>
      </c>
      <c r="U18" s="151">
        <v>80522.461592071573</v>
      </c>
      <c r="W18" s="15" t="s">
        <v>490</v>
      </c>
      <c r="X18" s="146">
        <v>0.53586039697054311</v>
      </c>
      <c r="Y18" s="151">
        <v>70114.652166696207</v>
      </c>
      <c r="Z18" s="151">
        <v>80522.461592071573</v>
      </c>
      <c r="AA18" s="146">
        <v>-0.12925349299555122</v>
      </c>
      <c r="AB18" s="151">
        <v>63761.041882165497</v>
      </c>
      <c r="AC18" s="146">
        <v>0.7918416876669796</v>
      </c>
    </row>
    <row r="19" spans="1:29" ht="12.75" customHeight="1">
      <c r="A19"/>
      <c r="D19" s="15" t="s">
        <v>498</v>
      </c>
      <c r="E19" s="14" t="s">
        <v>403</v>
      </c>
      <c r="F19" s="15"/>
      <c r="G19" s="151">
        <v>160880.68850972157</v>
      </c>
      <c r="H19" s="146">
        <v>0.14589656444538307</v>
      </c>
      <c r="I19" s="40">
        <v>10346</v>
      </c>
      <c r="J19" s="146">
        <v>0.1241033514862174</v>
      </c>
      <c r="K19" s="151">
        <v>65603.570732087202</v>
      </c>
      <c r="L19" s="146">
        <v>0.16630081318312234</v>
      </c>
      <c r="N19" s="146">
        <v>2.9216050044534477E-2</v>
      </c>
      <c r="O19" s="146">
        <v>4.6881504260958148E-2</v>
      </c>
      <c r="P19" s="146">
        <v>3.1973352258002921E-2</v>
      </c>
      <c r="Q19" s="146">
        <v>2.9265346556043487E-2</v>
      </c>
      <c r="R19" s="146">
        <v>1.678377746283374E-2</v>
      </c>
      <c r="S19" s="146">
        <v>1.6630081318312236E-2</v>
      </c>
      <c r="U19" s="151">
        <v>21917.70839234455</v>
      </c>
      <c r="W19" s="15" t="s">
        <v>498</v>
      </c>
      <c r="X19" s="146">
        <v>0.17075011190068501</v>
      </c>
      <c r="Y19" s="151">
        <v>22341.797921668585</v>
      </c>
      <c r="Z19" s="151">
        <v>21917.70839234455</v>
      </c>
      <c r="AA19" s="146">
        <v>1.934917290313809E-2</v>
      </c>
      <c r="AB19" s="151">
        <v>16820.075983691389</v>
      </c>
      <c r="AC19" s="146">
        <v>0.76741946204404887</v>
      </c>
    </row>
    <row r="20" spans="1:29" ht="12.75" customHeight="1">
      <c r="D20" s="15" t="s">
        <v>154</v>
      </c>
      <c r="E20" s="14" t="s">
        <v>403</v>
      </c>
      <c r="F20" s="15"/>
      <c r="G20" s="151">
        <v>3471.0251406983448</v>
      </c>
      <c r="H20" s="146">
        <v>3.1477404020485646E-3</v>
      </c>
      <c r="I20" s="40">
        <v>0</v>
      </c>
      <c r="J20" s="146">
        <v>0</v>
      </c>
      <c r="K20" s="151">
        <v>59.435361998259332</v>
      </c>
      <c r="L20" s="146">
        <v>1.5066480256857972E-4</v>
      </c>
      <c r="N20" s="146">
        <v>2.646908531316952E-5</v>
      </c>
      <c r="O20" s="146">
        <v>4.2473590167099331E-5</v>
      </c>
      <c r="P20" s="146">
        <v>2.8967139205165115E-5</v>
      </c>
      <c r="Q20" s="146">
        <v>2.6513746845675962E-5</v>
      </c>
      <c r="R20" s="146">
        <v>0</v>
      </c>
      <c r="S20" s="146">
        <v>1.5066480256857972E-5</v>
      </c>
      <c r="U20" s="151">
        <v>928.60474430110878</v>
      </c>
      <c r="W20" s="15" t="s">
        <v>154</v>
      </c>
      <c r="X20" s="146">
        <v>1.3949004178796792E-4</v>
      </c>
      <c r="Y20" s="151">
        <v>18.251574133811054</v>
      </c>
      <c r="Z20" s="151">
        <v>928.60474430110878</v>
      </c>
      <c r="AA20" s="146">
        <v>-0.98034516381073666</v>
      </c>
      <c r="AB20" s="151">
        <v>928.60474430110878</v>
      </c>
      <c r="AC20" s="146">
        <v>1</v>
      </c>
    </row>
    <row r="21" spans="1:29" ht="12.75" customHeight="1">
      <c r="D21" s="15" t="s">
        <v>155</v>
      </c>
      <c r="E21" s="14" t="s">
        <v>403</v>
      </c>
      <c r="F21" s="15"/>
      <c r="G21" s="151">
        <v>181.803495</v>
      </c>
      <c r="H21" s="146">
        <v>1.6487066017908405E-4</v>
      </c>
      <c r="I21" s="40">
        <v>0</v>
      </c>
      <c r="J21" s="146">
        <v>0</v>
      </c>
      <c r="K21" s="151">
        <v>20.753823630136985</v>
      </c>
      <c r="L21" s="146">
        <v>5.2609602005440619E-5</v>
      </c>
      <c r="N21" s="146">
        <v>9.2425571204001016E-6</v>
      </c>
      <c r="O21" s="146">
        <v>1.4831059652543482E-5</v>
      </c>
      <c r="P21" s="146">
        <v>1.0114835308839033E-5</v>
      </c>
      <c r="Q21" s="146">
        <v>9.258152172529462E-6</v>
      </c>
      <c r="R21" s="146">
        <v>0</v>
      </c>
      <c r="S21" s="146">
        <v>5.2609602005440625E-6</v>
      </c>
      <c r="U21" s="151">
        <v>111.62523700945781</v>
      </c>
      <c r="W21" s="15" t="s">
        <v>155</v>
      </c>
      <c r="X21" s="146">
        <v>4.870756445485614E-5</v>
      </c>
      <c r="Y21" s="151">
        <v>6.3731411370318281</v>
      </c>
      <c r="Z21" s="151">
        <v>111.62523700945781</v>
      </c>
      <c r="AA21" s="146">
        <v>-0.94290591171159754</v>
      </c>
      <c r="AB21" s="151">
        <v>111.62523700945781</v>
      </c>
      <c r="AC21" s="146">
        <v>1</v>
      </c>
    </row>
    <row r="22" spans="1:29" ht="12.75" customHeight="1">
      <c r="D22" s="15" t="s">
        <v>156</v>
      </c>
      <c r="E22" s="14" t="s">
        <v>403</v>
      </c>
      <c r="F22" s="15"/>
      <c r="G22" s="151">
        <v>302910.92942388204</v>
      </c>
      <c r="H22" s="146">
        <v>0.27469837645076828</v>
      </c>
      <c r="I22" s="40">
        <v>1314</v>
      </c>
      <c r="J22" s="146">
        <v>1.5761821366024518E-2</v>
      </c>
      <c r="K22" s="151">
        <v>123520.34770649998</v>
      </c>
      <c r="L22" s="146">
        <v>0.31311610083147418</v>
      </c>
      <c r="N22" s="146">
        <v>5.5008845095474691E-2</v>
      </c>
      <c r="O22" s="146">
        <v>8.8269885963462913E-2</v>
      </c>
      <c r="P22" s="146">
        <v>6.0200375439614061E-2</v>
      </c>
      <c r="Q22" s="146">
        <v>5.5101662028674531E-2</v>
      </c>
      <c r="R22" s="146">
        <v>0</v>
      </c>
      <c r="S22" s="146">
        <v>3.1311610083147416E-2</v>
      </c>
      <c r="U22" s="151">
        <v>27216.467167397917</v>
      </c>
      <c r="W22" s="15" t="s">
        <v>156</v>
      </c>
      <c r="X22" s="146">
        <v>0.28989237861037365</v>
      </c>
      <c r="Y22" s="151">
        <v>37930.967481367872</v>
      </c>
      <c r="Z22" s="151">
        <v>27216.467167397917</v>
      </c>
      <c r="AA22" s="146">
        <v>0.39367711643356307</v>
      </c>
      <c r="AB22" s="151">
        <v>13522.080224076703</v>
      </c>
      <c r="AC22" s="146">
        <v>0.49683451349169017</v>
      </c>
    </row>
    <row r="23" spans="1:29" ht="12.75" customHeight="1">
      <c r="D23" s="15" t="s">
        <v>314</v>
      </c>
      <c r="E23" s="14" t="s">
        <v>314</v>
      </c>
      <c r="F23" s="15"/>
      <c r="G23" s="151">
        <v>0</v>
      </c>
      <c r="H23" s="146">
        <v>0</v>
      </c>
      <c r="I23" s="40">
        <v>0</v>
      </c>
      <c r="J23" s="146">
        <v>0</v>
      </c>
      <c r="K23" s="151">
        <v>0</v>
      </c>
      <c r="L23" s="146">
        <v>0</v>
      </c>
      <c r="N23" s="146">
        <v>0</v>
      </c>
      <c r="O23" s="146">
        <v>0</v>
      </c>
      <c r="P23" s="146">
        <v>0</v>
      </c>
      <c r="Q23" s="146">
        <v>0</v>
      </c>
      <c r="R23" s="146">
        <v>0</v>
      </c>
      <c r="S23" s="146">
        <v>0</v>
      </c>
      <c r="U23" s="151">
        <v>0</v>
      </c>
      <c r="W23" s="15" t="s">
        <v>314</v>
      </c>
      <c r="X23" s="146">
        <v>0</v>
      </c>
      <c r="Y23" s="151">
        <v>0</v>
      </c>
      <c r="Z23" s="151">
        <v>0</v>
      </c>
      <c r="AA23" s="146" t="e">
        <v>#DIV/0!</v>
      </c>
      <c r="AB23" s="151">
        <v>0</v>
      </c>
      <c r="AC23" s="146" t="e">
        <v>#DIV/0!</v>
      </c>
    </row>
    <row r="24" spans="1:29" ht="12.75" customHeight="1">
      <c r="D24" s="15" t="s">
        <v>181</v>
      </c>
      <c r="E24" s="14" t="s">
        <v>181</v>
      </c>
      <c r="F24" s="15"/>
      <c r="G24" s="151">
        <v>4268.9357825472134</v>
      </c>
      <c r="H24" s="146">
        <v>3.8713351507938497E-3</v>
      </c>
      <c r="I24" s="40">
        <v>0</v>
      </c>
      <c r="J24" s="146">
        <v>0</v>
      </c>
      <c r="K24" s="151">
        <v>1740.7771756530678</v>
      </c>
      <c r="L24" s="146">
        <v>4.4127576693036791E-3</v>
      </c>
      <c r="N24" s="146">
        <v>7.7524184297773403E-4</v>
      </c>
      <c r="O24" s="146">
        <v>1.2439910155354059E-3</v>
      </c>
      <c r="P24" s="146">
        <v>8.4840628671182952E-4</v>
      </c>
      <c r="Q24" s="146">
        <v>0</v>
      </c>
      <c r="R24" s="146">
        <v>0</v>
      </c>
      <c r="S24" s="146">
        <v>4.4127576693036793E-4</v>
      </c>
      <c r="U24" s="151">
        <v>148.13011445234784</v>
      </c>
      <c r="W24" s="15" t="s">
        <v>181</v>
      </c>
      <c r="X24" s="146">
        <v>3.3089149121553374E-3</v>
      </c>
      <c r="Y24" s="151">
        <v>432.95496257343143</v>
      </c>
      <c r="Z24" s="151">
        <v>148.13011445234784</v>
      </c>
      <c r="AA24" s="146">
        <v>1.9228017825687242</v>
      </c>
      <c r="AB24" s="151">
        <v>0.85858644421663832</v>
      </c>
      <c r="AC24" s="146">
        <v>5.7961640507125786E-3</v>
      </c>
    </row>
    <row r="25" spans="1:29" ht="12.75" customHeight="1">
      <c r="D25" s="110" t="s">
        <v>73</v>
      </c>
      <c r="E25" s="110"/>
      <c r="F25" s="110"/>
      <c r="G25" s="116">
        <v>1102703.7485173126</v>
      </c>
      <c r="H25" s="278">
        <v>1.0000000000000002</v>
      </c>
      <c r="I25" s="116">
        <v>83366</v>
      </c>
      <c r="J25" s="278">
        <v>1</v>
      </c>
      <c r="K25" s="116">
        <v>394487.37186779571</v>
      </c>
      <c r="L25" s="278">
        <v>0.99999999999999989</v>
      </c>
      <c r="N25" s="278">
        <v>0.1756819433730801</v>
      </c>
      <c r="O25" s="278">
        <v>0.28190784737374985</v>
      </c>
      <c r="P25" s="278">
        <v>0.19226215221687112</v>
      </c>
      <c r="Q25" s="278">
        <v>0.17520182322560326</v>
      </c>
      <c r="R25" s="278">
        <v>7.4946233810695539E-2</v>
      </c>
      <c r="S25" s="278">
        <v>0.1</v>
      </c>
      <c r="U25" s="116">
        <v>130844.99724757695</v>
      </c>
      <c r="W25" s="47" t="s">
        <v>73</v>
      </c>
      <c r="X25" s="278">
        <v>0.99999999999999989</v>
      </c>
      <c r="Y25" s="116">
        <v>130844.99724757696</v>
      </c>
      <c r="Z25" s="116">
        <v>130844.99724757695</v>
      </c>
      <c r="AA25" s="278">
        <v>0</v>
      </c>
      <c r="AB25" s="116">
        <v>95144.286657688368</v>
      </c>
      <c r="AC25" s="278" t="s">
        <v>251</v>
      </c>
    </row>
    <row r="27" spans="1:29" ht="12.75" customHeight="1">
      <c r="D27" s="170" t="s">
        <v>355</v>
      </c>
    </row>
    <row r="28" spans="1:29" ht="12.75" customHeight="1">
      <c r="D28" s="14" t="s">
        <v>403</v>
      </c>
      <c r="G28" s="151">
        <v>1098434.8127347655</v>
      </c>
      <c r="H28" s="146">
        <v>0.99612866484920626</v>
      </c>
      <c r="I28" s="40">
        <v>83366</v>
      </c>
      <c r="J28" s="146">
        <v>1</v>
      </c>
      <c r="K28" s="151">
        <v>392746.59469214262</v>
      </c>
      <c r="L28" s="146">
        <v>0.99558724233069629</v>
      </c>
      <c r="N28" s="146">
        <v>0.17490670153010238</v>
      </c>
      <c r="O28" s="146">
        <v>0.28066385635821445</v>
      </c>
      <c r="P28" s="146">
        <v>0.19141374593015931</v>
      </c>
      <c r="Q28" s="146">
        <v>0.17520182322560326</v>
      </c>
      <c r="R28" s="146">
        <v>7.4946233810695539E-2</v>
      </c>
      <c r="S28" s="146">
        <v>9.9558724233069634E-2</v>
      </c>
      <c r="U28" s="151">
        <v>130696.8671331246</v>
      </c>
      <c r="W28" s="15" t="s">
        <v>403</v>
      </c>
      <c r="X28" s="146">
        <v>0.99669108508784454</v>
      </c>
      <c r="Y28" s="151">
        <v>130412.04228500352</v>
      </c>
      <c r="Z28" s="151">
        <v>130696.8671331246</v>
      </c>
      <c r="AA28" s="146">
        <v>-2.1792783130062388E-3</v>
      </c>
      <c r="AB28" s="151" t="s">
        <v>251</v>
      </c>
      <c r="AC28" s="146" t="s">
        <v>251</v>
      </c>
    </row>
    <row r="29" spans="1:29" ht="12.75" customHeight="1">
      <c r="D29" s="14" t="s">
        <v>314</v>
      </c>
      <c r="G29" s="151">
        <v>0</v>
      </c>
      <c r="H29" s="146">
        <v>0</v>
      </c>
      <c r="I29" s="40">
        <v>0</v>
      </c>
      <c r="J29" s="146">
        <v>0</v>
      </c>
      <c r="K29" s="151">
        <v>0</v>
      </c>
      <c r="L29" s="146">
        <v>0</v>
      </c>
      <c r="N29" s="146">
        <v>0</v>
      </c>
      <c r="O29" s="146">
        <v>0</v>
      </c>
      <c r="P29" s="146">
        <v>0</v>
      </c>
      <c r="Q29" s="146">
        <v>0</v>
      </c>
      <c r="R29" s="146">
        <v>0</v>
      </c>
      <c r="S29" s="146">
        <v>0</v>
      </c>
      <c r="U29" s="151">
        <v>0</v>
      </c>
      <c r="W29" s="15" t="s">
        <v>314</v>
      </c>
      <c r="X29" s="146">
        <v>0</v>
      </c>
      <c r="Y29" s="151">
        <v>0</v>
      </c>
      <c r="Z29" s="151">
        <v>0</v>
      </c>
      <c r="AA29" s="146" t="e">
        <v>#DIV/0!</v>
      </c>
      <c r="AB29" s="151" t="s">
        <v>251</v>
      </c>
      <c r="AC29" s="146" t="s">
        <v>251</v>
      </c>
    </row>
    <row r="30" spans="1:29" ht="12.75" customHeight="1">
      <c r="D30" s="14" t="s">
        <v>181</v>
      </c>
      <c r="G30" s="151">
        <v>4268.9357825472134</v>
      </c>
      <c r="H30" s="146">
        <v>3.8713351507938497E-3</v>
      </c>
      <c r="I30" s="40">
        <v>0</v>
      </c>
      <c r="J30" s="146">
        <v>0</v>
      </c>
      <c r="K30" s="151">
        <v>1740.7771756530678</v>
      </c>
      <c r="L30" s="146">
        <v>4.4127576693036791E-3</v>
      </c>
      <c r="N30" s="146">
        <v>7.7524184297773403E-4</v>
      </c>
      <c r="O30" s="146">
        <v>1.2439910155354059E-3</v>
      </c>
      <c r="P30" s="146">
        <v>8.4840628671182952E-4</v>
      </c>
      <c r="Q30" s="146">
        <v>0</v>
      </c>
      <c r="R30" s="146">
        <v>0</v>
      </c>
      <c r="S30" s="146">
        <v>4.4127576693036793E-4</v>
      </c>
      <c r="U30" s="151">
        <v>148.13011445234784</v>
      </c>
      <c r="W30" s="15" t="s">
        <v>181</v>
      </c>
      <c r="X30" s="146">
        <v>3.3089149121553374E-3</v>
      </c>
      <c r="Y30" s="151">
        <v>432.95496257343143</v>
      </c>
      <c r="Z30" s="151">
        <v>148.13011445234784</v>
      </c>
      <c r="AA30" s="146">
        <v>1.9228017825687242</v>
      </c>
      <c r="AB30" s="151" t="s">
        <v>251</v>
      </c>
      <c r="AC30" s="146" t="s">
        <v>251</v>
      </c>
    </row>
    <row r="31" spans="1:29" ht="12.75" customHeight="1">
      <c r="D31" s="110" t="s">
        <v>73</v>
      </c>
      <c r="E31" s="110"/>
      <c r="F31" s="110"/>
      <c r="G31" s="116">
        <v>1102703.7485173126</v>
      </c>
      <c r="H31" s="278">
        <v>1</v>
      </c>
      <c r="I31" s="116">
        <v>83366</v>
      </c>
      <c r="J31" s="278">
        <v>1</v>
      </c>
      <c r="K31" s="116">
        <v>394487.37186779571</v>
      </c>
      <c r="L31" s="278">
        <v>1</v>
      </c>
      <c r="N31" s="278">
        <v>0.1756819433730801</v>
      </c>
      <c r="O31" s="278">
        <v>0.28190784737374985</v>
      </c>
      <c r="P31" s="278">
        <v>0.19226215221687112</v>
      </c>
      <c r="Q31" s="278">
        <v>0.17520182322560326</v>
      </c>
      <c r="R31" s="278">
        <v>7.4946233810695539E-2</v>
      </c>
      <c r="S31" s="278">
        <v>0.1</v>
      </c>
      <c r="U31" s="116">
        <v>130844.99724757695</v>
      </c>
      <c r="W31" s="47" t="s">
        <v>73</v>
      </c>
      <c r="X31" s="278">
        <v>0.99999999999999989</v>
      </c>
      <c r="Y31" s="116">
        <v>130844.99724757696</v>
      </c>
      <c r="Z31" s="116">
        <v>130844.99724757695</v>
      </c>
      <c r="AA31" s="278">
        <v>0</v>
      </c>
      <c r="AB31" s="116" t="s">
        <v>251</v>
      </c>
      <c r="AC31" s="278" t="s">
        <v>251</v>
      </c>
    </row>
    <row r="33" spans="3:14" ht="12.75" customHeight="1">
      <c r="D33" s="14" t="s">
        <v>358</v>
      </c>
      <c r="G33" s="260" t="s">
        <v>27</v>
      </c>
    </row>
    <row r="34" spans="3:14" ht="12.75" customHeight="1">
      <c r="D34" s="14" t="s">
        <v>362</v>
      </c>
      <c r="N34" s="260" t="s">
        <v>27</v>
      </c>
    </row>
    <row r="36" spans="3:14" ht="12.75" customHeight="1">
      <c r="C36" s="170" t="s">
        <v>360</v>
      </c>
    </row>
    <row r="37" spans="3:14" ht="12.75" customHeight="1">
      <c r="D37" s="15" t="s">
        <v>490</v>
      </c>
      <c r="E37" s="284">
        <v>1</v>
      </c>
    </row>
    <row r="38" spans="3:14" ht="12.75" customHeight="1">
      <c r="D38" s="15" t="s">
        <v>498</v>
      </c>
      <c r="E38" s="284">
        <v>2</v>
      </c>
    </row>
    <row r="39" spans="3:14" ht="12.75" customHeight="1">
      <c r="D39" s="15" t="s">
        <v>154</v>
      </c>
      <c r="E39" s="284">
        <v>0</v>
      </c>
    </row>
    <row r="40" spans="3:14" ht="12.75" customHeight="1">
      <c r="D40" s="15" t="s">
        <v>155</v>
      </c>
      <c r="E40" s="284">
        <v>0</v>
      </c>
    </row>
    <row r="41" spans="3:14" ht="12.75" customHeight="1">
      <c r="D41" s="15" t="s">
        <v>156</v>
      </c>
      <c r="E41" s="284">
        <v>0</v>
      </c>
    </row>
    <row r="42" spans="3:14" ht="12.75" customHeight="1">
      <c r="D42" s="15" t="s">
        <v>314</v>
      </c>
      <c r="E42" s="284">
        <v>3</v>
      </c>
    </row>
    <row r="43" spans="3:14" ht="12.75" customHeight="1">
      <c r="D43" s="15" t="s">
        <v>181</v>
      </c>
      <c r="E43" s="284">
        <v>0</v>
      </c>
    </row>
    <row r="45" spans="3:14" ht="25.8">
      <c r="C45" s="170" t="s">
        <v>359</v>
      </c>
      <c r="G45" s="281" t="s">
        <v>182</v>
      </c>
      <c r="H45" s="281" t="s">
        <v>183</v>
      </c>
      <c r="I45" s="281" t="s">
        <v>184</v>
      </c>
      <c r="J45" s="281" t="s">
        <v>185</v>
      </c>
      <c r="K45" s="281" t="s">
        <v>186</v>
      </c>
      <c r="L45" s="281" t="s">
        <v>353</v>
      </c>
    </row>
    <row r="46" spans="3:14" ht="12.75" customHeight="1">
      <c r="D46" s="15" t="s">
        <v>490</v>
      </c>
      <c r="G46" s="118">
        <v>0.51596705391152564</v>
      </c>
      <c r="H46" s="118">
        <v>0.51596705391152564</v>
      </c>
      <c r="I46" s="118">
        <v>0.51596705391152564</v>
      </c>
      <c r="J46" s="118">
        <v>0.51825398315031945</v>
      </c>
      <c r="K46" s="118">
        <v>0.77605575878265765</v>
      </c>
      <c r="L46" s="118">
        <v>0.51596705391152564</v>
      </c>
    </row>
    <row r="47" spans="3:14" ht="12.75" customHeight="1">
      <c r="D47" s="15" t="s">
        <v>498</v>
      </c>
      <c r="G47" s="118">
        <v>0.16630081318312234</v>
      </c>
      <c r="H47" s="118">
        <v>0.16630081318312234</v>
      </c>
      <c r="I47" s="118">
        <v>0.16630081318312234</v>
      </c>
      <c r="J47" s="118">
        <v>0.16703791100597842</v>
      </c>
      <c r="K47" s="118">
        <v>0.22394424121734235</v>
      </c>
      <c r="L47" s="118">
        <v>0.16630081318312234</v>
      </c>
    </row>
    <row r="48" spans="3:14" ht="12.75" customHeight="1">
      <c r="D48" s="15" t="s">
        <v>154</v>
      </c>
      <c r="G48" s="118">
        <v>1.5066480256857972E-4</v>
      </c>
      <c r="H48" s="118">
        <v>1.5066480256857972E-4</v>
      </c>
      <c r="I48" s="118">
        <v>1.5066480256857972E-4</v>
      </c>
      <c r="J48" s="118">
        <v>1.5133259664504078E-4</v>
      </c>
      <c r="K48" s="118">
        <v>0</v>
      </c>
      <c r="L48" s="118">
        <v>1.5066480256857972E-4</v>
      </c>
    </row>
    <row r="49" spans="4:12" ht="12.75" customHeight="1">
      <c r="D49" s="15" t="s">
        <v>155</v>
      </c>
      <c r="G49" s="118">
        <v>5.2609602005440619E-5</v>
      </c>
      <c r="H49" s="118">
        <v>5.2609602005440619E-5</v>
      </c>
      <c r="I49" s="118">
        <v>5.2609602005440619E-5</v>
      </c>
      <c r="J49" s="118">
        <v>5.2842784407602633E-5</v>
      </c>
      <c r="K49" s="118">
        <v>0</v>
      </c>
      <c r="L49" s="118">
        <v>5.2609602005440619E-5</v>
      </c>
    </row>
    <row r="50" spans="4:12" ht="12.75" customHeight="1">
      <c r="D50" s="15" t="s">
        <v>156</v>
      </c>
      <c r="G50" s="118">
        <v>0.31311610083147418</v>
      </c>
      <c r="H50" s="118">
        <v>0.31311610083147418</v>
      </c>
      <c r="I50" s="118">
        <v>0.31311610083147418</v>
      </c>
      <c r="J50" s="118">
        <v>0.31450393046264941</v>
      </c>
      <c r="K50" s="118">
        <v>0</v>
      </c>
      <c r="L50" s="118">
        <v>0.31311610083147418</v>
      </c>
    </row>
    <row r="51" spans="4:12" ht="12.75" customHeight="1">
      <c r="D51" s="15" t="s">
        <v>314</v>
      </c>
      <c r="G51" s="118">
        <v>0</v>
      </c>
      <c r="H51" s="118">
        <v>0</v>
      </c>
      <c r="I51" s="118">
        <v>0</v>
      </c>
      <c r="J51" s="118">
        <v>0</v>
      </c>
      <c r="K51" s="118">
        <v>0</v>
      </c>
      <c r="L51" s="118">
        <v>0</v>
      </c>
    </row>
    <row r="52" spans="4:12" ht="12.75" customHeight="1">
      <c r="D52" s="15" t="s">
        <v>181</v>
      </c>
      <c r="G52" s="118">
        <v>4.4127576693036791E-3</v>
      </c>
      <c r="H52" s="118">
        <v>4.4127576693036791E-3</v>
      </c>
      <c r="I52" s="118">
        <v>4.4127576693036791E-3</v>
      </c>
      <c r="J52" s="118">
        <v>0</v>
      </c>
      <c r="K52" s="118">
        <v>0</v>
      </c>
      <c r="L52" s="118">
        <v>4.4127576693036791E-3</v>
      </c>
    </row>
    <row r="53" spans="4:12" ht="12.75" customHeight="1">
      <c r="D53" s="262" t="s">
        <v>73</v>
      </c>
      <c r="E53" s="49"/>
      <c r="F53" s="49"/>
      <c r="G53" s="280">
        <v>0.99999999999999989</v>
      </c>
      <c r="H53" s="280">
        <v>0.99999999999999989</v>
      </c>
      <c r="I53" s="280">
        <v>0.99999999999999989</v>
      </c>
      <c r="J53" s="280">
        <v>1</v>
      </c>
      <c r="K53" s="280">
        <v>1</v>
      </c>
      <c r="L53" s="280">
        <v>0.99999999999999989</v>
      </c>
    </row>
    <row r="55" spans="4:12" ht="12.75" customHeight="1">
      <c r="D55" s="14" t="s">
        <v>361</v>
      </c>
      <c r="G55" s="260" t="s">
        <v>27</v>
      </c>
    </row>
  </sheetData>
  <mergeCells count="7">
    <mergeCell ref="W14:AC14"/>
    <mergeCell ref="D10:X10"/>
    <mergeCell ref="G16:H16"/>
    <mergeCell ref="I16:J16"/>
    <mergeCell ref="K16:L16"/>
    <mergeCell ref="G14:L14"/>
    <mergeCell ref="N14:S14"/>
  </mergeCells>
  <conditionalFormatting sqref="B2">
    <cfRule type="cellIs" dxfId="9" priority="4" operator="notEqual">
      <formula>"No Errors Found"</formula>
    </cfRule>
  </conditionalFormatting>
  <conditionalFormatting sqref="G33">
    <cfRule type="expression" dxfId="8" priority="3">
      <formula>G33&lt;&gt;Ok</formula>
    </cfRule>
  </conditionalFormatting>
  <conditionalFormatting sqref="G55">
    <cfRule type="expression" dxfId="7" priority="2">
      <formula>G55&lt;&gt;Ok</formula>
    </cfRule>
  </conditionalFormatting>
  <conditionalFormatting sqref="N34">
    <cfRule type="expression" dxfId="6" priority="1">
      <formula>N34&lt;&gt;Ok</formula>
    </cfRule>
  </conditionalFormatting>
  <hyperlinks>
    <hyperlink ref="B4" location="'ToC'!$A$1" tooltip="Go To Table of Contents" display="='ToC'!B1" xr:uid="{00000000-0004-0000-0A00-000000000000}"/>
  </hyperlinks>
  <pageMargins left="0.7" right="0.7" top="0.75" bottom="0.75" header="0.3" footer="0.3"/>
  <pageSetup paperSize="9" scale="7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B1:H6"/>
  <sheetViews>
    <sheetView showGridLines="0" workbookViewId="0"/>
  </sheetViews>
  <sheetFormatPr defaultColWidth="14.87890625" defaultRowHeight="12.9"/>
  <cols>
    <col min="1" max="1" width="2" customWidth="1"/>
    <col min="2" max="3" width="11.87890625" customWidth="1"/>
    <col min="4" max="4" width="15.29296875" customWidth="1"/>
    <col min="5" max="5" width="13.703125" bestFit="1" customWidth="1"/>
    <col min="6" max="6" width="17.703125" bestFit="1" customWidth="1"/>
    <col min="7" max="8" width="11.87890625" customWidth="1"/>
    <col min="9" max="9" width="12.703125" customWidth="1"/>
    <col min="10" max="10" width="16.703125" bestFit="1" customWidth="1"/>
    <col min="11" max="11" width="10.5859375" bestFit="1" customWidth="1"/>
    <col min="12" max="12" width="10.41015625" bestFit="1" customWidth="1"/>
    <col min="13" max="14" width="11.5859375" bestFit="1" customWidth="1"/>
    <col min="15" max="15" width="13.703125" bestFit="1" customWidth="1"/>
    <col min="16" max="16" width="17.5859375" bestFit="1" customWidth="1"/>
    <col min="17" max="17" width="13.703125" bestFit="1" customWidth="1"/>
    <col min="18" max="18" width="12.41015625" bestFit="1" customWidth="1"/>
    <col min="19" max="20" width="12.703125" bestFit="1" customWidth="1"/>
    <col min="21" max="21" width="13.29296875" customWidth="1"/>
    <col min="22" max="22" width="11.87890625" customWidth="1"/>
    <col min="23" max="24" width="9.1171875" customWidth="1"/>
    <col min="25" max="25" width="10.41015625" bestFit="1" customWidth="1"/>
    <col min="26" max="26" width="10.29296875" bestFit="1" customWidth="1"/>
    <col min="27" max="50" width="9.29296875" bestFit="1" customWidth="1"/>
    <col min="52" max="53" width="15" bestFit="1" customWidth="1"/>
  </cols>
  <sheetData>
    <row r="1" spans="2:8" s="468" customFormat="1" ht="20.399999999999999">
      <c r="B1" s="433" t="s">
        <v>555</v>
      </c>
      <c r="C1" s="107"/>
      <c r="D1" s="107"/>
      <c r="E1" s="107"/>
      <c r="G1" s="469"/>
      <c r="H1" s="467" t="s">
        <v>552</v>
      </c>
    </row>
    <row r="2" spans="2:8" s="468" customFormat="1" ht="14.1">
      <c r="B2" s="434" t="str">
        <f>Title_Msg</f>
        <v>No Errors Found</v>
      </c>
      <c r="C2" s="107"/>
      <c r="D2" s="107"/>
      <c r="E2" s="107"/>
      <c r="G2" s="469"/>
    </row>
    <row r="3" spans="2:8" s="468" customFormat="1" ht="14.1">
      <c r="B3" s="435" t="str">
        <f>Model_Name</f>
        <v>Power and Water Corporation (PWC) Network Pricing Model</v>
      </c>
      <c r="C3" s="107"/>
      <c r="D3" s="107"/>
      <c r="E3" s="107"/>
      <c r="G3" s="469"/>
    </row>
    <row r="4" spans="2:8" s="470" customFormat="1" ht="14.1">
      <c r="B4" s="472" t="str">
        <f>TOC!$B$1</f>
        <v>Table of Contents</v>
      </c>
      <c r="D4" s="471"/>
      <c r="E4" s="471"/>
      <c r="G4" s="473"/>
    </row>
    <row r="6" spans="2:8" ht="15" customHeight="1"/>
  </sheetData>
  <conditionalFormatting sqref="B2">
    <cfRule type="cellIs" dxfId="5" priority="1" operator="notEqual">
      <formula>"No Errors Found"</formula>
    </cfRule>
  </conditionalFormatting>
  <hyperlinks>
    <hyperlink ref="B4" location="'ToC'!$A$1" tooltip="Go To Table of Contents" display="='ToC'!B1" xr:uid="{00000000-0004-0000-0B00-000000000000}"/>
  </hyperlinks>
  <pageMargins left="0.75" right="0.75" top="1" bottom="1" header="0.5" footer="0.5"/>
  <pageSetup paperSize="9" orientation="portrait" horizontalDpi="4294967292" verticalDpi="4294967292"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B1:H4"/>
  <sheetViews>
    <sheetView showGridLines="0" zoomScaleNormal="100" workbookViewId="0">
      <pane xSplit="5" ySplit="5" topLeftCell="F6" activePane="bottomRight" state="frozen"/>
      <selection activeCell="E4" sqref="E4"/>
      <selection pane="topRight" activeCell="E4" sqref="E4"/>
      <selection pane="bottomLeft" activeCell="E4" sqref="E4"/>
      <selection pane="bottomRight" activeCell="F6" sqref="F6"/>
    </sheetView>
  </sheetViews>
  <sheetFormatPr defaultColWidth="9.1171875" defaultRowHeight="12.75" customHeight="1"/>
  <cols>
    <col min="1" max="1" width="2" bestFit="1" customWidth="1"/>
    <col min="2" max="2" width="2.87890625" customWidth="1"/>
    <col min="3" max="3" width="12" bestFit="1" customWidth="1"/>
    <col min="4" max="4" width="20.703125" customWidth="1"/>
    <col min="5" max="10" width="10.703125" customWidth="1"/>
    <col min="11" max="11" width="5.703125" customWidth="1"/>
    <col min="12" max="16" width="10.703125" customWidth="1"/>
    <col min="17" max="17" width="5.703125" customWidth="1"/>
    <col min="18" max="24" width="10.703125" customWidth="1"/>
    <col min="25" max="25" width="5.703125" customWidth="1"/>
    <col min="26" max="43" width="10.703125" customWidth="1"/>
  </cols>
  <sheetData>
    <row r="1" spans="2:8" s="107" customFormat="1" ht="20.399999999999999">
      <c r="B1" s="433" t="s">
        <v>442</v>
      </c>
      <c r="H1" s="467" t="s">
        <v>552</v>
      </c>
    </row>
    <row r="2" spans="2:8" s="107" customFormat="1" ht="14.65" customHeight="1">
      <c r="B2" s="434" t="str">
        <f>Title_Msg</f>
        <v>No Errors Found</v>
      </c>
    </row>
    <row r="3" spans="2:8" s="107" customFormat="1" ht="12.9">
      <c r="B3" s="435" t="str">
        <f>Model_Name</f>
        <v>Power and Water Corporation (PWC) Network Pricing Model</v>
      </c>
    </row>
    <row r="4" spans="2:8" s="471" customFormat="1" ht="12.9">
      <c r="B4" s="472" t="str">
        <f>TOC!$B$1</f>
        <v>Table of Contents</v>
      </c>
    </row>
  </sheetData>
  <conditionalFormatting sqref="B2">
    <cfRule type="cellIs" dxfId="4" priority="3" operator="notEqual">
      <formula>"No Errors Found"</formula>
    </cfRule>
  </conditionalFormatting>
  <hyperlinks>
    <hyperlink ref="B4" location="'ToC'!$A$1" tooltip="Go To Table of Contents" display="='ToC'!B1" xr:uid="{00000000-0004-0000-0C00-000000000000}"/>
  </hyperlinks>
  <pageMargins left="0.7" right="0.7" top="0.75" bottom="0.75" header="0.3" footer="0.3"/>
  <pageSetup paperSize="8" scale="77"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34998626667073579"/>
    <pageSetUpPr fitToPage="1"/>
  </sheetPr>
  <dimension ref="B1:G51"/>
  <sheetViews>
    <sheetView showGridLines="0" zoomScaleNormal="100" workbookViewId="0">
      <pane xSplit="1" ySplit="2" topLeftCell="B3" activePane="bottomRight" state="frozen"/>
      <selection activeCell="H64" sqref="H64"/>
      <selection pane="topRight" activeCell="H64" sqref="H64"/>
      <selection pane="bottomLeft" activeCell="H64" sqref="H64"/>
      <selection pane="bottomRight" activeCell="B3" sqref="B3"/>
    </sheetView>
  </sheetViews>
  <sheetFormatPr defaultColWidth="9.1171875" defaultRowHeight="12.75" customHeight="1" outlineLevelRow="1"/>
  <cols>
    <col min="1" max="1" width="2.703125" style="13" customWidth="1"/>
    <col min="2" max="2" width="40.87890625" style="13" customWidth="1"/>
    <col min="3" max="6" width="13.87890625" style="13" customWidth="1"/>
    <col min="7" max="8" width="20.703125" style="13" customWidth="1"/>
    <col min="9" max="38" width="10.703125" style="13" customWidth="1"/>
    <col min="39" max="16384" width="9.1171875" style="13"/>
  </cols>
  <sheetData>
    <row r="1" spans="2:7" ht="20.399999999999999">
      <c r="B1" s="8" t="s">
        <v>447</v>
      </c>
    </row>
    <row r="2" spans="2:7" ht="11.25" customHeight="1" thickBot="1"/>
    <row r="3" spans="2:7" ht="17.7">
      <c r="B3" s="420" t="s">
        <v>601</v>
      </c>
      <c r="C3" s="421"/>
      <c r="D3" s="421"/>
      <c r="E3" s="422"/>
      <c r="F3" s="519" t="s">
        <v>370</v>
      </c>
      <c r="G3" s="520"/>
    </row>
    <row r="4" spans="2:7" ht="37.5" customHeight="1">
      <c r="B4" s="524" t="s">
        <v>464</v>
      </c>
      <c r="C4" s="525"/>
      <c r="D4" s="525"/>
      <c r="E4" s="525"/>
      <c r="F4" s="525"/>
      <c r="G4" s="526"/>
    </row>
    <row r="5" spans="2:7" ht="34.5" customHeight="1">
      <c r="B5" s="527" t="s">
        <v>372</v>
      </c>
      <c r="C5" s="528"/>
      <c r="D5" s="528"/>
      <c r="E5" s="528"/>
      <c r="F5" s="528"/>
      <c r="G5" s="529"/>
    </row>
    <row r="6" spans="2:7" ht="25.5" customHeight="1">
      <c r="B6" s="296"/>
      <c r="C6" s="517" t="s">
        <v>462</v>
      </c>
      <c r="D6" s="395" t="s">
        <v>151</v>
      </c>
      <c r="E6" s="396" t="s">
        <v>151</v>
      </c>
      <c r="F6" s="425" t="s">
        <v>373</v>
      </c>
      <c r="G6" s="397" t="s">
        <v>535</v>
      </c>
    </row>
    <row r="7" spans="2:7" ht="14.1">
      <c r="B7" s="296"/>
      <c r="C7" s="518"/>
      <c r="D7" s="304" t="s">
        <v>375</v>
      </c>
      <c r="E7" s="305" t="s">
        <v>376</v>
      </c>
      <c r="F7" s="426" t="s">
        <v>529</v>
      </c>
      <c r="G7" s="306" t="s">
        <v>529</v>
      </c>
    </row>
    <row r="8" spans="2:7" ht="12.9">
      <c r="B8" s="307" t="s">
        <v>377</v>
      </c>
      <c r="C8" s="369">
        <v>1116.3191025212582</v>
      </c>
      <c r="D8" s="308"/>
      <c r="E8" s="309"/>
      <c r="F8" s="423"/>
      <c r="G8" s="311"/>
    </row>
    <row r="9" spans="2:7" ht="12.9">
      <c r="B9" s="370" t="s">
        <v>460</v>
      </c>
      <c r="C9" s="368"/>
      <c r="D9" s="373">
        <v>7.1561833650559903</v>
      </c>
      <c r="E9" s="374">
        <v>0</v>
      </c>
      <c r="F9" s="424"/>
      <c r="G9" s="429"/>
    </row>
    <row r="10" spans="2:7" ht="12.9">
      <c r="B10" s="371" t="s">
        <v>461</v>
      </c>
      <c r="C10" s="380"/>
      <c r="D10" s="314"/>
      <c r="E10" s="314"/>
      <c r="F10" s="427">
        <v>3.2851393876953505</v>
      </c>
      <c r="G10" s="428"/>
    </row>
    <row r="11" spans="2:7" ht="12.9">
      <c r="B11" s="371" t="s">
        <v>539</v>
      </c>
      <c r="C11" s="380"/>
      <c r="D11" s="314"/>
      <c r="E11" s="314"/>
      <c r="F11" s="427"/>
      <c r="G11" s="372">
        <v>4</v>
      </c>
    </row>
    <row r="12" spans="2:7" ht="16.5" customHeight="1">
      <c r="B12" s="521" t="s">
        <v>530</v>
      </c>
      <c r="C12" s="522"/>
      <c r="D12" s="522"/>
      <c r="E12" s="522"/>
      <c r="F12" s="522"/>
      <c r="G12" s="523"/>
    </row>
    <row r="13" spans="2:7" ht="27.75" customHeight="1" thickBot="1">
      <c r="B13" s="530" t="s">
        <v>532</v>
      </c>
      <c r="C13" s="531"/>
      <c r="D13" s="531"/>
      <c r="E13" s="531"/>
      <c r="F13" s="531"/>
      <c r="G13" s="532"/>
    </row>
    <row r="14" spans="2:7" ht="13.2" thickBot="1">
      <c r="B14" s="315"/>
      <c r="C14" s="316"/>
      <c r="D14" s="316"/>
      <c r="E14" s="316"/>
      <c r="F14" s="316"/>
    </row>
    <row r="15" spans="2:7" ht="17.7">
      <c r="B15" s="420" t="s">
        <v>602</v>
      </c>
      <c r="C15" s="421"/>
      <c r="D15" s="421"/>
      <c r="E15" s="422"/>
      <c r="F15" s="519" t="s">
        <v>370</v>
      </c>
      <c r="G15" s="520"/>
    </row>
    <row r="16" spans="2:7" ht="40.5" customHeight="1">
      <c r="B16" s="524" t="s">
        <v>463</v>
      </c>
      <c r="C16" s="525"/>
      <c r="D16" s="525"/>
      <c r="E16" s="525"/>
      <c r="F16" s="525"/>
      <c r="G16" s="526"/>
    </row>
    <row r="17" spans="2:7" ht="32.25" customHeight="1">
      <c r="B17" s="527" t="s">
        <v>381</v>
      </c>
      <c r="C17" s="528"/>
      <c r="D17" s="528"/>
      <c r="E17" s="528"/>
      <c r="F17" s="528"/>
      <c r="G17" s="529"/>
    </row>
    <row r="18" spans="2:7" ht="13.5" customHeight="1">
      <c r="B18" s="296"/>
      <c r="C18" s="517" t="s">
        <v>462</v>
      </c>
      <c r="D18" s="395" t="s">
        <v>151</v>
      </c>
      <c r="E18" s="396" t="s">
        <v>151</v>
      </c>
      <c r="F18" s="425" t="s">
        <v>373</v>
      </c>
      <c r="G18" s="397" t="s">
        <v>535</v>
      </c>
    </row>
    <row r="19" spans="2:7" ht="22.5" customHeight="1">
      <c r="B19" s="296"/>
      <c r="C19" s="518"/>
      <c r="D19" s="304" t="s">
        <v>375</v>
      </c>
      <c r="E19" s="305" t="s">
        <v>376</v>
      </c>
      <c r="F19" s="426" t="s">
        <v>529</v>
      </c>
      <c r="G19" s="306" t="s">
        <v>529</v>
      </c>
    </row>
    <row r="20" spans="2:7" ht="12.9">
      <c r="B20" s="307" t="s">
        <v>377</v>
      </c>
      <c r="C20" s="369">
        <v>1298.0454680479745</v>
      </c>
      <c r="D20" s="308"/>
      <c r="E20" s="309"/>
      <c r="F20" s="423"/>
      <c r="G20" s="311"/>
    </row>
    <row r="21" spans="2:7" ht="12.9">
      <c r="B21" s="370" t="s">
        <v>461</v>
      </c>
      <c r="C21" s="368"/>
      <c r="D21" s="373">
        <v>8.2579999999999991</v>
      </c>
      <c r="E21" s="374">
        <v>0</v>
      </c>
      <c r="F21" s="424"/>
      <c r="G21" s="429"/>
    </row>
    <row r="22" spans="2:7" ht="12.9">
      <c r="B22" s="371" t="s">
        <v>461</v>
      </c>
      <c r="C22" s="380"/>
      <c r="D22" s="314"/>
      <c r="E22" s="314"/>
      <c r="F22" s="427">
        <v>3.2850999999999999</v>
      </c>
      <c r="G22" s="428"/>
    </row>
    <row r="23" spans="2:7" ht="12.9">
      <c r="B23" s="371" t="s">
        <v>539</v>
      </c>
      <c r="C23" s="380"/>
      <c r="D23" s="314"/>
      <c r="E23" s="314"/>
      <c r="F23" s="427"/>
      <c r="G23" s="372">
        <v>4</v>
      </c>
    </row>
    <row r="24" spans="2:7" ht="24" customHeight="1">
      <c r="B24" s="521" t="s">
        <v>530</v>
      </c>
      <c r="C24" s="522"/>
      <c r="D24" s="522"/>
      <c r="E24" s="522"/>
      <c r="F24" s="522"/>
      <c r="G24" s="523"/>
    </row>
    <row r="25" spans="2:7" ht="33" customHeight="1" thickBot="1">
      <c r="B25" s="530" t="s">
        <v>532</v>
      </c>
      <c r="C25" s="531"/>
      <c r="D25" s="531"/>
      <c r="E25" s="531"/>
      <c r="F25" s="531"/>
      <c r="G25" s="532"/>
    </row>
    <row r="26" spans="2:7" ht="13.2" thickBot="1">
      <c r="B26" s="317"/>
      <c r="C26" s="318"/>
      <c r="D26" s="318"/>
      <c r="E26" s="318"/>
      <c r="F26" s="319"/>
    </row>
    <row r="27" spans="2:7" ht="20.100000000000001">
      <c r="B27" s="320" t="s">
        <v>603</v>
      </c>
      <c r="C27" s="321"/>
      <c r="D27" s="321"/>
      <c r="E27" s="519" t="s">
        <v>370</v>
      </c>
      <c r="F27" s="520"/>
    </row>
    <row r="28" spans="2:7" ht="18.75" customHeight="1" thickBot="1">
      <c r="B28" s="511" t="s">
        <v>382</v>
      </c>
      <c r="C28" s="512"/>
      <c r="D28" s="512"/>
      <c r="E28" s="512"/>
      <c r="F28" s="513"/>
    </row>
    <row r="29" spans="2:7" ht="13.2" thickBot="1">
      <c r="B29" s="323" t="s">
        <v>377</v>
      </c>
      <c r="C29" s="293"/>
      <c r="D29" s="324"/>
      <c r="E29" s="293"/>
      <c r="F29" s="384" t="s">
        <v>479</v>
      </c>
    </row>
    <row r="30" spans="2:7" ht="12.9">
      <c r="B30" s="326" t="s">
        <v>494</v>
      </c>
      <c r="C30" s="293"/>
      <c r="D30" s="324"/>
      <c r="E30" s="293"/>
      <c r="F30" s="327">
        <v>64.041769951086621</v>
      </c>
    </row>
    <row r="31" spans="2:7" ht="12.9">
      <c r="B31" s="328" t="s">
        <v>509</v>
      </c>
      <c r="C31" s="329"/>
      <c r="D31" s="330"/>
      <c r="E31" s="329"/>
      <c r="F31" s="331">
        <v>135</v>
      </c>
    </row>
    <row r="32" spans="2:7" ht="12.9">
      <c r="B32" s="328" t="s">
        <v>477</v>
      </c>
      <c r="C32" s="329"/>
      <c r="D32" s="330"/>
      <c r="E32" s="329"/>
      <c r="F32" s="331">
        <v>135</v>
      </c>
    </row>
    <row r="33" spans="2:6" ht="12.9">
      <c r="B33" s="328" t="s">
        <v>476</v>
      </c>
      <c r="C33" s="329"/>
      <c r="D33" s="330"/>
      <c r="E33" s="329"/>
      <c r="F33" s="331">
        <v>650</v>
      </c>
    </row>
    <row r="34" spans="2:6" ht="13.2" thickBot="1">
      <c r="B34" s="328" t="s">
        <v>540</v>
      </c>
      <c r="C34" s="329"/>
      <c r="D34" s="330"/>
      <c r="E34" s="329"/>
      <c r="F34" s="331">
        <v>333.80729068933186</v>
      </c>
    </row>
    <row r="35" spans="2:6" ht="13.2" thickBot="1">
      <c r="B35" s="381" t="s">
        <v>383</v>
      </c>
      <c r="C35" s="382"/>
      <c r="D35" s="383"/>
      <c r="E35" s="382"/>
      <c r="F35" s="384" t="s">
        <v>384</v>
      </c>
    </row>
    <row r="36" spans="2:6" ht="12.9">
      <c r="B36" s="328" t="s">
        <v>495</v>
      </c>
      <c r="C36" s="329"/>
      <c r="D36" s="329"/>
      <c r="E36" s="329"/>
      <c r="F36" s="385">
        <v>10.104915273055934</v>
      </c>
    </row>
    <row r="37" spans="2:6" ht="12.9">
      <c r="B37" s="328" t="s">
        <v>510</v>
      </c>
      <c r="C37" s="329"/>
      <c r="D37" s="329"/>
      <c r="E37" s="329"/>
      <c r="F37" s="385">
        <v>10.455</v>
      </c>
    </row>
    <row r="38" spans="2:6" ht="12.9">
      <c r="B38" s="328" t="s">
        <v>465</v>
      </c>
      <c r="C38" s="329"/>
      <c r="D38" s="329"/>
      <c r="E38" s="329"/>
      <c r="F38" s="385">
        <v>3.07569605206987</v>
      </c>
    </row>
    <row r="39" spans="2:6" ht="13.2" thickBot="1">
      <c r="B39" s="332" t="s">
        <v>541</v>
      </c>
      <c r="C39" s="333"/>
      <c r="D39" s="333"/>
      <c r="E39" s="333"/>
      <c r="F39" s="379">
        <v>3.07569605206987</v>
      </c>
    </row>
    <row r="40" spans="2:6" ht="13.2" thickBot="1">
      <c r="B40" s="386" t="s">
        <v>466</v>
      </c>
      <c r="C40" s="382"/>
      <c r="D40" s="382"/>
      <c r="E40" s="382"/>
      <c r="F40" s="384" t="s">
        <v>385</v>
      </c>
    </row>
    <row r="41" spans="2:6" ht="12.9">
      <c r="B41" s="328" t="s">
        <v>533</v>
      </c>
      <c r="C41" s="329"/>
      <c r="D41" s="329"/>
      <c r="E41" s="329"/>
      <c r="F41" s="385">
        <v>0.267530400000007</v>
      </c>
    </row>
    <row r="42" spans="2:6" ht="13.2" thickBot="1">
      <c r="B42" s="328" t="s">
        <v>534</v>
      </c>
      <c r="C42" s="333"/>
      <c r="D42" s="334"/>
      <c r="E42" s="333"/>
      <c r="F42" s="379">
        <v>0.61398839999999899</v>
      </c>
    </row>
    <row r="43" spans="2:6" ht="13.2" thickBot="1">
      <c r="B43" s="381" t="s">
        <v>468</v>
      </c>
      <c r="C43" s="382"/>
      <c r="D43" s="382"/>
      <c r="E43" s="382"/>
      <c r="F43" s="387" t="s">
        <v>472</v>
      </c>
    </row>
    <row r="44" spans="2:6" ht="12.9">
      <c r="B44" s="328" t="s">
        <v>467</v>
      </c>
      <c r="C44" s="329"/>
      <c r="D44" s="329"/>
      <c r="E44" s="329"/>
      <c r="F44" s="385">
        <v>20</v>
      </c>
    </row>
    <row r="45" spans="2:6" ht="12.9" hidden="1" outlineLevel="1">
      <c r="B45" s="328" t="s">
        <v>469</v>
      </c>
      <c r="C45" s="329"/>
      <c r="D45" s="329"/>
      <c r="E45" s="329"/>
      <c r="F45" s="336">
        <v>0</v>
      </c>
    </row>
    <row r="46" spans="2:6" ht="12.9" hidden="1" outlineLevel="1">
      <c r="B46" s="328" t="s">
        <v>542</v>
      </c>
      <c r="C46" s="329"/>
      <c r="D46" s="329"/>
      <c r="E46" s="329"/>
      <c r="F46" s="335">
        <v>10.270993559671751</v>
      </c>
    </row>
    <row r="47" spans="2:6" ht="13.2" collapsed="1" thickBot="1">
      <c r="B47" s="332" t="s">
        <v>543</v>
      </c>
      <c r="C47" s="333"/>
      <c r="D47" s="334"/>
      <c r="E47" s="333"/>
      <c r="F47" s="379">
        <v>0</v>
      </c>
    </row>
    <row r="48" spans="2:6" ht="13.2" thickBot="1">
      <c r="B48" s="381" t="s">
        <v>388</v>
      </c>
      <c r="C48" s="382"/>
      <c r="D48" s="382"/>
      <c r="E48" s="382"/>
      <c r="F48" s="384" t="s">
        <v>478</v>
      </c>
    </row>
    <row r="49" spans="2:6" ht="12.9">
      <c r="B49" s="328" t="s">
        <v>389</v>
      </c>
      <c r="C49" s="329"/>
      <c r="D49" s="329"/>
      <c r="E49" s="329"/>
      <c r="F49" s="385">
        <v>4</v>
      </c>
    </row>
    <row r="50" spans="2:6" ht="13.2" thickBot="1">
      <c r="B50" s="328" t="s">
        <v>390</v>
      </c>
      <c r="C50" s="329"/>
      <c r="D50" s="329"/>
      <c r="E50" s="329"/>
      <c r="F50" s="379">
        <v>4</v>
      </c>
    </row>
    <row r="51" spans="2:6" ht="33" customHeight="1" thickBot="1">
      <c r="B51" s="514" t="s">
        <v>536</v>
      </c>
      <c r="C51" s="515"/>
      <c r="D51" s="515"/>
      <c r="E51" s="515"/>
      <c r="F51" s="516"/>
    </row>
  </sheetData>
  <mergeCells count="15">
    <mergeCell ref="B28:F28"/>
    <mergeCell ref="B51:F51"/>
    <mergeCell ref="C6:C7"/>
    <mergeCell ref="C18:C19"/>
    <mergeCell ref="F3:G3"/>
    <mergeCell ref="F15:G15"/>
    <mergeCell ref="E27:F27"/>
    <mergeCell ref="B12:G12"/>
    <mergeCell ref="B16:G16"/>
    <mergeCell ref="B17:G17"/>
    <mergeCell ref="B24:G24"/>
    <mergeCell ref="B4:G4"/>
    <mergeCell ref="B5:G5"/>
    <mergeCell ref="B13:G13"/>
    <mergeCell ref="B25:G25"/>
  </mergeCells>
  <pageMargins left="0.25" right="0.25" top="0.75" bottom="0.75" header="0.3" footer="0.3"/>
  <pageSetup paperSize="9" scale="81" fitToWidth="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34998626667073579"/>
    <pageSetUpPr fitToPage="1"/>
  </sheetPr>
  <dimension ref="B1:G53"/>
  <sheetViews>
    <sheetView showGridLines="0" zoomScaleNormal="100" workbookViewId="0">
      <pane xSplit="1" ySplit="2" topLeftCell="B3" activePane="bottomRight" state="frozen"/>
      <selection activeCell="H64" sqref="H64"/>
      <selection pane="topRight" activeCell="H64" sqref="H64"/>
      <selection pane="bottomLeft" activeCell="H64" sqref="H64"/>
      <selection pane="bottomRight" activeCell="B3" sqref="B3"/>
    </sheetView>
  </sheetViews>
  <sheetFormatPr defaultColWidth="9.1171875" defaultRowHeight="12.75" customHeight="1"/>
  <cols>
    <col min="1" max="1" width="2.703125" style="13" customWidth="1"/>
    <col min="2" max="2" width="33.41015625" style="13" customWidth="1"/>
    <col min="3" max="3" width="12.1171875" style="13" customWidth="1"/>
    <col min="4" max="6" width="9.703125" style="13" customWidth="1"/>
    <col min="7" max="7" width="12" style="13" customWidth="1"/>
    <col min="8" max="9" width="20.703125" style="13" customWidth="1"/>
    <col min="10" max="39" width="10.703125" style="13" customWidth="1"/>
    <col min="40" max="16384" width="9.1171875" style="13"/>
  </cols>
  <sheetData>
    <row r="1" spans="2:7" ht="20.399999999999999">
      <c r="B1" s="8" t="s">
        <v>448</v>
      </c>
    </row>
    <row r="2" spans="2:7" ht="11.25" customHeight="1" thickBot="1"/>
    <row r="3" spans="2:7" ht="24.75" customHeight="1">
      <c r="B3" s="320" t="str">
        <f>"Schedule A - "&amp;Tariff_Year</f>
        <v>Schedule A - 2019/20</v>
      </c>
      <c r="C3" s="293"/>
      <c r="D3" s="293"/>
      <c r="E3" s="294"/>
      <c r="F3" s="293"/>
      <c r="G3" s="295" t="s">
        <v>471</v>
      </c>
    </row>
    <row r="4" spans="2:7" ht="37.5" customHeight="1">
      <c r="B4" s="539" t="s">
        <v>371</v>
      </c>
      <c r="C4" s="540"/>
      <c r="D4" s="540"/>
      <c r="E4" s="540"/>
      <c r="F4" s="540"/>
      <c r="G4" s="541"/>
    </row>
    <row r="5" spans="2:7" ht="34.5" customHeight="1">
      <c r="B5" s="542" t="s">
        <v>372</v>
      </c>
      <c r="C5" s="512"/>
      <c r="D5" s="512"/>
      <c r="E5" s="512"/>
      <c r="F5" s="512"/>
      <c r="G5" s="513"/>
    </row>
    <row r="6" spans="2:7" ht="9" customHeight="1">
      <c r="B6" s="296"/>
      <c r="C6" s="297"/>
      <c r="D6" s="298"/>
      <c r="E6" s="299"/>
      <c r="F6" s="298"/>
      <c r="G6" s="300"/>
    </row>
    <row r="7" spans="2:7" ht="21.75" customHeight="1">
      <c r="B7" s="296"/>
      <c r="C7" s="548" t="s">
        <v>462</v>
      </c>
      <c r="D7" s="375" t="s">
        <v>151</v>
      </c>
      <c r="E7" s="376" t="s">
        <v>151</v>
      </c>
      <c r="F7" s="375" t="s">
        <v>373</v>
      </c>
      <c r="G7" s="377" t="str">
        <f>'Output_Tariff_Schedules_No GST'!G6</f>
        <v>$/kVar</v>
      </c>
    </row>
    <row r="8" spans="2:7" ht="14.1">
      <c r="B8" s="296"/>
      <c r="C8" s="518" t="s">
        <v>374</v>
      </c>
      <c r="D8" s="304" t="s">
        <v>375</v>
      </c>
      <c r="E8" s="305" t="s">
        <v>376</v>
      </c>
      <c r="F8" s="304" t="s">
        <v>375</v>
      </c>
      <c r="G8" s="377" t="str">
        <f>'Output_Tariff_Schedules_No GST'!G7</f>
        <v>anytime</v>
      </c>
    </row>
    <row r="9" spans="2:7" ht="12.9">
      <c r="B9" s="307" t="s">
        <v>377</v>
      </c>
      <c r="C9" s="369">
        <f>'Output_Tariff_Schedules_No GST'!C8*(1+GST)</f>
        <v>1227.951012773384</v>
      </c>
      <c r="D9" s="308"/>
      <c r="E9" s="309"/>
      <c r="F9" s="310"/>
      <c r="G9" s="311"/>
    </row>
    <row r="10" spans="2:7" ht="12.9">
      <c r="B10" s="370" t="s">
        <v>460</v>
      </c>
      <c r="C10" s="368"/>
      <c r="D10" s="373">
        <f>'Output_Tariff_Schedules_No GST'!D9*(1+GST)</f>
        <v>7.8718017015615898</v>
      </c>
      <c r="E10" s="374">
        <f>'Output_Tariff_Schedules_No GST'!E9*(1+GST)</f>
        <v>0</v>
      </c>
      <c r="F10" s="312"/>
      <c r="G10" s="313"/>
    </row>
    <row r="11" spans="2:7" ht="12.9">
      <c r="B11" s="371" t="s">
        <v>461</v>
      </c>
      <c r="C11" s="314"/>
      <c r="D11" s="314"/>
      <c r="E11" s="314"/>
      <c r="F11" s="430">
        <f>'Output_Tariff_Schedules_No GST'!F10*(1+GST)</f>
        <v>3.613653326464886</v>
      </c>
      <c r="G11" s="432"/>
    </row>
    <row r="12" spans="2:7" ht="12.9">
      <c r="B12" s="431" t="str">
        <f>'Output_Tariff_Schedules_No GST'!B11</f>
        <v>Plus charges related to excess kVAr</v>
      </c>
      <c r="C12" s="314"/>
      <c r="D12" s="314"/>
      <c r="E12" s="314"/>
      <c r="F12" s="430"/>
      <c r="G12" s="388">
        <f>'Output_Tariff_Schedules_No GST'!G11*(1+GST)</f>
        <v>4.4000000000000004</v>
      </c>
    </row>
    <row r="13" spans="2:7" ht="27.75" customHeight="1">
      <c r="B13" s="543" t="s">
        <v>378</v>
      </c>
      <c r="C13" s="544"/>
      <c r="D13" s="544"/>
      <c r="E13" s="544"/>
      <c r="F13" s="544"/>
      <c r="G13" s="545"/>
    </row>
    <row r="14" spans="2:7" ht="30.75" customHeight="1" thickBot="1">
      <c r="B14" s="536" t="s">
        <v>379</v>
      </c>
      <c r="C14" s="537"/>
      <c r="D14" s="537"/>
      <c r="E14" s="537"/>
      <c r="F14" s="537"/>
      <c r="G14" s="538"/>
    </row>
    <row r="15" spans="2:7" ht="13.2" thickBot="1">
      <c r="B15" s="315"/>
      <c r="C15" s="316"/>
      <c r="D15" s="316"/>
      <c r="E15" s="316"/>
      <c r="F15" s="316"/>
      <c r="G15" s="316"/>
    </row>
    <row r="16" spans="2:7" ht="22.5" customHeight="1">
      <c r="B16" s="320" t="str">
        <f>"Schedule B - All Regions "&amp;Tariff_Year</f>
        <v>Schedule B - All Regions 2019/20</v>
      </c>
      <c r="C16" s="293"/>
      <c r="D16" s="293"/>
      <c r="E16" s="294"/>
      <c r="F16" s="293"/>
      <c r="G16" s="295" t="s">
        <v>471</v>
      </c>
    </row>
    <row r="17" spans="2:7" ht="40.5" customHeight="1">
      <c r="B17" s="524" t="s">
        <v>380</v>
      </c>
      <c r="C17" s="525"/>
      <c r="D17" s="525"/>
      <c r="E17" s="525"/>
      <c r="F17" s="525"/>
      <c r="G17" s="526"/>
    </row>
    <row r="18" spans="2:7" ht="32.25" customHeight="1">
      <c r="B18" s="542" t="s">
        <v>381</v>
      </c>
      <c r="C18" s="546"/>
      <c r="D18" s="546"/>
      <c r="E18" s="546"/>
      <c r="F18" s="546"/>
      <c r="G18" s="547"/>
    </row>
    <row r="19" spans="2:7" ht="12.9">
      <c r="B19" s="296"/>
      <c r="C19" s="297"/>
      <c r="D19" s="298"/>
      <c r="E19" s="299"/>
      <c r="F19" s="299"/>
      <c r="G19" s="300"/>
    </row>
    <row r="20" spans="2:7" ht="23.25" customHeight="1">
      <c r="B20" s="296"/>
      <c r="C20" s="419" t="s">
        <v>462</v>
      </c>
      <c r="D20" s="301" t="s">
        <v>151</v>
      </c>
      <c r="E20" s="302" t="s">
        <v>151</v>
      </c>
      <c r="F20" s="302" t="s">
        <v>373</v>
      </c>
      <c r="G20" s="303" t="s">
        <v>373</v>
      </c>
    </row>
    <row r="21" spans="2:7" ht="15" customHeight="1">
      <c r="B21" s="296"/>
      <c r="C21" s="418" t="s">
        <v>374</v>
      </c>
      <c r="D21" s="304" t="s">
        <v>375</v>
      </c>
      <c r="E21" s="305" t="s">
        <v>376</v>
      </c>
      <c r="F21" s="305" t="s">
        <v>529</v>
      </c>
      <c r="G21" s="306" t="s">
        <v>376</v>
      </c>
    </row>
    <row r="22" spans="2:7" ht="12.9">
      <c r="B22" s="307" t="s">
        <v>377</v>
      </c>
      <c r="C22" s="369">
        <f>'Output_Tariff_Schedules_No GST'!C20*(1+GST)</f>
        <v>1427.8500148527721</v>
      </c>
      <c r="D22" s="308"/>
      <c r="E22" s="309"/>
      <c r="F22" s="423"/>
      <c r="G22" s="311"/>
    </row>
    <row r="23" spans="2:7" ht="12.9">
      <c r="B23" s="370" t="s">
        <v>460</v>
      </c>
      <c r="C23" s="368"/>
      <c r="D23" s="373">
        <f>'Output_Tariff_Schedules_No GST'!D21*(1+GST)</f>
        <v>9.0838000000000001</v>
      </c>
      <c r="E23" s="374">
        <f>'Output_Tariff_Schedules_No GST'!E21*(1+GST)</f>
        <v>0</v>
      </c>
      <c r="F23" s="424"/>
      <c r="G23" s="313"/>
    </row>
    <row r="24" spans="2:7" ht="12.9">
      <c r="B24" s="371" t="s">
        <v>461</v>
      </c>
      <c r="C24" s="314"/>
      <c r="D24" s="314"/>
      <c r="E24" s="314"/>
      <c r="F24" s="430">
        <f>'Output_Tariff_Schedules_No GST'!F22*(1+GST)</f>
        <v>3.61361</v>
      </c>
      <c r="G24" s="311"/>
    </row>
    <row r="25" spans="2:7" ht="12.9">
      <c r="B25" s="431" t="str">
        <f>'Output_Tariff_Schedules_No GST'!B11</f>
        <v>Plus charges related to excess kVAr</v>
      </c>
      <c r="C25" s="314"/>
      <c r="D25" s="314"/>
      <c r="E25" s="314"/>
      <c r="F25" s="430"/>
      <c r="G25" s="388">
        <f>'Output_Tariff_Schedules_No GST'!G23*(1+GST)</f>
        <v>4.4000000000000004</v>
      </c>
    </row>
    <row r="26" spans="2:7" ht="24" customHeight="1" thickBot="1">
      <c r="B26" s="533" t="s">
        <v>378</v>
      </c>
      <c r="C26" s="534"/>
      <c r="D26" s="534"/>
      <c r="E26" s="534"/>
      <c r="F26" s="534"/>
      <c r="G26" s="535"/>
    </row>
    <row r="27" spans="2:7" ht="32.25" customHeight="1" thickBot="1">
      <c r="B27" s="536" t="s">
        <v>537</v>
      </c>
      <c r="C27" s="537"/>
      <c r="D27" s="537"/>
      <c r="E27" s="537"/>
      <c r="F27" s="537"/>
      <c r="G27" s="538"/>
    </row>
    <row r="28" spans="2:7" ht="13.2" thickBot="1">
      <c r="B28" s="317"/>
      <c r="C28" s="318"/>
      <c r="D28" s="318"/>
      <c r="E28" s="318"/>
      <c r="F28" s="319"/>
      <c r="G28" s="319"/>
    </row>
    <row r="29" spans="2:7" ht="20.100000000000001">
      <c r="B29" s="320" t="str">
        <f>"Schedule C - "&amp;Tariff_Year</f>
        <v>Schedule C - 2019/20</v>
      </c>
      <c r="C29" s="321"/>
      <c r="D29" s="321"/>
      <c r="E29" s="322"/>
      <c r="F29" s="293"/>
      <c r="G29" s="295" t="s">
        <v>471</v>
      </c>
    </row>
    <row r="30" spans="2:7" ht="30" customHeight="1" thickBot="1">
      <c r="B30" s="511" t="s">
        <v>382</v>
      </c>
      <c r="C30" s="512"/>
      <c r="D30" s="512"/>
      <c r="E30" s="512"/>
      <c r="F30" s="512"/>
      <c r="G30" s="513"/>
    </row>
    <row r="31" spans="2:7" ht="18" customHeight="1" thickBot="1">
      <c r="B31" s="323" t="s">
        <v>377</v>
      </c>
      <c r="C31" s="293"/>
      <c r="D31" s="324"/>
      <c r="E31" s="293"/>
      <c r="F31" s="325"/>
      <c r="G31" s="384" t="s">
        <v>479</v>
      </c>
    </row>
    <row r="32" spans="2:7" ht="12.9">
      <c r="B32" s="326" t="s">
        <v>494</v>
      </c>
      <c r="C32" s="293"/>
      <c r="D32" s="324"/>
      <c r="E32" s="293"/>
      <c r="F32" s="293"/>
      <c r="G32" s="327">
        <f>'Output_Tariff_Schedules_No GST'!F30*(1+GST)</f>
        <v>70.445946946195292</v>
      </c>
    </row>
    <row r="33" spans="2:7" ht="12.9">
      <c r="B33" s="328" t="s">
        <v>509</v>
      </c>
      <c r="C33" s="329"/>
      <c r="D33" s="330"/>
      <c r="E33" s="329"/>
      <c r="F33" s="329"/>
      <c r="G33" s="331">
        <f>'Output_Tariff_Schedules_No GST'!F31*(1+GST)</f>
        <v>148.5</v>
      </c>
    </row>
    <row r="34" spans="2:7" ht="12.9">
      <c r="B34" s="328" t="str">
        <f>'Output_Tariff_Schedules_No GST'!B32</f>
        <v>Cents per day per NMI - LV Smart Meter &lt;40MWh</v>
      </c>
      <c r="C34" s="329"/>
      <c r="D34" s="330"/>
      <c r="E34" s="329"/>
      <c r="F34" s="329"/>
      <c r="G34" s="331">
        <f>'Output_Tariff_Schedules_No GST'!F32*(1+GST)</f>
        <v>148.5</v>
      </c>
    </row>
    <row r="35" spans="2:7" ht="12.9">
      <c r="B35" s="328" t="str">
        <f>'Output_Tariff_Schedules_No GST'!B33</f>
        <v>Cents per day per NMI - LV Smart Meter &gt;40MWh</v>
      </c>
      <c r="C35" s="329"/>
      <c r="D35" s="330"/>
      <c r="E35" s="329"/>
      <c r="F35" s="329"/>
      <c r="G35" s="331">
        <f>'Output_Tariff_Schedules_No GST'!F33*(1+GST)</f>
        <v>715.00000000000011</v>
      </c>
    </row>
    <row r="36" spans="2:7" ht="13.2" thickBot="1">
      <c r="B36" s="328" t="str">
        <f>'Output_Tariff_Schedules_No GST'!B34</f>
        <v>Cents per day per NMI - HV &lt;750MWh</v>
      </c>
      <c r="C36" s="333"/>
      <c r="D36" s="334"/>
      <c r="E36" s="333"/>
      <c r="F36" s="333"/>
      <c r="G36" s="378">
        <f>'Output_Tariff_Schedules_No GST'!F34*(1+GST)</f>
        <v>367.18801975826506</v>
      </c>
    </row>
    <row r="37" spans="2:7" ht="13.2" thickBot="1">
      <c r="B37" s="381" t="s">
        <v>383</v>
      </c>
      <c r="C37" s="382"/>
      <c r="D37" s="383"/>
      <c r="E37" s="382"/>
      <c r="F37" s="382"/>
      <c r="G37" s="384" t="s">
        <v>384</v>
      </c>
    </row>
    <row r="38" spans="2:7" ht="12.9">
      <c r="B38" s="328" t="s">
        <v>495</v>
      </c>
      <c r="C38" s="329"/>
      <c r="D38" s="329"/>
      <c r="E38" s="329"/>
      <c r="F38" s="329"/>
      <c r="G38" s="331">
        <f>'Output_Tariff_Schedules_No GST'!F36*(1+GST)</f>
        <v>11.115406800361528</v>
      </c>
    </row>
    <row r="39" spans="2:7" ht="12.9">
      <c r="B39" s="328" t="s">
        <v>510</v>
      </c>
      <c r="C39" s="329"/>
      <c r="D39" s="329"/>
      <c r="E39" s="329"/>
      <c r="F39" s="329"/>
      <c r="G39" s="331">
        <f>'Output_Tariff_Schedules_No GST'!F37*(1+GST)</f>
        <v>11.500500000000001</v>
      </c>
    </row>
    <row r="40" spans="2:7" ht="12.9">
      <c r="B40" s="328" t="s">
        <v>465</v>
      </c>
      <c r="C40" s="329"/>
      <c r="D40" s="329"/>
      <c r="E40" s="329"/>
      <c r="F40" s="329"/>
      <c r="G40" s="331">
        <f>'Output_Tariff_Schedules_No GST'!F38*(1+GST)</f>
        <v>3.3832656572768571</v>
      </c>
    </row>
    <row r="41" spans="2:7" ht="13.2" thickBot="1">
      <c r="B41" s="332" t="s">
        <v>541</v>
      </c>
      <c r="C41" s="333"/>
      <c r="D41" s="333"/>
      <c r="E41" s="333"/>
      <c r="F41" s="333"/>
      <c r="G41" s="378">
        <f>'Output_Tariff_Schedules_No GST'!F39*(1+GST)</f>
        <v>3.3832656572768571</v>
      </c>
    </row>
    <row r="42" spans="2:7" ht="13.2" thickBot="1">
      <c r="B42" s="386" t="s">
        <v>466</v>
      </c>
      <c r="C42" s="382"/>
      <c r="D42" s="382"/>
      <c r="E42" s="382"/>
      <c r="F42" s="382"/>
      <c r="G42" s="384" t="s">
        <v>385</v>
      </c>
    </row>
    <row r="43" spans="2:7" ht="12.9">
      <c r="B43" s="328" t="s">
        <v>386</v>
      </c>
      <c r="C43" s="329"/>
      <c r="D43" s="329"/>
      <c r="E43" s="329"/>
      <c r="F43" s="329"/>
      <c r="G43" s="385">
        <f>'Output_Tariff_Schedules_No GST'!F41*(1+GST)</f>
        <v>0.29428344000000772</v>
      </c>
    </row>
    <row r="44" spans="2:7" ht="13.2" thickBot="1">
      <c r="B44" s="332" t="s">
        <v>387</v>
      </c>
      <c r="C44" s="333"/>
      <c r="D44" s="334"/>
      <c r="E44" s="333"/>
      <c r="F44" s="333"/>
      <c r="G44" s="379">
        <f>'Output_Tariff_Schedules_No GST'!F42*(1+GST)</f>
        <v>0.67538723999999895</v>
      </c>
    </row>
    <row r="45" spans="2:7" ht="13.2" thickBot="1">
      <c r="B45" s="381" t="s">
        <v>468</v>
      </c>
      <c r="C45" s="382"/>
      <c r="D45" s="382"/>
      <c r="E45" s="382"/>
      <c r="F45" s="382"/>
      <c r="G45" s="387" t="s">
        <v>472</v>
      </c>
    </row>
    <row r="46" spans="2:7" ht="12.9">
      <c r="B46" s="328" t="s">
        <v>467</v>
      </c>
      <c r="C46" s="329"/>
      <c r="D46" s="329"/>
      <c r="E46" s="329"/>
      <c r="F46" s="329"/>
      <c r="G46" s="385">
        <f>'Output_Tariff_Schedules_No GST'!F44*(1+GST)</f>
        <v>22</v>
      </c>
    </row>
    <row r="47" spans="2:7" ht="12.9">
      <c r="B47" s="328" t="s">
        <v>469</v>
      </c>
      <c r="C47" s="329"/>
      <c r="D47" s="329"/>
      <c r="E47" s="329"/>
      <c r="F47" s="329"/>
      <c r="G47" s="336">
        <f>'Output_Tariff_Schedules_No GST'!F45*(1+GST)</f>
        <v>0</v>
      </c>
    </row>
    <row r="48" spans="2:7" ht="12.9">
      <c r="B48" s="328" t="s">
        <v>544</v>
      </c>
      <c r="C48" s="329"/>
      <c r="D48" s="329"/>
      <c r="E48" s="329"/>
      <c r="F48" s="329"/>
      <c r="G48" s="335">
        <f>'Output_Tariff_Schedules_No GST'!F46*(1+GST)</f>
        <v>11.298092915638927</v>
      </c>
    </row>
    <row r="49" spans="2:7" ht="13.2" thickBot="1">
      <c r="B49" s="332" t="s">
        <v>545</v>
      </c>
      <c r="C49" s="333"/>
      <c r="D49" s="334"/>
      <c r="E49" s="333"/>
      <c r="F49" s="333"/>
      <c r="G49" s="379">
        <f>'Output_Tariff_Schedules_No GST'!F47*(1+GST)</f>
        <v>0</v>
      </c>
    </row>
    <row r="50" spans="2:7" ht="13.2" thickBot="1">
      <c r="B50" s="381" t="s">
        <v>388</v>
      </c>
      <c r="C50" s="382"/>
      <c r="D50" s="382"/>
      <c r="E50" s="382"/>
      <c r="F50" s="382"/>
      <c r="G50" s="384" t="s">
        <v>470</v>
      </c>
    </row>
    <row r="51" spans="2:7" ht="12.9">
      <c r="B51" s="328" t="s">
        <v>389</v>
      </c>
      <c r="C51" s="329"/>
      <c r="D51" s="329"/>
      <c r="E51" s="329"/>
      <c r="F51" s="329"/>
      <c r="G51" s="385">
        <f>'Output_Tariff_Schedules_No GST'!F49*(1+GST)</f>
        <v>4.4000000000000004</v>
      </c>
    </row>
    <row r="52" spans="2:7" ht="13.2" thickBot="1">
      <c r="B52" s="328" t="s">
        <v>390</v>
      </c>
      <c r="C52" s="329"/>
      <c r="D52" s="329"/>
      <c r="E52" s="329"/>
      <c r="F52" s="329"/>
      <c r="G52" s="379">
        <f>'Output_Tariff_Schedules_No GST'!F50*(1+GST)</f>
        <v>4.4000000000000004</v>
      </c>
    </row>
    <row r="53" spans="2:7" ht="40.5" customHeight="1" thickBot="1">
      <c r="B53" s="514" t="s">
        <v>538</v>
      </c>
      <c r="C53" s="515"/>
      <c r="D53" s="515"/>
      <c r="E53" s="515"/>
      <c r="F53" s="515"/>
      <c r="G53" s="516"/>
    </row>
  </sheetData>
  <mergeCells count="11">
    <mergeCell ref="B26:G26"/>
    <mergeCell ref="B27:G27"/>
    <mergeCell ref="B30:G30"/>
    <mergeCell ref="B53:G53"/>
    <mergeCell ref="B4:G4"/>
    <mergeCell ref="B5:G5"/>
    <mergeCell ref="B13:G13"/>
    <mergeCell ref="B14:G14"/>
    <mergeCell ref="B17:G17"/>
    <mergeCell ref="B18:G18"/>
    <mergeCell ref="C7:C8"/>
  </mergeCells>
  <pageMargins left="0.7" right="0.7" top="0.75" bottom="0.75" header="0.3" footer="0.3"/>
  <pageSetup paperSize="9" scale="50" fitToWidth="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
    <tabColor theme="1"/>
  </sheetPr>
  <dimension ref="B1:X184"/>
  <sheetViews>
    <sheetView showGridLines="0" zoomScaleNormal="100" workbookViewId="0">
      <pane xSplit="1" ySplit="4" topLeftCell="B5" activePane="bottomRight" state="frozen"/>
      <selection activeCell="D155" sqref="D155"/>
      <selection pane="topRight" activeCell="D155" sqref="D155"/>
      <selection pane="bottomLeft" activeCell="D155" sqref="D155"/>
      <selection pane="bottomRight" activeCell="B5" sqref="B5"/>
    </sheetView>
  </sheetViews>
  <sheetFormatPr defaultColWidth="9.1171875" defaultRowHeight="12.9" outlineLevelRow="1"/>
  <cols>
    <col min="1" max="3" width="2.703125" style="1" customWidth="1"/>
    <col min="4" max="6" width="30.703125" style="1" customWidth="1"/>
    <col min="7" max="7" width="20.703125" style="1" customWidth="1"/>
    <col min="8" max="8" width="3.703125" style="1" customWidth="1"/>
    <col min="9" max="9" width="30.703125" style="1" customWidth="1"/>
    <col min="10" max="11" width="3.703125" style="1" customWidth="1"/>
    <col min="12" max="24" width="10.703125" style="1" customWidth="1"/>
    <col min="25" max="16384" width="9.1171875" style="1"/>
  </cols>
  <sheetData>
    <row r="1" spans="2:7" ht="20.399999999999999">
      <c r="B1" s="8" t="s">
        <v>0</v>
      </c>
    </row>
    <row r="2" spans="2:7">
      <c r="B2" s="28" t="str">
        <f>Title_Msg</f>
        <v>No Errors Found</v>
      </c>
    </row>
    <row r="3" spans="2:7" s="11" customFormat="1">
      <c r="B3" s="65" t="str">
        <f>Model_Name</f>
        <v>Power and Water Corporation (PWC) Network Pricing Model</v>
      </c>
    </row>
    <row r="4" spans="2:7" s="11" customFormat="1">
      <c r="B4" s="337" t="str">
        <f>TOC!$B$1</f>
        <v>Table of Contents</v>
      </c>
    </row>
    <row r="5" spans="2:7" s="11" customFormat="1"/>
    <row r="6" spans="2:7" s="11" customFormat="1"/>
    <row r="7" spans="2:7" s="7" customFormat="1" ht="15.6">
      <c r="B7" s="7" t="s">
        <v>92</v>
      </c>
    </row>
    <row r="8" spans="2:7" s="2" customFormat="1" ht="6.75" customHeight="1"/>
    <row r="9" spans="2:7" s="16" customFormat="1" ht="14.4">
      <c r="C9" s="16" t="s">
        <v>91</v>
      </c>
    </row>
    <row r="10" spans="2:7" s="2" customFormat="1">
      <c r="D10" s="6"/>
    </row>
    <row r="11" spans="2:7" s="2" customFormat="1">
      <c r="C11" s="10"/>
      <c r="D11" s="21" t="s">
        <v>21</v>
      </c>
      <c r="E11" s="4"/>
      <c r="F11" s="68">
        <v>3</v>
      </c>
      <c r="G11" s="31" t="str">
        <f>INDEX(Period_Length,F11)</f>
        <v>Yearly</v>
      </c>
    </row>
    <row r="12" spans="2:7" s="10" customFormat="1">
      <c r="D12" s="21" t="s">
        <v>69</v>
      </c>
      <c r="F12" s="40">
        <f>CHOOSE(F11,12,3,1)</f>
        <v>1</v>
      </c>
    </row>
    <row r="13" spans="2:7" s="2" customFormat="1">
      <c r="C13" s="4"/>
      <c r="D13" s="21" t="s">
        <v>22</v>
      </c>
      <c r="E13" s="4"/>
      <c r="F13" s="69">
        <v>38718</v>
      </c>
      <c r="G13" s="5"/>
    </row>
    <row r="14" spans="2:7" s="10" customFormat="1">
      <c r="C14" s="4"/>
      <c r="D14" s="21" t="s">
        <v>29</v>
      </c>
      <c r="E14" s="4"/>
      <c r="F14" s="68">
        <v>12</v>
      </c>
      <c r="G14" s="32" t="str">
        <f>INDEX(Calender_Months,F14)</f>
        <v>December</v>
      </c>
    </row>
    <row r="15" spans="2:7" s="10" customFormat="1">
      <c r="C15" s="4"/>
      <c r="D15" s="21" t="s">
        <v>63</v>
      </c>
      <c r="E15" s="4"/>
      <c r="F15" s="40">
        <f>IF(F14=12,1,F14+1)</f>
        <v>1</v>
      </c>
      <c r="G15" s="32"/>
    </row>
    <row r="16" spans="2:7" s="10" customFormat="1">
      <c r="C16" s="4"/>
      <c r="D16" s="21" t="s">
        <v>70</v>
      </c>
      <c r="E16" s="4"/>
      <c r="F16" s="67" t="s">
        <v>71</v>
      </c>
      <c r="G16" s="32"/>
    </row>
    <row r="17" spans="2:24" s="11" customFormat="1">
      <c r="L17" s="36"/>
      <c r="M17" s="38"/>
      <c r="N17" s="38"/>
      <c r="O17" s="38"/>
    </row>
    <row r="18" spans="2:24" s="7" customFormat="1" ht="15.6">
      <c r="B18" s="7" t="s">
        <v>93</v>
      </c>
    </row>
    <row r="19" spans="2:24" s="11" customFormat="1">
      <c r="L19" s="36"/>
      <c r="M19" s="38"/>
      <c r="N19" s="38"/>
      <c r="O19" s="38"/>
    </row>
    <row r="20" spans="2:24" s="11" customFormat="1">
      <c r="B20" s="66" t="s">
        <v>23</v>
      </c>
      <c r="L20" s="36"/>
      <c r="M20" s="38"/>
      <c r="N20" s="38"/>
      <c r="O20" s="38"/>
    </row>
    <row r="21" spans="2:24" s="9" customFormat="1">
      <c r="B21" s="25" t="s">
        <v>14</v>
      </c>
      <c r="L21" s="26">
        <f t="shared" ref="L21:X21" si="0">L26</f>
        <v>38748</v>
      </c>
      <c r="M21" s="26">
        <f t="shared" si="0"/>
        <v>38776</v>
      </c>
      <c r="N21" s="26">
        <f t="shared" si="0"/>
        <v>38807</v>
      </c>
      <c r="O21" s="26">
        <f t="shared" si="0"/>
        <v>38837</v>
      </c>
      <c r="P21" s="26">
        <f t="shared" si="0"/>
        <v>38868</v>
      </c>
      <c r="Q21" s="26">
        <f t="shared" si="0"/>
        <v>38898</v>
      </c>
      <c r="R21" s="26">
        <f t="shared" si="0"/>
        <v>38929</v>
      </c>
      <c r="S21" s="26">
        <f t="shared" si="0"/>
        <v>38960</v>
      </c>
      <c r="T21" s="26">
        <f t="shared" si="0"/>
        <v>38990</v>
      </c>
      <c r="U21" s="26">
        <f t="shared" si="0"/>
        <v>39021</v>
      </c>
      <c r="V21" s="26">
        <f t="shared" si="0"/>
        <v>39051</v>
      </c>
      <c r="W21" s="26">
        <f t="shared" si="0"/>
        <v>39082</v>
      </c>
      <c r="X21" s="26">
        <f t="shared" si="0"/>
        <v>39113</v>
      </c>
    </row>
    <row r="22" spans="2:24" hidden="1" outlineLevel="1">
      <c r="B22" s="14" t="s">
        <v>560</v>
      </c>
      <c r="L22" s="19" t="str">
        <f t="shared" ref="L22:X22" si="1">CHOOSE(MONTH(L26),Qtr_1,Qtr_1,Qtr_1,Qtr_2,Qtr_2,Qtr_2,Qtr_3,Qtr_3,Qtr_3,Qtr_4,Qtr_4,Qtr_4)&amp;" "&amp;L23&amp;" "</f>
        <v xml:space="preserve">Q1 2006 </v>
      </c>
      <c r="M22" s="19" t="str">
        <f t="shared" si="1"/>
        <v xml:space="preserve">Q1 2006 </v>
      </c>
      <c r="N22" s="19" t="str">
        <f t="shared" si="1"/>
        <v xml:space="preserve">Q1 2006 </v>
      </c>
      <c r="O22" s="19" t="str">
        <f t="shared" si="1"/>
        <v xml:space="preserve">Q2 2006 </v>
      </c>
      <c r="P22" s="19" t="str">
        <f t="shared" si="1"/>
        <v xml:space="preserve">Q2 2006 </v>
      </c>
      <c r="Q22" s="19" t="str">
        <f t="shared" si="1"/>
        <v xml:space="preserve">Q2 2006 </v>
      </c>
      <c r="R22" s="19" t="str">
        <f t="shared" si="1"/>
        <v xml:space="preserve">Q3 2006 </v>
      </c>
      <c r="S22" s="19" t="str">
        <f t="shared" si="1"/>
        <v xml:space="preserve">Q3 2006 </v>
      </c>
      <c r="T22" s="19" t="str">
        <f t="shared" si="1"/>
        <v xml:space="preserve">Q3 2006 </v>
      </c>
      <c r="U22" s="19" t="str">
        <f t="shared" si="1"/>
        <v xml:space="preserve">Q4 2006 </v>
      </c>
      <c r="V22" s="19" t="str">
        <f t="shared" si="1"/>
        <v xml:space="preserve">Q4 2006 </v>
      </c>
      <c r="W22" s="19" t="str">
        <f t="shared" si="1"/>
        <v xml:space="preserve">Q4 2006 </v>
      </c>
      <c r="X22" s="19" t="str">
        <f t="shared" si="1"/>
        <v xml:space="preserve">Q1 2007 </v>
      </c>
    </row>
    <row r="23" spans="2:24" hidden="1" outlineLevel="1">
      <c r="B23" s="14" t="s">
        <v>561</v>
      </c>
      <c r="L23" s="19">
        <f t="shared" ref="L23:X23" si="2">YEAR(L26)</f>
        <v>2006</v>
      </c>
      <c r="M23" s="19">
        <f t="shared" si="2"/>
        <v>2006</v>
      </c>
      <c r="N23" s="19">
        <f t="shared" si="2"/>
        <v>2006</v>
      </c>
      <c r="O23" s="19">
        <f t="shared" si="2"/>
        <v>2006</v>
      </c>
      <c r="P23" s="19">
        <f t="shared" si="2"/>
        <v>2006</v>
      </c>
      <c r="Q23" s="19">
        <f t="shared" si="2"/>
        <v>2006</v>
      </c>
      <c r="R23" s="19">
        <f t="shared" si="2"/>
        <v>2006</v>
      </c>
      <c r="S23" s="19">
        <f t="shared" si="2"/>
        <v>2006</v>
      </c>
      <c r="T23" s="19">
        <f t="shared" si="2"/>
        <v>2006</v>
      </c>
      <c r="U23" s="19">
        <f t="shared" si="2"/>
        <v>2006</v>
      </c>
      <c r="V23" s="19">
        <f t="shared" si="2"/>
        <v>2006</v>
      </c>
      <c r="W23" s="19">
        <f t="shared" si="2"/>
        <v>2006</v>
      </c>
      <c r="X23" s="19">
        <f t="shared" si="2"/>
        <v>2007</v>
      </c>
    </row>
    <row r="24" spans="2:24" hidden="1" outlineLevel="1">
      <c r="B24" s="14" t="s">
        <v>43</v>
      </c>
      <c r="L24" s="19">
        <f>L23+1*(Lookup!$F$14&lt;MONTH(L26))</f>
        <v>2006</v>
      </c>
      <c r="M24" s="19">
        <f>M23+1*(Lookup!$F$14&lt;MONTH(M26))</f>
        <v>2006</v>
      </c>
      <c r="N24" s="19">
        <f>N23+1*(Lookup!$F$14&lt;MONTH(N26))</f>
        <v>2006</v>
      </c>
      <c r="O24" s="19">
        <f>O23+1*(Lookup!$F$14&lt;MONTH(O26))</f>
        <v>2006</v>
      </c>
      <c r="P24" s="19">
        <f>P23+1*(Lookup!$F$14&lt;MONTH(P26))</f>
        <v>2006</v>
      </c>
      <c r="Q24" s="19">
        <f>Q23+1*(Lookup!$F$14&lt;MONTH(Q26))</f>
        <v>2006</v>
      </c>
      <c r="R24" s="19">
        <f>R23+1*(Lookup!$F$14&lt;MONTH(R26))</f>
        <v>2006</v>
      </c>
      <c r="S24" s="19">
        <f>S23+1*(Lookup!$F$14&lt;MONTH(S26))</f>
        <v>2006</v>
      </c>
      <c r="T24" s="19">
        <f>T23+1*(Lookup!$F$14&lt;MONTH(T26))</f>
        <v>2006</v>
      </c>
      <c r="U24" s="19">
        <f>U23+1*(Lookup!$F$14&lt;MONTH(U26))</f>
        <v>2006</v>
      </c>
      <c r="V24" s="19">
        <f>V23+1*(Lookup!$F$14&lt;MONTH(V26))</f>
        <v>2006</v>
      </c>
      <c r="W24" s="19">
        <f>W23+1*(Lookup!$F$14&lt;MONTH(W26))</f>
        <v>2006</v>
      </c>
      <c r="X24" s="19">
        <f>X23+1*(Lookup!$F$14&lt;MONTH(X26))</f>
        <v>2007</v>
      </c>
    </row>
    <row r="25" spans="2:24" hidden="1" outlineLevel="1">
      <c r="B25" s="14" t="s">
        <v>15</v>
      </c>
      <c r="L25" s="20">
        <f>IF(L34=1,Lookup!$F$13,K26+1)</f>
        <v>38718</v>
      </c>
      <c r="M25" s="20">
        <f>IF(M34=1,Lookup!$F$13,L26+1)</f>
        <v>38749</v>
      </c>
      <c r="N25" s="20">
        <f>IF(N34=1,Lookup!$F$13,M26+1)</f>
        <v>38777</v>
      </c>
      <c r="O25" s="20">
        <f>IF(O34=1,Lookup!$F$13,N26+1)</f>
        <v>38808</v>
      </c>
      <c r="P25" s="20">
        <f>IF(P34=1,Lookup!$F$13,O26+1)</f>
        <v>38838</v>
      </c>
      <c r="Q25" s="20">
        <f>IF(Q34=1,Lookup!$F$13,P26+1)</f>
        <v>38869</v>
      </c>
      <c r="R25" s="20">
        <f>IF(R34=1,Lookup!$F$13,Q26+1)</f>
        <v>38899</v>
      </c>
      <c r="S25" s="20">
        <f>IF(S34=1,Lookup!$F$13,R26+1)</f>
        <v>38930</v>
      </c>
      <c r="T25" s="20">
        <f>IF(T34=1,Lookup!$F$13,S26+1)</f>
        <v>38961</v>
      </c>
      <c r="U25" s="20">
        <f>IF(U34=1,Lookup!$F$13,T26+1)</f>
        <v>38991</v>
      </c>
      <c r="V25" s="20">
        <f>IF(V34=1,Lookup!$F$13,U26+1)</f>
        <v>39022</v>
      </c>
      <c r="W25" s="20">
        <f>IF(W34=1,Lookup!$F$13,V26+1)</f>
        <v>39052</v>
      </c>
      <c r="X25" s="20">
        <f>IF(X34=1,Lookup!$F$13,W26+1)</f>
        <v>39083</v>
      </c>
    </row>
    <row r="26" spans="2:24" hidden="1" outlineLevel="1">
      <c r="B26" s="14" t="s">
        <v>16</v>
      </c>
      <c r="L26" s="20">
        <f t="shared" ref="L26:X26" si="3">EOMONTH(L25,L27-1)</f>
        <v>38748</v>
      </c>
      <c r="M26" s="20">
        <f t="shared" si="3"/>
        <v>38776</v>
      </c>
      <c r="N26" s="20">
        <f t="shared" si="3"/>
        <v>38807</v>
      </c>
      <c r="O26" s="20">
        <f t="shared" si="3"/>
        <v>38837</v>
      </c>
      <c r="P26" s="20">
        <f t="shared" si="3"/>
        <v>38868</v>
      </c>
      <c r="Q26" s="20">
        <f t="shared" si="3"/>
        <v>38898</v>
      </c>
      <c r="R26" s="20">
        <f t="shared" si="3"/>
        <v>38929</v>
      </c>
      <c r="S26" s="20">
        <f t="shared" si="3"/>
        <v>38960</v>
      </c>
      <c r="T26" s="20">
        <f t="shared" si="3"/>
        <v>38990</v>
      </c>
      <c r="U26" s="20">
        <f t="shared" si="3"/>
        <v>39021</v>
      </c>
      <c r="V26" s="20">
        <f t="shared" si="3"/>
        <v>39051</v>
      </c>
      <c r="W26" s="20">
        <f t="shared" si="3"/>
        <v>39082</v>
      </c>
      <c r="X26" s="20">
        <f t="shared" si="3"/>
        <v>39113</v>
      </c>
    </row>
    <row r="27" spans="2:24" hidden="1" outlineLevel="1">
      <c r="B27" s="14" t="s">
        <v>17</v>
      </c>
      <c r="L27" s="22">
        <f t="shared" ref="L27:X27" si="4">Mths_In_Mth</f>
        <v>1</v>
      </c>
      <c r="M27" s="22">
        <f t="shared" si="4"/>
        <v>1</v>
      </c>
      <c r="N27" s="22">
        <f t="shared" si="4"/>
        <v>1</v>
      </c>
      <c r="O27" s="22">
        <f t="shared" si="4"/>
        <v>1</v>
      </c>
      <c r="P27" s="22">
        <f t="shared" si="4"/>
        <v>1</v>
      </c>
      <c r="Q27" s="22">
        <f t="shared" si="4"/>
        <v>1</v>
      </c>
      <c r="R27" s="22">
        <f t="shared" si="4"/>
        <v>1</v>
      </c>
      <c r="S27" s="22">
        <f t="shared" si="4"/>
        <v>1</v>
      </c>
      <c r="T27" s="22">
        <f t="shared" si="4"/>
        <v>1</v>
      </c>
      <c r="U27" s="22">
        <f t="shared" si="4"/>
        <v>1</v>
      </c>
      <c r="V27" s="22">
        <f t="shared" si="4"/>
        <v>1</v>
      </c>
      <c r="W27" s="22">
        <f t="shared" si="4"/>
        <v>1</v>
      </c>
      <c r="X27" s="22">
        <f t="shared" si="4"/>
        <v>1</v>
      </c>
    </row>
    <row r="28" spans="2:24" hidden="1" outlineLevel="1">
      <c r="B28" s="14" t="s">
        <v>18</v>
      </c>
      <c r="L28" s="22">
        <f t="shared" ref="L28:X28" si="5">L26-L25+1</f>
        <v>31</v>
      </c>
      <c r="M28" s="22">
        <f t="shared" si="5"/>
        <v>28</v>
      </c>
      <c r="N28" s="22">
        <f t="shared" si="5"/>
        <v>31</v>
      </c>
      <c r="O28" s="22">
        <f t="shared" si="5"/>
        <v>30</v>
      </c>
      <c r="P28" s="22">
        <f t="shared" si="5"/>
        <v>31</v>
      </c>
      <c r="Q28" s="22">
        <f t="shared" si="5"/>
        <v>30</v>
      </c>
      <c r="R28" s="22">
        <f t="shared" si="5"/>
        <v>31</v>
      </c>
      <c r="S28" s="22">
        <f t="shared" si="5"/>
        <v>31</v>
      </c>
      <c r="T28" s="22">
        <f t="shared" si="5"/>
        <v>30</v>
      </c>
      <c r="U28" s="22">
        <f t="shared" si="5"/>
        <v>31</v>
      </c>
      <c r="V28" s="22">
        <f t="shared" si="5"/>
        <v>30</v>
      </c>
      <c r="W28" s="22">
        <f t="shared" si="5"/>
        <v>31</v>
      </c>
      <c r="X28" s="22">
        <f t="shared" si="5"/>
        <v>31</v>
      </c>
    </row>
    <row r="29" spans="2:24" hidden="1" outlineLevel="1">
      <c r="B29" s="14" t="s">
        <v>50</v>
      </c>
      <c r="L29" s="37">
        <f t="shared" ref="L29:X29" si="6">INT((L28-MOD(Fri-WEEKDAY(L25,2),Days_In_Wk)-1)/Days_In_Wk)+1</f>
        <v>4</v>
      </c>
      <c r="M29" s="37">
        <f t="shared" si="6"/>
        <v>4</v>
      </c>
      <c r="N29" s="37">
        <f t="shared" si="6"/>
        <v>5</v>
      </c>
      <c r="O29" s="37">
        <f t="shared" si="6"/>
        <v>4</v>
      </c>
      <c r="P29" s="37">
        <f t="shared" si="6"/>
        <v>4</v>
      </c>
      <c r="Q29" s="37">
        <f t="shared" si="6"/>
        <v>5</v>
      </c>
      <c r="R29" s="37">
        <f t="shared" si="6"/>
        <v>4</v>
      </c>
      <c r="S29" s="37">
        <f t="shared" si="6"/>
        <v>4</v>
      </c>
      <c r="T29" s="37">
        <f t="shared" si="6"/>
        <v>5</v>
      </c>
      <c r="U29" s="37">
        <f t="shared" si="6"/>
        <v>4</v>
      </c>
      <c r="V29" s="37">
        <f t="shared" si="6"/>
        <v>4</v>
      </c>
      <c r="W29" s="37">
        <f t="shared" si="6"/>
        <v>5</v>
      </c>
      <c r="X29" s="37">
        <f t="shared" si="6"/>
        <v>4</v>
      </c>
    </row>
    <row r="30" spans="2:24" hidden="1" outlineLevel="1">
      <c r="B30" s="14" t="s">
        <v>67</v>
      </c>
      <c r="L30" s="23">
        <f t="shared" ref="L30:X30" si="7">YEARFRAC(L25,L26+1,1)</f>
        <v>8.4931506849315067E-2</v>
      </c>
      <c r="M30" s="23">
        <f t="shared" si="7"/>
        <v>7.6712328767123292E-2</v>
      </c>
      <c r="N30" s="23">
        <f t="shared" si="7"/>
        <v>8.4931506849315067E-2</v>
      </c>
      <c r="O30" s="23">
        <f t="shared" si="7"/>
        <v>8.2191780821917804E-2</v>
      </c>
      <c r="P30" s="23">
        <f t="shared" si="7"/>
        <v>8.4931506849315067E-2</v>
      </c>
      <c r="Q30" s="23">
        <f t="shared" si="7"/>
        <v>8.2191780821917804E-2</v>
      </c>
      <c r="R30" s="23">
        <f t="shared" si="7"/>
        <v>8.4931506849315067E-2</v>
      </c>
      <c r="S30" s="23">
        <f t="shared" si="7"/>
        <v>8.4931506849315067E-2</v>
      </c>
      <c r="T30" s="23">
        <f t="shared" si="7"/>
        <v>8.2191780821917804E-2</v>
      </c>
      <c r="U30" s="23">
        <f t="shared" si="7"/>
        <v>8.4931506849315067E-2</v>
      </c>
      <c r="V30" s="23">
        <f t="shared" si="7"/>
        <v>8.2191780821917804E-2</v>
      </c>
      <c r="W30" s="23">
        <f t="shared" si="7"/>
        <v>8.4931506849315067E-2</v>
      </c>
      <c r="X30" s="23">
        <f t="shared" si="7"/>
        <v>8.4931506849315067E-2</v>
      </c>
    </row>
    <row r="31" spans="2:24" s="11" customFormat="1" hidden="1" outlineLevel="1">
      <c r="B31" s="14" t="s">
        <v>68</v>
      </c>
      <c r="L31" s="23">
        <f>IF(L34=1,L30,K31+L30)</f>
        <v>8.4931506849315067E-2</v>
      </c>
      <c r="M31" s="23">
        <f t="shared" ref="M31:X31" si="8">IF(M34=1,M30,L31+M30)</f>
        <v>0.16164383561643836</v>
      </c>
      <c r="N31" s="23">
        <f t="shared" si="8"/>
        <v>0.24657534246575341</v>
      </c>
      <c r="O31" s="23">
        <f t="shared" si="8"/>
        <v>0.32876712328767121</v>
      </c>
      <c r="P31" s="23">
        <f t="shared" si="8"/>
        <v>0.41369863013698627</v>
      </c>
      <c r="Q31" s="23">
        <f t="shared" si="8"/>
        <v>0.49589041095890407</v>
      </c>
      <c r="R31" s="23">
        <f t="shared" si="8"/>
        <v>0.58082191780821912</v>
      </c>
      <c r="S31" s="23">
        <f t="shared" si="8"/>
        <v>0.66575342465753418</v>
      </c>
      <c r="T31" s="23">
        <f t="shared" si="8"/>
        <v>0.74794520547945198</v>
      </c>
      <c r="U31" s="23">
        <f t="shared" si="8"/>
        <v>0.83287671232876703</v>
      </c>
      <c r="V31" s="23">
        <f t="shared" si="8"/>
        <v>0.91506849315068484</v>
      </c>
      <c r="W31" s="23">
        <f t="shared" si="8"/>
        <v>0.99999999999999989</v>
      </c>
      <c r="X31" s="23">
        <f t="shared" si="8"/>
        <v>1.0849315068493151</v>
      </c>
    </row>
    <row r="32" spans="2:24" s="11" customFormat="1" hidden="1" outlineLevel="1">
      <c r="B32" s="14" t="s">
        <v>562</v>
      </c>
      <c r="L32" s="37">
        <f t="shared" ref="L32:X32" si="9">EOMONTH(DATE(L23,1,1),11)-DATE(L23,1,1)+1</f>
        <v>365</v>
      </c>
      <c r="M32" s="37">
        <f t="shared" si="9"/>
        <v>365</v>
      </c>
      <c r="N32" s="37">
        <f t="shared" si="9"/>
        <v>365</v>
      </c>
      <c r="O32" s="37">
        <f t="shared" si="9"/>
        <v>365</v>
      </c>
      <c r="P32" s="37">
        <f t="shared" si="9"/>
        <v>365</v>
      </c>
      <c r="Q32" s="37">
        <f t="shared" si="9"/>
        <v>365</v>
      </c>
      <c r="R32" s="37">
        <f t="shared" si="9"/>
        <v>365</v>
      </c>
      <c r="S32" s="37">
        <f t="shared" si="9"/>
        <v>365</v>
      </c>
      <c r="T32" s="37">
        <f t="shared" si="9"/>
        <v>365</v>
      </c>
      <c r="U32" s="37">
        <f t="shared" si="9"/>
        <v>365</v>
      </c>
      <c r="V32" s="37">
        <f t="shared" si="9"/>
        <v>365</v>
      </c>
      <c r="W32" s="37">
        <f t="shared" si="9"/>
        <v>365</v>
      </c>
      <c r="X32" s="37">
        <f t="shared" si="9"/>
        <v>365</v>
      </c>
    </row>
    <row r="33" spans="2:24" s="11" customFormat="1" hidden="1" outlineLevel="1">
      <c r="B33" s="14" t="s">
        <v>94</v>
      </c>
      <c r="L33" s="37">
        <f>EOMONTH(DATE(L23,Lookup!$F$14+1,1),11)-DATE(L23,Lookup!$F$14+1,1)+1</f>
        <v>365</v>
      </c>
      <c r="M33" s="37">
        <f>EOMONTH(DATE(M23,Lookup!$F$14+1,1),11)-DATE(M23,Lookup!$F$14+1,1)+1</f>
        <v>365</v>
      </c>
      <c r="N33" s="37">
        <f>EOMONTH(DATE(N23,Lookup!$F$14+1,1),11)-DATE(N23,Lookup!$F$14+1,1)+1</f>
        <v>365</v>
      </c>
      <c r="O33" s="37">
        <f>EOMONTH(DATE(O23,Lookup!$F$14+1,1),11)-DATE(O23,Lookup!$F$14+1,1)+1</f>
        <v>365</v>
      </c>
      <c r="P33" s="37">
        <f>EOMONTH(DATE(P23,Lookup!$F$14+1,1),11)-DATE(P23,Lookup!$F$14+1,1)+1</f>
        <v>365</v>
      </c>
      <c r="Q33" s="37">
        <f>EOMONTH(DATE(Q23,Lookup!$F$14+1,1),11)-DATE(Q23,Lookup!$F$14+1,1)+1</f>
        <v>365</v>
      </c>
      <c r="R33" s="37">
        <f>EOMONTH(DATE(R23,Lookup!$F$14+1,1),11)-DATE(R23,Lookup!$F$14+1,1)+1</f>
        <v>365</v>
      </c>
      <c r="S33" s="37">
        <f>EOMONTH(DATE(S23,Lookup!$F$14+1,1),11)-DATE(S23,Lookup!$F$14+1,1)+1</f>
        <v>365</v>
      </c>
      <c r="T33" s="37">
        <f>EOMONTH(DATE(T23,Lookup!$F$14+1,1),11)-DATE(T23,Lookup!$F$14+1,1)+1</f>
        <v>365</v>
      </c>
      <c r="U33" s="37">
        <f>EOMONTH(DATE(U23,Lookup!$F$14+1,1),11)-DATE(U23,Lookup!$F$14+1,1)+1</f>
        <v>365</v>
      </c>
      <c r="V33" s="37">
        <f>EOMONTH(DATE(V23,Lookup!$F$14+1,1),11)-DATE(V23,Lookup!$F$14+1,1)+1</f>
        <v>365</v>
      </c>
      <c r="W33" s="37">
        <f>EOMONTH(DATE(W23,Lookup!$F$14+1,1),11)-DATE(W23,Lookup!$F$14+1,1)+1</f>
        <v>365</v>
      </c>
      <c r="X33" s="37">
        <f>EOMONTH(DATE(X23,Lookup!$F$14+1,1),11)-DATE(X23,Lookup!$F$14+1,1)+1</f>
        <v>366</v>
      </c>
    </row>
    <row r="34" spans="2:24" hidden="1" outlineLevel="1">
      <c r="B34" s="14" t="s">
        <v>19</v>
      </c>
      <c r="L34" s="22">
        <f t="shared" ref="L34:X34" si="10">K34+1</f>
        <v>1</v>
      </c>
      <c r="M34" s="22">
        <f t="shared" si="10"/>
        <v>2</v>
      </c>
      <c r="N34" s="22">
        <f t="shared" si="10"/>
        <v>3</v>
      </c>
      <c r="O34" s="22">
        <f t="shared" si="10"/>
        <v>4</v>
      </c>
      <c r="P34" s="22">
        <f t="shared" si="10"/>
        <v>5</v>
      </c>
      <c r="Q34" s="22">
        <f t="shared" si="10"/>
        <v>6</v>
      </c>
      <c r="R34" s="22">
        <f t="shared" si="10"/>
        <v>7</v>
      </c>
      <c r="S34" s="22">
        <f t="shared" si="10"/>
        <v>8</v>
      </c>
      <c r="T34" s="22">
        <f t="shared" si="10"/>
        <v>9</v>
      </c>
      <c r="U34" s="22">
        <f t="shared" si="10"/>
        <v>10</v>
      </c>
      <c r="V34" s="22">
        <f t="shared" si="10"/>
        <v>11</v>
      </c>
      <c r="W34" s="22">
        <f t="shared" si="10"/>
        <v>12</v>
      </c>
      <c r="X34" s="22">
        <f t="shared" si="10"/>
        <v>13</v>
      </c>
    </row>
    <row r="35" spans="2:24" s="11" customFormat="1" hidden="1" outlineLevel="1">
      <c r="B35" s="14" t="s">
        <v>61</v>
      </c>
      <c r="L35" s="22">
        <f>IF(L34=1,1,K35+CHOOSE(MONTH(L25),1,0,0,1,0,0,1,0,0,1,0,0))</f>
        <v>1</v>
      </c>
      <c r="M35" s="22">
        <f t="shared" ref="M35:X35" si="11">IF(M34=1,1,L35+CHOOSE(MONTH(M25),1,0,0,1,0,0,1,0,0,1,0,0))</f>
        <v>1</v>
      </c>
      <c r="N35" s="22">
        <f t="shared" si="11"/>
        <v>1</v>
      </c>
      <c r="O35" s="22">
        <f t="shared" si="11"/>
        <v>2</v>
      </c>
      <c r="P35" s="22">
        <f t="shared" si="11"/>
        <v>2</v>
      </c>
      <c r="Q35" s="22">
        <f t="shared" si="11"/>
        <v>2</v>
      </c>
      <c r="R35" s="22">
        <f t="shared" si="11"/>
        <v>3</v>
      </c>
      <c r="S35" s="22">
        <f t="shared" si="11"/>
        <v>3</v>
      </c>
      <c r="T35" s="22">
        <f t="shared" si="11"/>
        <v>3</v>
      </c>
      <c r="U35" s="22">
        <f t="shared" si="11"/>
        <v>4</v>
      </c>
      <c r="V35" s="22">
        <f t="shared" si="11"/>
        <v>4</v>
      </c>
      <c r="W35" s="22">
        <f t="shared" si="11"/>
        <v>4</v>
      </c>
      <c r="X35" s="22">
        <f t="shared" si="11"/>
        <v>5</v>
      </c>
    </row>
    <row r="36" spans="2:24" s="11" customFormat="1" hidden="1" outlineLevel="1">
      <c r="B36" s="14" t="s">
        <v>563</v>
      </c>
      <c r="L36" s="22">
        <f>IF(L34=1,1,K36+IF(L23&lt;&gt;K23,1,0))</f>
        <v>1</v>
      </c>
      <c r="M36" s="22">
        <f t="shared" ref="M36:X36" si="12">IF(M34=1,1,L36+IF(M23&lt;&gt;L23,1,0))</f>
        <v>1</v>
      </c>
      <c r="N36" s="22">
        <f t="shared" si="12"/>
        <v>1</v>
      </c>
      <c r="O36" s="22">
        <f t="shared" si="12"/>
        <v>1</v>
      </c>
      <c r="P36" s="22">
        <f t="shared" si="12"/>
        <v>1</v>
      </c>
      <c r="Q36" s="22">
        <f t="shared" si="12"/>
        <v>1</v>
      </c>
      <c r="R36" s="22">
        <f t="shared" si="12"/>
        <v>1</v>
      </c>
      <c r="S36" s="22">
        <f t="shared" si="12"/>
        <v>1</v>
      </c>
      <c r="T36" s="22">
        <f t="shared" si="12"/>
        <v>1</v>
      </c>
      <c r="U36" s="22">
        <f t="shared" si="12"/>
        <v>1</v>
      </c>
      <c r="V36" s="22">
        <f t="shared" si="12"/>
        <v>1</v>
      </c>
      <c r="W36" s="22">
        <f t="shared" si="12"/>
        <v>1</v>
      </c>
      <c r="X36" s="22">
        <f t="shared" si="12"/>
        <v>2</v>
      </c>
    </row>
    <row r="37" spans="2:24" s="11" customFormat="1" hidden="1" outlineLevel="1">
      <c r="B37" s="14" t="s">
        <v>62</v>
      </c>
      <c r="L37" s="22">
        <f>IF(L34=1,1,K37+IF(L24&lt;&gt;K24,1,0))</f>
        <v>1</v>
      </c>
      <c r="M37" s="22">
        <f t="shared" ref="M37:X37" si="13">IF(M34=1,1,L37+IF(M24&lt;&gt;L24,1,0))</f>
        <v>1</v>
      </c>
      <c r="N37" s="22">
        <f t="shared" si="13"/>
        <v>1</v>
      </c>
      <c r="O37" s="22">
        <f t="shared" si="13"/>
        <v>1</v>
      </c>
      <c r="P37" s="22">
        <f t="shared" si="13"/>
        <v>1</v>
      </c>
      <c r="Q37" s="22">
        <f t="shared" si="13"/>
        <v>1</v>
      </c>
      <c r="R37" s="22">
        <f t="shared" si="13"/>
        <v>1</v>
      </c>
      <c r="S37" s="22">
        <f t="shared" si="13"/>
        <v>1</v>
      </c>
      <c r="T37" s="22">
        <f t="shared" si="13"/>
        <v>1</v>
      </c>
      <c r="U37" s="22">
        <f t="shared" si="13"/>
        <v>1</v>
      </c>
      <c r="V37" s="22">
        <f t="shared" si="13"/>
        <v>1</v>
      </c>
      <c r="W37" s="22">
        <f t="shared" si="13"/>
        <v>1</v>
      </c>
      <c r="X37" s="22">
        <f t="shared" si="13"/>
        <v>2</v>
      </c>
    </row>
    <row r="38" spans="2:24" s="3" customFormat="1" hidden="1" outlineLevel="1">
      <c r="B38" s="17" t="s">
        <v>60</v>
      </c>
      <c r="L38" s="41" t="e">
        <f>CHOOSE(#REF!,L34,L35,L36,L37)</f>
        <v>#REF!</v>
      </c>
      <c r="M38" s="41" t="e">
        <f>CHOOSE(#REF!,M34,M35,M36,M37)</f>
        <v>#REF!</v>
      </c>
      <c r="N38" s="41" t="e">
        <f>CHOOSE(#REF!,N34,N35,N36,N37)</f>
        <v>#REF!</v>
      </c>
      <c r="O38" s="41" t="e">
        <f>CHOOSE(#REF!,O34,O35,O36,O37)</f>
        <v>#REF!</v>
      </c>
      <c r="P38" s="41" t="e">
        <f>CHOOSE(#REF!,P34,P35,P36,P37)</f>
        <v>#REF!</v>
      </c>
      <c r="Q38" s="41" t="e">
        <f>CHOOSE(#REF!,Q34,Q35,Q36,Q37)</f>
        <v>#REF!</v>
      </c>
      <c r="R38" s="41" t="e">
        <f>CHOOSE(#REF!,R34,R35,R36,R37)</f>
        <v>#REF!</v>
      </c>
      <c r="S38" s="41" t="e">
        <f>CHOOSE(#REF!,S34,S35,S36,S37)</f>
        <v>#REF!</v>
      </c>
      <c r="T38" s="41" t="e">
        <f>CHOOSE(#REF!,T34,T35,T36,T37)</f>
        <v>#REF!</v>
      </c>
      <c r="U38" s="41" t="e">
        <f>CHOOSE(#REF!,U34,U35,U36,U37)</f>
        <v>#REF!</v>
      </c>
      <c r="V38" s="41" t="e">
        <f>CHOOSE(#REF!,V34,V35,V36,V37)</f>
        <v>#REF!</v>
      </c>
      <c r="W38" s="41" t="e">
        <f>CHOOSE(#REF!,W34,W35,W36,W37)</f>
        <v>#REF!</v>
      </c>
      <c r="X38" s="41" t="e">
        <f>CHOOSE(#REF!,X34,X35,X36,X37)</f>
        <v>#REF!</v>
      </c>
    </row>
    <row r="39" spans="2:24" collapsed="1"/>
    <row r="40" spans="2:24" s="11" customFormat="1">
      <c r="B40" s="66" t="s">
        <v>24</v>
      </c>
    </row>
    <row r="41" spans="2:24" s="9" customFormat="1">
      <c r="B41" s="25" t="s">
        <v>14</v>
      </c>
      <c r="L41" s="26">
        <f t="shared" ref="L41:X41" si="14">L46</f>
        <v>38807</v>
      </c>
      <c r="M41" s="26">
        <f t="shared" si="14"/>
        <v>38898</v>
      </c>
      <c r="N41" s="26">
        <f t="shared" si="14"/>
        <v>38990</v>
      </c>
      <c r="O41" s="26">
        <f t="shared" si="14"/>
        <v>39082</v>
      </c>
      <c r="P41" s="26">
        <f t="shared" si="14"/>
        <v>39172</v>
      </c>
      <c r="Q41" s="26">
        <f t="shared" si="14"/>
        <v>39263</v>
      </c>
      <c r="R41" s="26">
        <f t="shared" si="14"/>
        <v>39355</v>
      </c>
      <c r="S41" s="26">
        <f t="shared" si="14"/>
        <v>39447</v>
      </c>
      <c r="T41" s="26">
        <f t="shared" si="14"/>
        <v>39538</v>
      </c>
      <c r="U41" s="26">
        <f t="shared" si="14"/>
        <v>39629</v>
      </c>
      <c r="V41" s="26">
        <f t="shared" si="14"/>
        <v>39721</v>
      </c>
      <c r="W41" s="26">
        <f t="shared" si="14"/>
        <v>39813</v>
      </c>
      <c r="X41" s="26">
        <f t="shared" si="14"/>
        <v>39903</v>
      </c>
    </row>
    <row r="42" spans="2:24" s="11" customFormat="1" hidden="1" outlineLevel="1">
      <c r="B42" s="15" t="str">
        <f t="shared" ref="B42:B57" si="15">B22</f>
        <v>Calendar Quarter and Year</v>
      </c>
      <c r="L42" s="19" t="str">
        <f t="shared" ref="L42:X42" si="16">CHOOSE(MONTH(L46),Qtr_1,Qtr_1,Qtr_1,Qtr_2,Qtr_2,Qtr_2,Qtr_3,Qtr_3,Qtr_3,Qtr_4,Qtr_4,Qtr_4)&amp;" "&amp;L43&amp;" "</f>
        <v xml:space="preserve">Q1 2006 </v>
      </c>
      <c r="M42" s="19" t="str">
        <f t="shared" si="16"/>
        <v xml:space="preserve">Q2 2006 </v>
      </c>
      <c r="N42" s="19" t="str">
        <f t="shared" si="16"/>
        <v xml:space="preserve">Q3 2006 </v>
      </c>
      <c r="O42" s="19" t="str">
        <f t="shared" si="16"/>
        <v xml:space="preserve">Q4 2006 </v>
      </c>
      <c r="P42" s="19" t="str">
        <f t="shared" si="16"/>
        <v xml:space="preserve">Q1 2007 </v>
      </c>
      <c r="Q42" s="19" t="str">
        <f t="shared" si="16"/>
        <v xml:space="preserve">Q2 2007 </v>
      </c>
      <c r="R42" s="19" t="str">
        <f t="shared" si="16"/>
        <v xml:space="preserve">Q3 2007 </v>
      </c>
      <c r="S42" s="19" t="str">
        <f t="shared" si="16"/>
        <v xml:space="preserve">Q4 2007 </v>
      </c>
      <c r="T42" s="19" t="str">
        <f t="shared" si="16"/>
        <v xml:space="preserve">Q1 2008 </v>
      </c>
      <c r="U42" s="19" t="str">
        <f t="shared" si="16"/>
        <v xml:space="preserve">Q2 2008 </v>
      </c>
      <c r="V42" s="19" t="str">
        <f t="shared" si="16"/>
        <v xml:space="preserve">Q3 2008 </v>
      </c>
      <c r="W42" s="19" t="str">
        <f t="shared" si="16"/>
        <v xml:space="preserve">Q4 2008 </v>
      </c>
      <c r="X42" s="19" t="str">
        <f t="shared" si="16"/>
        <v xml:space="preserve">Q1 2009 </v>
      </c>
    </row>
    <row r="43" spans="2:24" s="11" customFormat="1" hidden="1" outlineLevel="1">
      <c r="B43" s="15" t="str">
        <f t="shared" si="15"/>
        <v>Calendar Year</v>
      </c>
      <c r="L43" s="19">
        <f t="shared" ref="L43:X43" si="17">YEAR(L46)</f>
        <v>2006</v>
      </c>
      <c r="M43" s="19">
        <f t="shared" si="17"/>
        <v>2006</v>
      </c>
      <c r="N43" s="19">
        <f t="shared" si="17"/>
        <v>2006</v>
      </c>
      <c r="O43" s="19">
        <f t="shared" si="17"/>
        <v>2006</v>
      </c>
      <c r="P43" s="19">
        <f t="shared" si="17"/>
        <v>2007</v>
      </c>
      <c r="Q43" s="19">
        <f t="shared" si="17"/>
        <v>2007</v>
      </c>
      <c r="R43" s="19">
        <f t="shared" si="17"/>
        <v>2007</v>
      </c>
      <c r="S43" s="19">
        <f t="shared" si="17"/>
        <v>2007</v>
      </c>
      <c r="T43" s="19">
        <f t="shared" si="17"/>
        <v>2008</v>
      </c>
      <c r="U43" s="19">
        <f t="shared" si="17"/>
        <v>2008</v>
      </c>
      <c r="V43" s="19">
        <f t="shared" si="17"/>
        <v>2008</v>
      </c>
      <c r="W43" s="19">
        <f t="shared" si="17"/>
        <v>2008</v>
      </c>
      <c r="X43" s="19">
        <f t="shared" si="17"/>
        <v>2009</v>
      </c>
    </row>
    <row r="44" spans="2:24" s="11" customFormat="1" hidden="1" outlineLevel="1">
      <c r="B44" s="15" t="str">
        <f t="shared" si="15"/>
        <v>Financial Year</v>
      </c>
      <c r="L44" s="19">
        <f>L43+1*(Lookup!$F$14&lt;MONTH(L46))</f>
        <v>2006</v>
      </c>
      <c r="M44" s="19">
        <f>M43+1*(Lookup!$F$14&lt;MONTH(M46))</f>
        <v>2006</v>
      </c>
      <c r="N44" s="19">
        <f>N43+1*(Lookup!$F$14&lt;MONTH(N46))</f>
        <v>2006</v>
      </c>
      <c r="O44" s="19">
        <f>O43+1*(Lookup!$F$14&lt;MONTH(O46))</f>
        <v>2006</v>
      </c>
      <c r="P44" s="19">
        <f>P43+1*(Lookup!$F$14&lt;MONTH(P46))</f>
        <v>2007</v>
      </c>
      <c r="Q44" s="19">
        <f>Q43+1*(Lookup!$F$14&lt;MONTH(Q46))</f>
        <v>2007</v>
      </c>
      <c r="R44" s="19">
        <f>R43+1*(Lookup!$F$14&lt;MONTH(R46))</f>
        <v>2007</v>
      </c>
      <c r="S44" s="19">
        <f>S43+1*(Lookup!$F$14&lt;MONTH(S46))</f>
        <v>2007</v>
      </c>
      <c r="T44" s="19">
        <f>T43+1*(Lookup!$F$14&lt;MONTH(T46))</f>
        <v>2008</v>
      </c>
      <c r="U44" s="19">
        <f>U43+1*(Lookup!$F$14&lt;MONTH(U46))</f>
        <v>2008</v>
      </c>
      <c r="V44" s="19">
        <f>V43+1*(Lookup!$F$14&lt;MONTH(V46))</f>
        <v>2008</v>
      </c>
      <c r="W44" s="19">
        <f>W43+1*(Lookup!$F$14&lt;MONTH(W46))</f>
        <v>2008</v>
      </c>
      <c r="X44" s="19">
        <f>X43+1*(Lookup!$F$14&lt;MONTH(X46))</f>
        <v>2009</v>
      </c>
    </row>
    <row r="45" spans="2:24" s="11" customFormat="1" hidden="1" outlineLevel="1">
      <c r="B45" s="15" t="str">
        <f t="shared" si="15"/>
        <v>Period Start Date (From Start of Day...)</v>
      </c>
      <c r="L45" s="20">
        <f>IF(L54=1,Lookup!$F$13,K46+1)</f>
        <v>38718</v>
      </c>
      <c r="M45" s="20">
        <f>IF(M54=1,Lookup!$F$13,L46+1)</f>
        <v>38808</v>
      </c>
      <c r="N45" s="20">
        <f>IF(N54=1,Lookup!$F$13,M46+1)</f>
        <v>38899</v>
      </c>
      <c r="O45" s="20">
        <f>IF(O54=1,Lookup!$F$13,N46+1)</f>
        <v>38991</v>
      </c>
      <c r="P45" s="20">
        <f>IF(P54=1,Lookup!$F$13,O46+1)</f>
        <v>39083</v>
      </c>
      <c r="Q45" s="20">
        <f>IF(Q54=1,Lookup!$F$13,P46+1)</f>
        <v>39173</v>
      </c>
      <c r="R45" s="20">
        <f>IF(R54=1,Lookup!$F$13,Q46+1)</f>
        <v>39264</v>
      </c>
      <c r="S45" s="20">
        <f>IF(S54=1,Lookup!$F$13,R46+1)</f>
        <v>39356</v>
      </c>
      <c r="T45" s="20">
        <f>IF(T54=1,Lookup!$F$13,S46+1)</f>
        <v>39448</v>
      </c>
      <c r="U45" s="20">
        <f>IF(U54=1,Lookup!$F$13,T46+1)</f>
        <v>39539</v>
      </c>
      <c r="V45" s="20">
        <f>IF(V54=1,Lookup!$F$13,U46+1)</f>
        <v>39630</v>
      </c>
      <c r="W45" s="20">
        <f>IF(W54=1,Lookup!$F$13,V46+1)</f>
        <v>39722</v>
      </c>
      <c r="X45" s="20">
        <f>IF(X54=1,Lookup!$F$13,W46+1)</f>
        <v>39814</v>
      </c>
    </row>
    <row r="46" spans="2:24" s="11" customFormat="1" hidden="1" outlineLevel="1">
      <c r="B46" s="15" t="str">
        <f t="shared" si="15"/>
        <v>Period End Date (Until End of Day...)</v>
      </c>
      <c r="L46" s="20">
        <f t="shared" ref="L46:X46" si="18">EOMONTH(L45,L47-1)</f>
        <v>38807</v>
      </c>
      <c r="M46" s="20">
        <f t="shared" si="18"/>
        <v>38898</v>
      </c>
      <c r="N46" s="20">
        <f t="shared" si="18"/>
        <v>38990</v>
      </c>
      <c r="O46" s="20">
        <f t="shared" si="18"/>
        <v>39082</v>
      </c>
      <c r="P46" s="20">
        <f t="shared" si="18"/>
        <v>39172</v>
      </c>
      <c r="Q46" s="20">
        <f t="shared" si="18"/>
        <v>39263</v>
      </c>
      <c r="R46" s="20">
        <f t="shared" si="18"/>
        <v>39355</v>
      </c>
      <c r="S46" s="20">
        <f t="shared" si="18"/>
        <v>39447</v>
      </c>
      <c r="T46" s="20">
        <f t="shared" si="18"/>
        <v>39538</v>
      </c>
      <c r="U46" s="20">
        <f t="shared" si="18"/>
        <v>39629</v>
      </c>
      <c r="V46" s="20">
        <f t="shared" si="18"/>
        <v>39721</v>
      </c>
      <c r="W46" s="20">
        <f t="shared" si="18"/>
        <v>39813</v>
      </c>
      <c r="X46" s="20">
        <f t="shared" si="18"/>
        <v>39903</v>
      </c>
    </row>
    <row r="47" spans="2:24" s="11" customFormat="1" hidden="1" outlineLevel="1">
      <c r="B47" s="15" t="str">
        <f t="shared" si="15"/>
        <v>Months in Period</v>
      </c>
      <c r="L47" s="22">
        <f t="shared" ref="L47:X47" si="19">Mths_In_Qtr-IF(L54=1,INDEX(Mth_Count_In_Qtr,MONTH(L45))-1,0)</f>
        <v>3</v>
      </c>
      <c r="M47" s="22">
        <f t="shared" si="19"/>
        <v>3</v>
      </c>
      <c r="N47" s="22">
        <f t="shared" si="19"/>
        <v>3</v>
      </c>
      <c r="O47" s="22">
        <f t="shared" si="19"/>
        <v>3</v>
      </c>
      <c r="P47" s="22">
        <f t="shared" si="19"/>
        <v>3</v>
      </c>
      <c r="Q47" s="22">
        <f t="shared" si="19"/>
        <v>3</v>
      </c>
      <c r="R47" s="22">
        <f t="shared" si="19"/>
        <v>3</v>
      </c>
      <c r="S47" s="22">
        <f t="shared" si="19"/>
        <v>3</v>
      </c>
      <c r="T47" s="22">
        <f t="shared" si="19"/>
        <v>3</v>
      </c>
      <c r="U47" s="22">
        <f t="shared" si="19"/>
        <v>3</v>
      </c>
      <c r="V47" s="22">
        <f t="shared" si="19"/>
        <v>3</v>
      </c>
      <c r="W47" s="22">
        <f t="shared" si="19"/>
        <v>3</v>
      </c>
      <c r="X47" s="22">
        <f t="shared" si="19"/>
        <v>3</v>
      </c>
    </row>
    <row r="48" spans="2:24" s="11" customFormat="1" hidden="1" outlineLevel="1">
      <c r="B48" s="15" t="str">
        <f t="shared" si="15"/>
        <v>Days in Period</v>
      </c>
      <c r="L48" s="22">
        <f t="shared" ref="L48:X48" si="20">L46-L45+1</f>
        <v>90</v>
      </c>
      <c r="M48" s="22">
        <f t="shared" si="20"/>
        <v>91</v>
      </c>
      <c r="N48" s="22">
        <f t="shared" si="20"/>
        <v>92</v>
      </c>
      <c r="O48" s="22">
        <f t="shared" si="20"/>
        <v>92</v>
      </c>
      <c r="P48" s="22">
        <f t="shared" si="20"/>
        <v>90</v>
      </c>
      <c r="Q48" s="22">
        <f t="shared" si="20"/>
        <v>91</v>
      </c>
      <c r="R48" s="22">
        <f t="shared" si="20"/>
        <v>92</v>
      </c>
      <c r="S48" s="22">
        <f t="shared" si="20"/>
        <v>92</v>
      </c>
      <c r="T48" s="22">
        <f t="shared" si="20"/>
        <v>91</v>
      </c>
      <c r="U48" s="22">
        <f t="shared" si="20"/>
        <v>91</v>
      </c>
      <c r="V48" s="22">
        <f t="shared" si="20"/>
        <v>92</v>
      </c>
      <c r="W48" s="22">
        <f t="shared" si="20"/>
        <v>92</v>
      </c>
      <c r="X48" s="22">
        <f t="shared" si="20"/>
        <v>90</v>
      </c>
    </row>
    <row r="49" spans="2:24" s="11" customFormat="1" hidden="1" outlineLevel="1">
      <c r="B49" s="15" t="str">
        <f t="shared" si="15"/>
        <v>Fridays in Period</v>
      </c>
      <c r="L49" s="37">
        <f t="shared" ref="L49:X49" si="21">INT((L48-MOD(Fri-WEEKDAY(L45,2),Days_In_Wk)-1)/Days_In_Wk)+1</f>
        <v>13</v>
      </c>
      <c r="M49" s="37">
        <f t="shared" si="21"/>
        <v>13</v>
      </c>
      <c r="N49" s="37">
        <f t="shared" si="21"/>
        <v>13</v>
      </c>
      <c r="O49" s="37">
        <f t="shared" si="21"/>
        <v>13</v>
      </c>
      <c r="P49" s="37">
        <f t="shared" si="21"/>
        <v>13</v>
      </c>
      <c r="Q49" s="37">
        <f t="shared" si="21"/>
        <v>13</v>
      </c>
      <c r="R49" s="37">
        <f t="shared" si="21"/>
        <v>13</v>
      </c>
      <c r="S49" s="37">
        <f t="shared" si="21"/>
        <v>13</v>
      </c>
      <c r="T49" s="37">
        <f t="shared" si="21"/>
        <v>13</v>
      </c>
      <c r="U49" s="37">
        <f t="shared" si="21"/>
        <v>13</v>
      </c>
      <c r="V49" s="37">
        <f t="shared" si="21"/>
        <v>13</v>
      </c>
      <c r="W49" s="37">
        <f t="shared" si="21"/>
        <v>13</v>
      </c>
      <c r="X49" s="37">
        <f t="shared" si="21"/>
        <v>13</v>
      </c>
    </row>
    <row r="50" spans="2:24" s="11" customFormat="1" hidden="1" outlineLevel="1">
      <c r="B50" s="15" t="str">
        <f t="shared" si="15"/>
        <v>Year Fraction</v>
      </c>
      <c r="L50" s="23">
        <f t="shared" ref="L50:X50" si="22">YEARFRAC(L45,L46+1,1)</f>
        <v>0.24657534246575341</v>
      </c>
      <c r="M50" s="23">
        <f t="shared" si="22"/>
        <v>0.24931506849315069</v>
      </c>
      <c r="N50" s="23">
        <f t="shared" si="22"/>
        <v>0.25205479452054796</v>
      </c>
      <c r="O50" s="23">
        <f t="shared" si="22"/>
        <v>0.25205479452054796</v>
      </c>
      <c r="P50" s="23">
        <f t="shared" si="22"/>
        <v>0.24657534246575341</v>
      </c>
      <c r="Q50" s="23">
        <f t="shared" si="22"/>
        <v>0.24931506849315069</v>
      </c>
      <c r="R50" s="23">
        <f t="shared" si="22"/>
        <v>0.25205479452054796</v>
      </c>
      <c r="S50" s="23">
        <f t="shared" si="22"/>
        <v>0.25205479452054796</v>
      </c>
      <c r="T50" s="23">
        <f t="shared" si="22"/>
        <v>0.24863387978142076</v>
      </c>
      <c r="U50" s="23">
        <f t="shared" si="22"/>
        <v>0.24863387978142076</v>
      </c>
      <c r="V50" s="23">
        <f t="shared" si="22"/>
        <v>0.25136612021857924</v>
      </c>
      <c r="W50" s="23">
        <f t="shared" si="22"/>
        <v>0.25205479452054796</v>
      </c>
      <c r="X50" s="23">
        <f t="shared" si="22"/>
        <v>0.24657534246575341</v>
      </c>
    </row>
    <row r="51" spans="2:24" s="11" customFormat="1" hidden="1" outlineLevel="1">
      <c r="B51" s="15" t="str">
        <f t="shared" si="15"/>
        <v>Cumulative Year Fraction</v>
      </c>
      <c r="L51" s="23">
        <f>IF(L54=1,L50,K51+L50)</f>
        <v>0.24657534246575341</v>
      </c>
      <c r="M51" s="23">
        <f t="shared" ref="M51" si="23">IF(M54=1,M50,L51+M50)</f>
        <v>0.49589041095890407</v>
      </c>
      <c r="N51" s="23">
        <f t="shared" ref="N51" si="24">IF(N54=1,N50,M51+N50)</f>
        <v>0.74794520547945198</v>
      </c>
      <c r="O51" s="23">
        <f t="shared" ref="O51" si="25">IF(O54=1,O50,N51+O50)</f>
        <v>1</v>
      </c>
      <c r="P51" s="23">
        <f t="shared" ref="P51" si="26">IF(P54=1,P50,O51+P50)</f>
        <v>1.2465753424657535</v>
      </c>
      <c r="Q51" s="23">
        <f t="shared" ref="Q51" si="27">IF(Q54=1,Q50,P51+Q50)</f>
        <v>1.4958904109589042</v>
      </c>
      <c r="R51" s="23">
        <f t="shared" ref="R51" si="28">IF(R54=1,R50,Q51+R50)</f>
        <v>1.7479452054794522</v>
      </c>
      <c r="S51" s="23">
        <f t="shared" ref="S51" si="29">IF(S54=1,S50,R51+S50)</f>
        <v>2</v>
      </c>
      <c r="T51" s="23">
        <f t="shared" ref="T51" si="30">IF(T54=1,T50,S51+T50)</f>
        <v>2.2486338797814209</v>
      </c>
      <c r="U51" s="23">
        <f t="shared" ref="U51" si="31">IF(U54=1,U50,T51+U50)</f>
        <v>2.4972677595628419</v>
      </c>
      <c r="V51" s="23">
        <f t="shared" ref="V51" si="32">IF(V54=1,V50,U51+V50)</f>
        <v>2.7486338797814209</v>
      </c>
      <c r="W51" s="23">
        <f t="shared" ref="W51" si="33">IF(W54=1,W50,V51+W50)</f>
        <v>3.0006886743019687</v>
      </c>
      <c r="X51" s="23">
        <f t="shared" ref="X51" si="34">IF(X54=1,X50,W51+X50)</f>
        <v>3.2472640167677223</v>
      </c>
    </row>
    <row r="52" spans="2:24" s="11" customFormat="1" hidden="1" outlineLevel="1">
      <c r="B52" s="15" t="str">
        <f t="shared" si="15"/>
        <v>Days in Calendar Year</v>
      </c>
      <c r="L52" s="37">
        <f t="shared" ref="L52:X52" si="35">EOMONTH(DATE(L43,1,1),11)-DATE(L43,1,1)+1</f>
        <v>365</v>
      </c>
      <c r="M52" s="37">
        <f t="shared" si="35"/>
        <v>365</v>
      </c>
      <c r="N52" s="37">
        <f t="shared" si="35"/>
        <v>365</v>
      </c>
      <c r="O52" s="37">
        <f t="shared" si="35"/>
        <v>365</v>
      </c>
      <c r="P52" s="37">
        <f t="shared" si="35"/>
        <v>365</v>
      </c>
      <c r="Q52" s="37">
        <f t="shared" si="35"/>
        <v>365</v>
      </c>
      <c r="R52" s="37">
        <f t="shared" si="35"/>
        <v>365</v>
      </c>
      <c r="S52" s="37">
        <f t="shared" si="35"/>
        <v>365</v>
      </c>
      <c r="T52" s="37">
        <f t="shared" si="35"/>
        <v>366</v>
      </c>
      <c r="U52" s="37">
        <f t="shared" si="35"/>
        <v>366</v>
      </c>
      <c r="V52" s="37">
        <f t="shared" si="35"/>
        <v>366</v>
      </c>
      <c r="W52" s="37">
        <f t="shared" si="35"/>
        <v>366</v>
      </c>
      <c r="X52" s="37">
        <f t="shared" si="35"/>
        <v>365</v>
      </c>
    </row>
    <row r="53" spans="2:24" s="11" customFormat="1" hidden="1" outlineLevel="1">
      <c r="B53" s="15" t="str">
        <f t="shared" si="15"/>
        <v>Days in Financial Year</v>
      </c>
      <c r="L53" s="37">
        <f>EOMONTH(DATE(L43,Lookup!$F$14+1,1),11)-DATE(L43,Lookup!$F$14+1,1)+1</f>
        <v>365</v>
      </c>
      <c r="M53" s="37">
        <f>EOMONTH(DATE(M43,Lookup!$F$14+1,1),11)-DATE(M43,Lookup!$F$14+1,1)+1</f>
        <v>365</v>
      </c>
      <c r="N53" s="37">
        <f>EOMONTH(DATE(N43,Lookup!$F$14+1,1),11)-DATE(N43,Lookup!$F$14+1,1)+1</f>
        <v>365</v>
      </c>
      <c r="O53" s="37">
        <f>EOMONTH(DATE(O43,Lookup!$F$14+1,1),11)-DATE(O43,Lookup!$F$14+1,1)+1</f>
        <v>365</v>
      </c>
      <c r="P53" s="37">
        <f>EOMONTH(DATE(P43,Lookup!$F$14+1,1),11)-DATE(P43,Lookup!$F$14+1,1)+1</f>
        <v>366</v>
      </c>
      <c r="Q53" s="37">
        <f>EOMONTH(DATE(Q43,Lookup!$F$14+1,1),11)-DATE(Q43,Lookup!$F$14+1,1)+1</f>
        <v>366</v>
      </c>
      <c r="R53" s="37">
        <f>EOMONTH(DATE(R43,Lookup!$F$14+1,1),11)-DATE(R43,Lookup!$F$14+1,1)+1</f>
        <v>366</v>
      </c>
      <c r="S53" s="37">
        <f>EOMONTH(DATE(S43,Lookup!$F$14+1,1),11)-DATE(S43,Lookup!$F$14+1,1)+1</f>
        <v>366</v>
      </c>
      <c r="T53" s="37">
        <f>EOMONTH(DATE(T43,Lookup!$F$14+1,1),11)-DATE(T43,Lookup!$F$14+1,1)+1</f>
        <v>365</v>
      </c>
      <c r="U53" s="37">
        <f>EOMONTH(DATE(U43,Lookup!$F$14+1,1),11)-DATE(U43,Lookup!$F$14+1,1)+1</f>
        <v>365</v>
      </c>
      <c r="V53" s="37">
        <f>EOMONTH(DATE(V43,Lookup!$F$14+1,1),11)-DATE(V43,Lookup!$F$14+1,1)+1</f>
        <v>365</v>
      </c>
      <c r="W53" s="37">
        <f>EOMONTH(DATE(W43,Lookup!$F$14+1,1),11)-DATE(W43,Lookup!$F$14+1,1)+1</f>
        <v>365</v>
      </c>
      <c r="X53" s="37">
        <f>EOMONTH(DATE(X43,Lookup!$F$14+1,1),11)-DATE(X43,Lookup!$F$14+1,1)+1</f>
        <v>365</v>
      </c>
    </row>
    <row r="54" spans="2:24" s="11" customFormat="1" hidden="1" outlineLevel="1">
      <c r="B54" s="15" t="str">
        <f t="shared" si="15"/>
        <v>Counter</v>
      </c>
      <c r="L54" s="22">
        <f t="shared" ref="L54" si="36">K54+1</f>
        <v>1</v>
      </c>
      <c r="M54" s="22">
        <f t="shared" ref="M54" si="37">L54+1</f>
        <v>2</v>
      </c>
      <c r="N54" s="22">
        <f t="shared" ref="N54" si="38">M54+1</f>
        <v>3</v>
      </c>
      <c r="O54" s="22">
        <f t="shared" ref="O54" si="39">N54+1</f>
        <v>4</v>
      </c>
      <c r="P54" s="22">
        <f t="shared" ref="P54" si="40">O54+1</f>
        <v>5</v>
      </c>
      <c r="Q54" s="22">
        <f t="shared" ref="Q54" si="41">P54+1</f>
        <v>6</v>
      </c>
      <c r="R54" s="22">
        <f t="shared" ref="R54" si="42">Q54+1</f>
        <v>7</v>
      </c>
      <c r="S54" s="22">
        <f t="shared" ref="S54" si="43">R54+1</f>
        <v>8</v>
      </c>
      <c r="T54" s="22">
        <f t="shared" ref="T54" si="44">S54+1</f>
        <v>9</v>
      </c>
      <c r="U54" s="22">
        <f t="shared" ref="U54" si="45">T54+1</f>
        <v>10</v>
      </c>
      <c r="V54" s="22">
        <f t="shared" ref="V54" si="46">U54+1</f>
        <v>11</v>
      </c>
      <c r="W54" s="22">
        <f t="shared" ref="W54" si="47">V54+1</f>
        <v>12</v>
      </c>
      <c r="X54" s="22">
        <f t="shared" ref="X54" si="48">W54+1</f>
        <v>13</v>
      </c>
    </row>
    <row r="55" spans="2:24" s="11" customFormat="1" hidden="1" outlineLevel="1">
      <c r="B55" s="15" t="str">
        <f t="shared" si="15"/>
        <v>Quarter Counter</v>
      </c>
      <c r="L55" s="22">
        <f>L54</f>
        <v>1</v>
      </c>
      <c r="M55" s="22">
        <f t="shared" ref="M55:X55" si="49">M54</f>
        <v>2</v>
      </c>
      <c r="N55" s="22">
        <f t="shared" si="49"/>
        <v>3</v>
      </c>
      <c r="O55" s="22">
        <f t="shared" si="49"/>
        <v>4</v>
      </c>
      <c r="P55" s="22">
        <f t="shared" si="49"/>
        <v>5</v>
      </c>
      <c r="Q55" s="22">
        <f t="shared" si="49"/>
        <v>6</v>
      </c>
      <c r="R55" s="22">
        <f t="shared" si="49"/>
        <v>7</v>
      </c>
      <c r="S55" s="22">
        <f t="shared" si="49"/>
        <v>8</v>
      </c>
      <c r="T55" s="22">
        <f t="shared" si="49"/>
        <v>9</v>
      </c>
      <c r="U55" s="22">
        <f t="shared" si="49"/>
        <v>10</v>
      </c>
      <c r="V55" s="22">
        <f t="shared" si="49"/>
        <v>11</v>
      </c>
      <c r="W55" s="22">
        <f t="shared" si="49"/>
        <v>12</v>
      </c>
      <c r="X55" s="22">
        <f t="shared" si="49"/>
        <v>13</v>
      </c>
    </row>
    <row r="56" spans="2:24" s="11" customFormat="1" hidden="1" outlineLevel="1">
      <c r="B56" s="15" t="str">
        <f t="shared" si="15"/>
        <v>Calendar Year Counter</v>
      </c>
      <c r="L56" s="22">
        <f>IF(L54=1,1,K56+IF(L43&lt;&gt;K43,1,0))</f>
        <v>1</v>
      </c>
      <c r="M56" s="22">
        <f t="shared" ref="M56:X56" si="50">IF(M54=1,1,L56+IF(M43&lt;&gt;L43,1,0))</f>
        <v>1</v>
      </c>
      <c r="N56" s="22">
        <f t="shared" si="50"/>
        <v>1</v>
      </c>
      <c r="O56" s="22">
        <f t="shared" si="50"/>
        <v>1</v>
      </c>
      <c r="P56" s="22">
        <f t="shared" si="50"/>
        <v>2</v>
      </c>
      <c r="Q56" s="22">
        <f t="shared" si="50"/>
        <v>2</v>
      </c>
      <c r="R56" s="22">
        <f t="shared" si="50"/>
        <v>2</v>
      </c>
      <c r="S56" s="22">
        <f t="shared" si="50"/>
        <v>2</v>
      </c>
      <c r="T56" s="22">
        <f t="shared" si="50"/>
        <v>3</v>
      </c>
      <c r="U56" s="22">
        <f t="shared" si="50"/>
        <v>3</v>
      </c>
      <c r="V56" s="22">
        <f t="shared" si="50"/>
        <v>3</v>
      </c>
      <c r="W56" s="22">
        <f t="shared" si="50"/>
        <v>3</v>
      </c>
      <c r="X56" s="22">
        <f t="shared" si="50"/>
        <v>4</v>
      </c>
    </row>
    <row r="57" spans="2:24" s="11" customFormat="1" hidden="1" outlineLevel="1">
      <c r="B57" s="15" t="str">
        <f t="shared" si="15"/>
        <v>Financial Year Counter</v>
      </c>
      <c r="L57" s="22">
        <f>IF(L54=1,1,K57+IF(L44&lt;&gt;K44,1,0))</f>
        <v>1</v>
      </c>
      <c r="M57" s="22">
        <f t="shared" ref="M57:X57" si="51">IF(M54=1,1,L57+IF(M44&lt;&gt;L44,1,0))</f>
        <v>1</v>
      </c>
      <c r="N57" s="22">
        <f t="shared" si="51"/>
        <v>1</v>
      </c>
      <c r="O57" s="22">
        <f t="shared" si="51"/>
        <v>1</v>
      </c>
      <c r="P57" s="22">
        <f t="shared" si="51"/>
        <v>2</v>
      </c>
      <c r="Q57" s="22">
        <f t="shared" si="51"/>
        <v>2</v>
      </c>
      <c r="R57" s="22">
        <f t="shared" si="51"/>
        <v>2</v>
      </c>
      <c r="S57" s="22">
        <f t="shared" si="51"/>
        <v>2</v>
      </c>
      <c r="T57" s="22">
        <f t="shared" si="51"/>
        <v>3</v>
      </c>
      <c r="U57" s="22">
        <f t="shared" si="51"/>
        <v>3</v>
      </c>
      <c r="V57" s="22">
        <f t="shared" si="51"/>
        <v>3</v>
      </c>
      <c r="W57" s="22">
        <f t="shared" si="51"/>
        <v>3</v>
      </c>
      <c r="X57" s="22">
        <f t="shared" si="51"/>
        <v>4</v>
      </c>
    </row>
    <row r="58" spans="2:24" s="9" customFormat="1" hidden="1" outlineLevel="1">
      <c r="B58" s="27" t="str">
        <f t="shared" ref="B58" si="52">B38</f>
        <v>Dashboard Counter</v>
      </c>
      <c r="L58" s="41" t="e">
        <f>CHOOSE(#REF!,0,L55,L56,L57)</f>
        <v>#REF!</v>
      </c>
      <c r="M58" s="41" t="e">
        <f>CHOOSE(#REF!,0,M55,M56,M57)</f>
        <v>#REF!</v>
      </c>
      <c r="N58" s="41" t="e">
        <f>CHOOSE(#REF!,0,N55,N56,N57)</f>
        <v>#REF!</v>
      </c>
      <c r="O58" s="41" t="e">
        <f>CHOOSE(#REF!,0,O55,O56,O57)</f>
        <v>#REF!</v>
      </c>
      <c r="P58" s="41" t="e">
        <f>CHOOSE(#REF!,0,P55,P56,P57)</f>
        <v>#REF!</v>
      </c>
      <c r="Q58" s="41" t="e">
        <f>CHOOSE(#REF!,0,Q55,Q56,Q57)</f>
        <v>#REF!</v>
      </c>
      <c r="R58" s="41" t="e">
        <f>CHOOSE(#REF!,0,R55,R56,R57)</f>
        <v>#REF!</v>
      </c>
      <c r="S58" s="41" t="e">
        <f>CHOOSE(#REF!,0,S55,S56,S57)</f>
        <v>#REF!</v>
      </c>
      <c r="T58" s="41" t="e">
        <f>CHOOSE(#REF!,0,T55,T56,T57)</f>
        <v>#REF!</v>
      </c>
      <c r="U58" s="41" t="e">
        <f>CHOOSE(#REF!,0,U55,U56,U57)</f>
        <v>#REF!</v>
      </c>
      <c r="V58" s="41" t="e">
        <f>CHOOSE(#REF!,0,V55,V56,V57)</f>
        <v>#REF!</v>
      </c>
      <c r="W58" s="41" t="e">
        <f>CHOOSE(#REF!,0,W55,W56,W57)</f>
        <v>#REF!</v>
      </c>
      <c r="X58" s="41" t="e">
        <f>CHOOSE(#REF!,0,X55,X56,X57)</f>
        <v>#REF!</v>
      </c>
    </row>
    <row r="59" spans="2:24" s="11" customFormat="1" collapsed="1"/>
    <row r="60" spans="2:24" s="11" customFormat="1">
      <c r="B60" s="66" t="s">
        <v>90</v>
      </c>
    </row>
    <row r="61" spans="2:24" s="9" customFormat="1">
      <c r="B61" s="25" t="s">
        <v>14</v>
      </c>
      <c r="L61" s="26">
        <f t="shared" ref="L61:X61" si="53">L66</f>
        <v>39082</v>
      </c>
      <c r="M61" s="26">
        <f t="shared" si="53"/>
        <v>39447</v>
      </c>
      <c r="N61" s="26">
        <f t="shared" si="53"/>
        <v>39813</v>
      </c>
      <c r="O61" s="26">
        <f t="shared" si="53"/>
        <v>40178</v>
      </c>
      <c r="P61" s="26">
        <f t="shared" si="53"/>
        <v>40543</v>
      </c>
      <c r="Q61" s="26">
        <f t="shared" si="53"/>
        <v>40908</v>
      </c>
      <c r="R61" s="26">
        <f t="shared" si="53"/>
        <v>41274</v>
      </c>
      <c r="S61" s="26">
        <f t="shared" si="53"/>
        <v>41639</v>
      </c>
      <c r="T61" s="26">
        <f t="shared" si="53"/>
        <v>42004</v>
      </c>
      <c r="U61" s="26">
        <f t="shared" si="53"/>
        <v>42369</v>
      </c>
      <c r="V61" s="26">
        <f t="shared" si="53"/>
        <v>42735</v>
      </c>
      <c r="W61" s="26">
        <f t="shared" si="53"/>
        <v>43100</v>
      </c>
      <c r="X61" s="26">
        <f t="shared" si="53"/>
        <v>43465</v>
      </c>
    </row>
    <row r="62" spans="2:24" s="11" customFormat="1" hidden="1" outlineLevel="1">
      <c r="B62" s="15" t="str">
        <f t="shared" ref="B62:B77" si="54">B22</f>
        <v>Calendar Quarter and Year</v>
      </c>
      <c r="L62" s="19" t="str">
        <f t="shared" ref="L62:X62" si="55">CHOOSE(MONTH(L66),Qtr_1,Qtr_1,Qtr_1,Qtr_2,Qtr_2,Qtr_2,Qtr_3,Qtr_3,Qtr_3,Qtr_4,Qtr_4,Qtr_4)&amp;" "&amp;L63&amp;" "</f>
        <v xml:space="preserve">Q4 2006 </v>
      </c>
      <c r="M62" s="19" t="str">
        <f t="shared" si="55"/>
        <v xml:space="preserve">Q4 2007 </v>
      </c>
      <c r="N62" s="19" t="str">
        <f t="shared" si="55"/>
        <v xml:space="preserve">Q4 2008 </v>
      </c>
      <c r="O62" s="19" t="str">
        <f t="shared" si="55"/>
        <v xml:space="preserve">Q4 2009 </v>
      </c>
      <c r="P62" s="19" t="str">
        <f t="shared" si="55"/>
        <v xml:space="preserve">Q4 2010 </v>
      </c>
      <c r="Q62" s="19" t="str">
        <f t="shared" si="55"/>
        <v xml:space="preserve">Q4 2011 </v>
      </c>
      <c r="R62" s="19" t="str">
        <f t="shared" si="55"/>
        <v xml:space="preserve">Q4 2012 </v>
      </c>
      <c r="S62" s="19" t="str">
        <f t="shared" si="55"/>
        <v xml:space="preserve">Q4 2013 </v>
      </c>
      <c r="T62" s="19" t="str">
        <f t="shared" si="55"/>
        <v xml:space="preserve">Q4 2014 </v>
      </c>
      <c r="U62" s="19" t="str">
        <f t="shared" si="55"/>
        <v xml:space="preserve">Q4 2015 </v>
      </c>
      <c r="V62" s="19" t="str">
        <f t="shared" si="55"/>
        <v xml:space="preserve">Q4 2016 </v>
      </c>
      <c r="W62" s="19" t="str">
        <f t="shared" si="55"/>
        <v xml:space="preserve">Q4 2017 </v>
      </c>
      <c r="X62" s="19" t="str">
        <f t="shared" si="55"/>
        <v xml:space="preserve">Q4 2018 </v>
      </c>
    </row>
    <row r="63" spans="2:24" s="11" customFormat="1" hidden="1" outlineLevel="1">
      <c r="B63" s="15" t="str">
        <f t="shared" si="54"/>
        <v>Calendar Year</v>
      </c>
      <c r="L63" s="19">
        <f t="shared" ref="L63:X63" si="56">YEAR(L66)</f>
        <v>2006</v>
      </c>
      <c r="M63" s="19">
        <f t="shared" si="56"/>
        <v>2007</v>
      </c>
      <c r="N63" s="19">
        <f t="shared" si="56"/>
        <v>2008</v>
      </c>
      <c r="O63" s="19">
        <f t="shared" si="56"/>
        <v>2009</v>
      </c>
      <c r="P63" s="19">
        <f t="shared" si="56"/>
        <v>2010</v>
      </c>
      <c r="Q63" s="19">
        <f t="shared" si="56"/>
        <v>2011</v>
      </c>
      <c r="R63" s="19">
        <f t="shared" si="56"/>
        <v>2012</v>
      </c>
      <c r="S63" s="19">
        <f t="shared" si="56"/>
        <v>2013</v>
      </c>
      <c r="T63" s="19">
        <f t="shared" si="56"/>
        <v>2014</v>
      </c>
      <c r="U63" s="19">
        <f t="shared" si="56"/>
        <v>2015</v>
      </c>
      <c r="V63" s="19">
        <f t="shared" si="56"/>
        <v>2016</v>
      </c>
      <c r="W63" s="19">
        <f t="shared" si="56"/>
        <v>2017</v>
      </c>
      <c r="X63" s="19">
        <f t="shared" si="56"/>
        <v>2018</v>
      </c>
    </row>
    <row r="64" spans="2:24" s="11" customFormat="1" hidden="1" outlineLevel="1">
      <c r="B64" s="15" t="str">
        <f t="shared" si="54"/>
        <v>Financial Year</v>
      </c>
      <c r="L64" s="19">
        <f>L63+1*(Lookup!$F$14&lt;MONTH(L66))</f>
        <v>2006</v>
      </c>
      <c r="M64" s="19">
        <f>M63+1*(Lookup!$F$14&lt;MONTH(M66))</f>
        <v>2007</v>
      </c>
      <c r="N64" s="19">
        <f>N63+1*(Lookup!$F$14&lt;MONTH(N66))</f>
        <v>2008</v>
      </c>
      <c r="O64" s="19">
        <f>O63+1*(Lookup!$F$14&lt;MONTH(O66))</f>
        <v>2009</v>
      </c>
      <c r="P64" s="19">
        <f>P63+1*(Lookup!$F$14&lt;MONTH(P66))</f>
        <v>2010</v>
      </c>
      <c r="Q64" s="19">
        <f>Q63+1*(Lookup!$F$14&lt;MONTH(Q66))</f>
        <v>2011</v>
      </c>
      <c r="R64" s="19">
        <f>R63+1*(Lookup!$F$14&lt;MONTH(R66))</f>
        <v>2012</v>
      </c>
      <c r="S64" s="19">
        <f>S63+1*(Lookup!$F$14&lt;MONTH(S66))</f>
        <v>2013</v>
      </c>
      <c r="T64" s="19">
        <f>T63+1*(Lookup!$F$14&lt;MONTH(T66))</f>
        <v>2014</v>
      </c>
      <c r="U64" s="19">
        <f>U63+1*(Lookup!$F$14&lt;MONTH(U66))</f>
        <v>2015</v>
      </c>
      <c r="V64" s="19">
        <f>V63+1*(Lookup!$F$14&lt;MONTH(V66))</f>
        <v>2016</v>
      </c>
      <c r="W64" s="19">
        <f>W63+1*(Lookup!$F$14&lt;MONTH(W66))</f>
        <v>2017</v>
      </c>
      <c r="X64" s="19">
        <f>X63+1*(Lookup!$F$14&lt;MONTH(X66))</f>
        <v>2018</v>
      </c>
    </row>
    <row r="65" spans="2:24" s="11" customFormat="1" hidden="1" outlineLevel="1">
      <c r="B65" s="15" t="str">
        <f t="shared" si="54"/>
        <v>Period Start Date (From Start of Day...)</v>
      </c>
      <c r="L65" s="20">
        <f>IF(L74=1,Lookup!$F$13,K66+1)</f>
        <v>38718</v>
      </c>
      <c r="M65" s="20">
        <f>IF(M74=1,Lookup!$F$13,L66+1)</f>
        <v>39083</v>
      </c>
      <c r="N65" s="20">
        <f>IF(N74=1,Lookup!$F$13,M66+1)</f>
        <v>39448</v>
      </c>
      <c r="O65" s="20">
        <f>IF(O74=1,Lookup!$F$13,N66+1)</f>
        <v>39814</v>
      </c>
      <c r="P65" s="20">
        <f>IF(P74=1,Lookup!$F$13,O66+1)</f>
        <v>40179</v>
      </c>
      <c r="Q65" s="20">
        <f>IF(Q74=1,Lookup!$F$13,P66+1)</f>
        <v>40544</v>
      </c>
      <c r="R65" s="20">
        <f>IF(R74=1,Lookup!$F$13,Q66+1)</f>
        <v>40909</v>
      </c>
      <c r="S65" s="20">
        <f>IF(S74=1,Lookup!$F$13,R66+1)</f>
        <v>41275</v>
      </c>
      <c r="T65" s="20">
        <f>IF(T74=1,Lookup!$F$13,S66+1)</f>
        <v>41640</v>
      </c>
      <c r="U65" s="20">
        <f>IF(U74=1,Lookup!$F$13,T66+1)</f>
        <v>42005</v>
      </c>
      <c r="V65" s="20">
        <f>IF(V74=1,Lookup!$F$13,U66+1)</f>
        <v>42370</v>
      </c>
      <c r="W65" s="20">
        <f>IF(W74=1,Lookup!$F$13,V66+1)</f>
        <v>42736</v>
      </c>
      <c r="X65" s="20">
        <f>IF(X74=1,Lookup!$F$13,W66+1)</f>
        <v>43101</v>
      </c>
    </row>
    <row r="66" spans="2:24" s="11" customFormat="1" hidden="1" outlineLevel="1">
      <c r="B66" s="15" t="str">
        <f t="shared" si="54"/>
        <v>Period End Date (Until End of Day...)</v>
      </c>
      <c r="L66" s="20">
        <f t="shared" ref="L66:X66" si="57">EOMONTH(L65,L67-1)</f>
        <v>39082</v>
      </c>
      <c r="M66" s="20">
        <f t="shared" si="57"/>
        <v>39447</v>
      </c>
      <c r="N66" s="20">
        <f t="shared" si="57"/>
        <v>39813</v>
      </c>
      <c r="O66" s="20">
        <f t="shared" si="57"/>
        <v>40178</v>
      </c>
      <c r="P66" s="20">
        <f t="shared" si="57"/>
        <v>40543</v>
      </c>
      <c r="Q66" s="20">
        <f t="shared" si="57"/>
        <v>40908</v>
      </c>
      <c r="R66" s="20">
        <f t="shared" si="57"/>
        <v>41274</v>
      </c>
      <c r="S66" s="20">
        <f t="shared" si="57"/>
        <v>41639</v>
      </c>
      <c r="T66" s="20">
        <f t="shared" si="57"/>
        <v>42004</v>
      </c>
      <c r="U66" s="20">
        <f t="shared" si="57"/>
        <v>42369</v>
      </c>
      <c r="V66" s="20">
        <f t="shared" si="57"/>
        <v>42735</v>
      </c>
      <c r="W66" s="20">
        <f t="shared" si="57"/>
        <v>43100</v>
      </c>
      <c r="X66" s="20">
        <f t="shared" si="57"/>
        <v>43465</v>
      </c>
    </row>
    <row r="67" spans="2:24" s="11" customFormat="1" hidden="1" outlineLevel="1">
      <c r="B67" s="15" t="str">
        <f t="shared" si="54"/>
        <v>Months in Period</v>
      </c>
      <c r="L67" s="22">
        <f>IF(L74=1,Lookup!$F$14-MONTH(L65)+1+(Mths_In_Yr*(MONTH(L65)&gt;Lookup!$F$14)),Mths_In_Yr)</f>
        <v>12</v>
      </c>
      <c r="M67" s="22">
        <f>IF(M74=1,Lookup!$F$14-MONTH(M65)+1+(Mths_In_Yr*(MONTH(M65)&gt;Lookup!$F$14)),Mths_In_Yr)</f>
        <v>12</v>
      </c>
      <c r="N67" s="22">
        <f>IF(N74=1,Lookup!$F$14-MONTH(N65)+1+(Mths_In_Yr*(MONTH(N65)&gt;Lookup!$F$14)),Mths_In_Yr)</f>
        <v>12</v>
      </c>
      <c r="O67" s="22">
        <f>IF(O74=1,Lookup!$F$14-MONTH(O65)+1+(Mths_In_Yr*(MONTH(O65)&gt;Lookup!$F$14)),Mths_In_Yr)</f>
        <v>12</v>
      </c>
      <c r="P67" s="22">
        <f>IF(P74=1,Lookup!$F$14-MONTH(P65)+1+(Mths_In_Yr*(MONTH(P65)&gt;Lookup!$F$14)),Mths_In_Yr)</f>
        <v>12</v>
      </c>
      <c r="Q67" s="22">
        <f>IF(Q74=1,Lookup!$F$14-MONTH(Q65)+1+(Mths_In_Yr*(MONTH(Q65)&gt;Lookup!$F$14)),Mths_In_Yr)</f>
        <v>12</v>
      </c>
      <c r="R67" s="22">
        <f>IF(R74=1,Lookup!$F$14-MONTH(R65)+1+(Mths_In_Yr*(MONTH(R65)&gt;Lookup!$F$14)),Mths_In_Yr)</f>
        <v>12</v>
      </c>
      <c r="S67" s="22">
        <f>IF(S74=1,Lookup!$F$14-MONTH(S65)+1+(Mths_In_Yr*(MONTH(S65)&gt;Lookup!$F$14)),Mths_In_Yr)</f>
        <v>12</v>
      </c>
      <c r="T67" s="22">
        <f>IF(T74=1,Lookup!$F$14-MONTH(T65)+1+(Mths_In_Yr*(MONTH(T65)&gt;Lookup!$F$14)),Mths_In_Yr)</f>
        <v>12</v>
      </c>
      <c r="U67" s="22">
        <f>IF(U74=1,Lookup!$F$14-MONTH(U65)+1+(Mths_In_Yr*(MONTH(U65)&gt;Lookup!$F$14)),Mths_In_Yr)</f>
        <v>12</v>
      </c>
      <c r="V67" s="22">
        <f>IF(V74=1,Lookup!$F$14-MONTH(V65)+1+(Mths_In_Yr*(MONTH(V65)&gt;Lookup!$F$14)),Mths_In_Yr)</f>
        <v>12</v>
      </c>
      <c r="W67" s="22">
        <f>IF(W74=1,Lookup!$F$14-MONTH(W65)+1+(Mths_In_Yr*(MONTH(W65)&gt;Lookup!$F$14)),Mths_In_Yr)</f>
        <v>12</v>
      </c>
      <c r="X67" s="22">
        <f>IF(X74=1,Lookup!$F$14-MONTH(X65)+1+(Mths_In_Yr*(MONTH(X65)&gt;Lookup!$F$14)),Mths_In_Yr)</f>
        <v>12</v>
      </c>
    </row>
    <row r="68" spans="2:24" s="11" customFormat="1" hidden="1" outlineLevel="1">
      <c r="B68" s="15" t="str">
        <f t="shared" si="54"/>
        <v>Days in Period</v>
      </c>
      <c r="L68" s="22">
        <f t="shared" ref="L68:X68" si="58">L66-L65+1</f>
        <v>365</v>
      </c>
      <c r="M68" s="22">
        <f t="shared" si="58"/>
        <v>365</v>
      </c>
      <c r="N68" s="22">
        <f t="shared" si="58"/>
        <v>366</v>
      </c>
      <c r="O68" s="22">
        <f t="shared" si="58"/>
        <v>365</v>
      </c>
      <c r="P68" s="22">
        <f t="shared" si="58"/>
        <v>365</v>
      </c>
      <c r="Q68" s="22">
        <f t="shared" si="58"/>
        <v>365</v>
      </c>
      <c r="R68" s="22">
        <f t="shared" si="58"/>
        <v>366</v>
      </c>
      <c r="S68" s="22">
        <f t="shared" si="58"/>
        <v>365</v>
      </c>
      <c r="T68" s="22">
        <f t="shared" si="58"/>
        <v>365</v>
      </c>
      <c r="U68" s="22">
        <f t="shared" si="58"/>
        <v>365</v>
      </c>
      <c r="V68" s="22">
        <f t="shared" si="58"/>
        <v>366</v>
      </c>
      <c r="W68" s="22">
        <f t="shared" si="58"/>
        <v>365</v>
      </c>
      <c r="X68" s="22">
        <f t="shared" si="58"/>
        <v>365</v>
      </c>
    </row>
    <row r="69" spans="2:24" s="11" customFormat="1" hidden="1" outlineLevel="1">
      <c r="B69" s="15" t="str">
        <f t="shared" si="54"/>
        <v>Fridays in Period</v>
      </c>
      <c r="L69" s="37">
        <f t="shared" ref="L69:X69" si="59">INT((L68-MOD(Fri-WEEKDAY(L65,2),Days_In_Wk)-1)/Days_In_Wk)+1</f>
        <v>52</v>
      </c>
      <c r="M69" s="37">
        <f t="shared" si="59"/>
        <v>52</v>
      </c>
      <c r="N69" s="37">
        <f t="shared" si="59"/>
        <v>52</v>
      </c>
      <c r="O69" s="37">
        <f t="shared" si="59"/>
        <v>52</v>
      </c>
      <c r="P69" s="37">
        <f t="shared" si="59"/>
        <v>53</v>
      </c>
      <c r="Q69" s="37">
        <f t="shared" si="59"/>
        <v>52</v>
      </c>
      <c r="R69" s="37">
        <f t="shared" si="59"/>
        <v>52</v>
      </c>
      <c r="S69" s="37">
        <f t="shared" si="59"/>
        <v>52</v>
      </c>
      <c r="T69" s="37">
        <f t="shared" si="59"/>
        <v>52</v>
      </c>
      <c r="U69" s="37">
        <f t="shared" si="59"/>
        <v>52</v>
      </c>
      <c r="V69" s="37">
        <f t="shared" si="59"/>
        <v>53</v>
      </c>
      <c r="W69" s="37">
        <f t="shared" si="59"/>
        <v>52</v>
      </c>
      <c r="X69" s="37">
        <f t="shared" si="59"/>
        <v>52</v>
      </c>
    </row>
    <row r="70" spans="2:24" s="11" customFormat="1" hidden="1" outlineLevel="1">
      <c r="B70" s="15" t="str">
        <f t="shared" si="54"/>
        <v>Year Fraction</v>
      </c>
      <c r="L70" s="23">
        <f t="shared" ref="L70:X70" si="60">YEARFRAC(L65,L66+1,1)</f>
        <v>1</v>
      </c>
      <c r="M70" s="23">
        <f t="shared" si="60"/>
        <v>1</v>
      </c>
      <c r="N70" s="23">
        <f t="shared" si="60"/>
        <v>1</v>
      </c>
      <c r="O70" s="23">
        <f t="shared" si="60"/>
        <v>1</v>
      </c>
      <c r="P70" s="23">
        <f t="shared" si="60"/>
        <v>1</v>
      </c>
      <c r="Q70" s="23">
        <f t="shared" si="60"/>
        <v>1</v>
      </c>
      <c r="R70" s="23">
        <f t="shared" si="60"/>
        <v>1</v>
      </c>
      <c r="S70" s="23">
        <f t="shared" si="60"/>
        <v>1</v>
      </c>
      <c r="T70" s="23">
        <f t="shared" si="60"/>
        <v>1</v>
      </c>
      <c r="U70" s="23">
        <f t="shared" si="60"/>
        <v>1</v>
      </c>
      <c r="V70" s="23">
        <f t="shared" si="60"/>
        <v>1</v>
      </c>
      <c r="W70" s="23">
        <f t="shared" si="60"/>
        <v>1</v>
      </c>
      <c r="X70" s="23">
        <f t="shared" si="60"/>
        <v>1</v>
      </c>
    </row>
    <row r="71" spans="2:24" s="11" customFormat="1" hidden="1" outlineLevel="1">
      <c r="B71" s="15" t="str">
        <f t="shared" si="54"/>
        <v>Cumulative Year Fraction</v>
      </c>
      <c r="L71" s="23">
        <f>IF(L74=1,L70,K71+L70)</f>
        <v>1</v>
      </c>
      <c r="M71" s="23">
        <f t="shared" ref="M71" si="61">IF(M74=1,M70,L71+M70)</f>
        <v>2</v>
      </c>
      <c r="N71" s="23">
        <f t="shared" ref="N71" si="62">IF(N74=1,N70,M71+N70)</f>
        <v>3</v>
      </c>
      <c r="O71" s="23">
        <f t="shared" ref="O71" si="63">IF(O74=1,O70,N71+O70)</f>
        <v>4</v>
      </c>
      <c r="P71" s="23">
        <f t="shared" ref="P71" si="64">IF(P74=1,P70,O71+P70)</f>
        <v>5</v>
      </c>
      <c r="Q71" s="23">
        <f t="shared" ref="Q71" si="65">IF(Q74=1,Q70,P71+Q70)</f>
        <v>6</v>
      </c>
      <c r="R71" s="23">
        <f t="shared" ref="R71" si="66">IF(R74=1,R70,Q71+R70)</f>
        <v>7</v>
      </c>
      <c r="S71" s="23">
        <f t="shared" ref="S71" si="67">IF(S74=1,S70,R71+S70)</f>
        <v>8</v>
      </c>
      <c r="T71" s="23">
        <f t="shared" ref="T71" si="68">IF(T74=1,T70,S71+T70)</f>
        <v>9</v>
      </c>
      <c r="U71" s="23">
        <f t="shared" ref="U71" si="69">IF(U74=1,U70,T71+U70)</f>
        <v>10</v>
      </c>
      <c r="V71" s="23">
        <f t="shared" ref="V71" si="70">IF(V74=1,V70,U71+V70)</f>
        <v>11</v>
      </c>
      <c r="W71" s="23">
        <f t="shared" ref="W71" si="71">IF(W74=1,W70,V71+W70)</f>
        <v>12</v>
      </c>
      <c r="X71" s="23">
        <f t="shared" ref="X71" si="72">IF(X74=1,X70,W71+X70)</f>
        <v>13</v>
      </c>
    </row>
    <row r="72" spans="2:24" s="11" customFormat="1" hidden="1" outlineLevel="1">
      <c r="B72" s="15" t="str">
        <f t="shared" si="54"/>
        <v>Days in Calendar Year</v>
      </c>
      <c r="L72" s="37">
        <f t="shared" ref="L72:X72" si="73">EOMONTH(DATE(L63,1,1),11)-DATE(L63,1,1)+1</f>
        <v>365</v>
      </c>
      <c r="M72" s="37">
        <f t="shared" si="73"/>
        <v>365</v>
      </c>
      <c r="N72" s="37">
        <f t="shared" si="73"/>
        <v>366</v>
      </c>
      <c r="O72" s="37">
        <f t="shared" si="73"/>
        <v>365</v>
      </c>
      <c r="P72" s="37">
        <f t="shared" si="73"/>
        <v>365</v>
      </c>
      <c r="Q72" s="37">
        <f t="shared" si="73"/>
        <v>365</v>
      </c>
      <c r="R72" s="37">
        <f t="shared" si="73"/>
        <v>366</v>
      </c>
      <c r="S72" s="37">
        <f t="shared" si="73"/>
        <v>365</v>
      </c>
      <c r="T72" s="37">
        <f t="shared" si="73"/>
        <v>365</v>
      </c>
      <c r="U72" s="37">
        <f t="shared" si="73"/>
        <v>365</v>
      </c>
      <c r="V72" s="37">
        <f t="shared" si="73"/>
        <v>366</v>
      </c>
      <c r="W72" s="37">
        <f t="shared" si="73"/>
        <v>365</v>
      </c>
      <c r="X72" s="37">
        <f t="shared" si="73"/>
        <v>365</v>
      </c>
    </row>
    <row r="73" spans="2:24" s="11" customFormat="1" hidden="1" outlineLevel="1">
      <c r="B73" s="15" t="str">
        <f t="shared" si="54"/>
        <v>Days in Financial Year</v>
      </c>
      <c r="L73" s="37">
        <f>EOMONTH(DATE(L63,Lookup!$F$14+1,1),11)-DATE(L63,Lookup!$F$14+1,1)+1</f>
        <v>365</v>
      </c>
      <c r="M73" s="37">
        <f>EOMONTH(DATE(M63,Lookup!$F$14+1,1),11)-DATE(M63,Lookup!$F$14+1,1)+1</f>
        <v>366</v>
      </c>
      <c r="N73" s="37">
        <f>EOMONTH(DATE(N63,Lookup!$F$14+1,1),11)-DATE(N63,Lookup!$F$14+1,1)+1</f>
        <v>365</v>
      </c>
      <c r="O73" s="37">
        <f>EOMONTH(DATE(O63,Lookup!$F$14+1,1),11)-DATE(O63,Lookup!$F$14+1,1)+1</f>
        <v>365</v>
      </c>
      <c r="P73" s="37">
        <f>EOMONTH(DATE(P63,Lookup!$F$14+1,1),11)-DATE(P63,Lookup!$F$14+1,1)+1</f>
        <v>365</v>
      </c>
      <c r="Q73" s="37">
        <f>EOMONTH(DATE(Q63,Lookup!$F$14+1,1),11)-DATE(Q63,Lookup!$F$14+1,1)+1</f>
        <v>366</v>
      </c>
      <c r="R73" s="37">
        <f>EOMONTH(DATE(R63,Lookup!$F$14+1,1),11)-DATE(R63,Lookup!$F$14+1,1)+1</f>
        <v>365</v>
      </c>
      <c r="S73" s="37">
        <f>EOMONTH(DATE(S63,Lookup!$F$14+1,1),11)-DATE(S63,Lookup!$F$14+1,1)+1</f>
        <v>365</v>
      </c>
      <c r="T73" s="37">
        <f>EOMONTH(DATE(T63,Lookup!$F$14+1,1),11)-DATE(T63,Lookup!$F$14+1,1)+1</f>
        <v>365</v>
      </c>
      <c r="U73" s="37">
        <f>EOMONTH(DATE(U63,Lookup!$F$14+1,1),11)-DATE(U63,Lookup!$F$14+1,1)+1</f>
        <v>366</v>
      </c>
      <c r="V73" s="37">
        <f>EOMONTH(DATE(V63,Lookup!$F$14+1,1),11)-DATE(V63,Lookup!$F$14+1,1)+1</f>
        <v>365</v>
      </c>
      <c r="W73" s="37">
        <f>EOMONTH(DATE(W63,Lookup!$F$14+1,1),11)-DATE(W63,Lookup!$F$14+1,1)+1</f>
        <v>365</v>
      </c>
      <c r="X73" s="37">
        <f>EOMONTH(DATE(X63,Lookup!$F$14+1,1),11)-DATE(X63,Lookup!$F$14+1,1)+1</f>
        <v>365</v>
      </c>
    </row>
    <row r="74" spans="2:24" s="11" customFormat="1" hidden="1" outlineLevel="1">
      <c r="B74" s="15" t="str">
        <f t="shared" si="54"/>
        <v>Counter</v>
      </c>
      <c r="L74" s="22">
        <f t="shared" ref="L74" si="74">K74+1</f>
        <v>1</v>
      </c>
      <c r="M74" s="22">
        <f t="shared" ref="M74" si="75">L74+1</f>
        <v>2</v>
      </c>
      <c r="N74" s="22">
        <f t="shared" ref="N74" si="76">M74+1</f>
        <v>3</v>
      </c>
      <c r="O74" s="22">
        <f t="shared" ref="O74" si="77">N74+1</f>
        <v>4</v>
      </c>
      <c r="P74" s="22">
        <f t="shared" ref="P74" si="78">O74+1</f>
        <v>5</v>
      </c>
      <c r="Q74" s="22">
        <f t="shared" ref="Q74" si="79">P74+1</f>
        <v>6</v>
      </c>
      <c r="R74" s="22">
        <f t="shared" ref="R74" si="80">Q74+1</f>
        <v>7</v>
      </c>
      <c r="S74" s="22">
        <f t="shared" ref="S74" si="81">R74+1</f>
        <v>8</v>
      </c>
      <c r="T74" s="22">
        <f t="shared" ref="T74" si="82">S74+1</f>
        <v>9</v>
      </c>
      <c r="U74" s="22">
        <f t="shared" ref="U74" si="83">T74+1</f>
        <v>10</v>
      </c>
      <c r="V74" s="22">
        <f t="shared" ref="V74" si="84">U74+1</f>
        <v>11</v>
      </c>
      <c r="W74" s="22">
        <f t="shared" ref="W74" si="85">V74+1</f>
        <v>12</v>
      </c>
      <c r="X74" s="22">
        <f t="shared" ref="X74" si="86">W74+1</f>
        <v>13</v>
      </c>
    </row>
    <row r="75" spans="2:24" s="11" customFormat="1" hidden="1" outlineLevel="1">
      <c r="B75" s="15" t="str">
        <f t="shared" si="54"/>
        <v>Quarter Counter</v>
      </c>
      <c r="L75" s="22">
        <v>0</v>
      </c>
      <c r="M75" s="22">
        <v>0</v>
      </c>
      <c r="N75" s="22">
        <v>0</v>
      </c>
      <c r="O75" s="22">
        <v>0</v>
      </c>
      <c r="P75" s="22">
        <v>0</v>
      </c>
      <c r="Q75" s="22">
        <v>0</v>
      </c>
      <c r="R75" s="22">
        <v>0</v>
      </c>
      <c r="S75" s="22">
        <v>0</v>
      </c>
      <c r="T75" s="22">
        <v>0</v>
      </c>
      <c r="U75" s="22">
        <v>0</v>
      </c>
      <c r="V75" s="22">
        <v>0</v>
      </c>
      <c r="W75" s="22">
        <v>0</v>
      </c>
      <c r="X75" s="22">
        <v>0</v>
      </c>
    </row>
    <row r="76" spans="2:24" s="11" customFormat="1" hidden="1" outlineLevel="1">
      <c r="B76" s="15" t="str">
        <f t="shared" si="54"/>
        <v>Calendar Year Counter</v>
      </c>
      <c r="L76" s="22">
        <f>IF(AND(MONTH(L65)=1,DAY(L65)=1),IF(L74=1,1,K76+1),0)</f>
        <v>1</v>
      </c>
      <c r="M76" s="22">
        <f t="shared" ref="M76:X76" si="87">IF(AND(MONTH(M65)=1,DAY(M65)=1),IF(M74=1,1,L76+1),0)</f>
        <v>2</v>
      </c>
      <c r="N76" s="22">
        <f t="shared" si="87"/>
        <v>3</v>
      </c>
      <c r="O76" s="22">
        <f t="shared" si="87"/>
        <v>4</v>
      </c>
      <c r="P76" s="22">
        <f t="shared" si="87"/>
        <v>5</v>
      </c>
      <c r="Q76" s="22">
        <f t="shared" si="87"/>
        <v>6</v>
      </c>
      <c r="R76" s="22">
        <f t="shared" si="87"/>
        <v>7</v>
      </c>
      <c r="S76" s="22">
        <f t="shared" si="87"/>
        <v>8</v>
      </c>
      <c r="T76" s="22">
        <f t="shared" si="87"/>
        <v>9</v>
      </c>
      <c r="U76" s="22">
        <f t="shared" si="87"/>
        <v>10</v>
      </c>
      <c r="V76" s="22">
        <f t="shared" si="87"/>
        <v>11</v>
      </c>
      <c r="W76" s="22">
        <f t="shared" si="87"/>
        <v>12</v>
      </c>
      <c r="X76" s="22">
        <f t="shared" si="87"/>
        <v>13</v>
      </c>
    </row>
    <row r="77" spans="2:24" s="11" customFormat="1" hidden="1" outlineLevel="1">
      <c r="B77" s="15" t="str">
        <f t="shared" si="54"/>
        <v>Financial Year Counter</v>
      </c>
      <c r="L77" s="22">
        <f>IF(AND(MONTH(L65)=(Lookup!$F$15),DAY(L65)=1),IF(L74=1,1,K77+1),0)</f>
        <v>1</v>
      </c>
      <c r="M77" s="22">
        <f>IF(AND(MONTH(M65)=(Lookup!$F$15),DAY(M65)=1),IF(M74=1,1,L77+1),0)</f>
        <v>2</v>
      </c>
      <c r="N77" s="22">
        <f>IF(AND(MONTH(N65)=(Lookup!$F$15),DAY(N65)=1),IF(N74=1,1,M77+1),0)</f>
        <v>3</v>
      </c>
      <c r="O77" s="22">
        <f>IF(AND(MONTH(O65)=(Lookup!$F$15),DAY(O65)=1),IF(O74=1,1,N77+1),0)</f>
        <v>4</v>
      </c>
      <c r="P77" s="22">
        <f>IF(AND(MONTH(P65)=(Lookup!$F$15),DAY(P65)=1),IF(P74=1,1,O77+1),0)</f>
        <v>5</v>
      </c>
      <c r="Q77" s="22">
        <f>IF(AND(MONTH(Q65)=(Lookup!$F$15),DAY(Q65)=1),IF(Q74=1,1,P77+1),0)</f>
        <v>6</v>
      </c>
      <c r="R77" s="22">
        <f>IF(AND(MONTH(R65)=(Lookup!$F$15),DAY(R65)=1),IF(R74=1,1,Q77+1),0)</f>
        <v>7</v>
      </c>
      <c r="S77" s="22">
        <f>IF(AND(MONTH(S65)=(Lookup!$F$15),DAY(S65)=1),IF(S74=1,1,R77+1),0)</f>
        <v>8</v>
      </c>
      <c r="T77" s="22">
        <f>IF(AND(MONTH(T65)=(Lookup!$F$15),DAY(T65)=1),IF(T74=1,1,S77+1),0)</f>
        <v>9</v>
      </c>
      <c r="U77" s="22">
        <f>IF(AND(MONTH(U65)=(Lookup!$F$15),DAY(U65)=1),IF(U74=1,1,T77+1),0)</f>
        <v>10</v>
      </c>
      <c r="V77" s="22">
        <f>IF(AND(MONTH(V65)=(Lookup!$F$15),DAY(V65)=1),IF(V74=1,1,U77+1),0)</f>
        <v>11</v>
      </c>
      <c r="W77" s="22">
        <f>IF(AND(MONTH(W65)=(Lookup!$F$15),DAY(W65)=1),IF(W74=1,1,V77+1),0)</f>
        <v>12</v>
      </c>
      <c r="X77" s="22">
        <f>IF(AND(MONTH(X65)=(Lookup!$F$15),DAY(X65)=1),IF(X74=1,1,W77+1),0)</f>
        <v>13</v>
      </c>
    </row>
    <row r="78" spans="2:24" s="9" customFormat="1" hidden="1" outlineLevel="1">
      <c r="B78" s="27" t="str">
        <f t="shared" ref="B78" si="88">B38</f>
        <v>Dashboard Counter</v>
      </c>
      <c r="L78" s="41" t="e">
        <f>CHOOSE(#REF!,0,0,L76,L77)</f>
        <v>#REF!</v>
      </c>
      <c r="M78" s="41" t="e">
        <f>CHOOSE(#REF!,0,0,M76,M77)</f>
        <v>#REF!</v>
      </c>
      <c r="N78" s="41" t="e">
        <f>CHOOSE(#REF!,0,0,N76,N77)</f>
        <v>#REF!</v>
      </c>
      <c r="O78" s="41" t="e">
        <f>CHOOSE(#REF!,0,0,O76,O77)</f>
        <v>#REF!</v>
      </c>
      <c r="P78" s="41" t="e">
        <f>CHOOSE(#REF!,0,0,P76,P77)</f>
        <v>#REF!</v>
      </c>
      <c r="Q78" s="41" t="e">
        <f>CHOOSE(#REF!,0,0,Q76,Q77)</f>
        <v>#REF!</v>
      </c>
      <c r="R78" s="41" t="e">
        <f>CHOOSE(#REF!,0,0,R76,R77)</f>
        <v>#REF!</v>
      </c>
      <c r="S78" s="41" t="e">
        <f>CHOOSE(#REF!,0,0,S76,S77)</f>
        <v>#REF!</v>
      </c>
      <c r="T78" s="41" t="e">
        <f>CHOOSE(#REF!,0,0,T76,T77)</f>
        <v>#REF!</v>
      </c>
      <c r="U78" s="41" t="e">
        <f>CHOOSE(#REF!,0,0,U76,U77)</f>
        <v>#REF!</v>
      </c>
      <c r="V78" s="41" t="e">
        <f>CHOOSE(#REF!,0,0,V76,V77)</f>
        <v>#REF!</v>
      </c>
      <c r="W78" s="41" t="e">
        <f>CHOOSE(#REF!,0,0,W76,W77)</f>
        <v>#REF!</v>
      </c>
      <c r="X78" s="41" t="e">
        <f>CHOOSE(#REF!,0,0,X76,X77)</f>
        <v>#REF!</v>
      </c>
    </row>
    <row r="79" spans="2:24" s="11" customFormat="1" collapsed="1"/>
    <row r="80" spans="2:24">
      <c r="C80" s="12" t="s">
        <v>1</v>
      </c>
      <c r="E80" s="30" t="s">
        <v>2</v>
      </c>
    </row>
    <row r="81" spans="4:5">
      <c r="E81" s="34"/>
    </row>
    <row r="82" spans="4:5">
      <c r="D82" s="24">
        <v>1</v>
      </c>
      <c r="E82" s="35" t="s">
        <v>3</v>
      </c>
    </row>
    <row r="83" spans="4:5">
      <c r="D83" s="24">
        <v>3</v>
      </c>
      <c r="E83" s="35" t="s">
        <v>4</v>
      </c>
    </row>
    <row r="84" spans="4:5">
      <c r="D84" s="24">
        <v>12</v>
      </c>
      <c r="E84" s="35" t="s">
        <v>5</v>
      </c>
    </row>
    <row r="85" spans="4:5" s="11" customFormat="1">
      <c r="D85" s="24">
        <v>7</v>
      </c>
      <c r="E85" s="35" t="s">
        <v>51</v>
      </c>
    </row>
    <row r="86" spans="4:5">
      <c r="D86" s="24" t="s">
        <v>6</v>
      </c>
      <c r="E86" s="35" t="s">
        <v>10</v>
      </c>
    </row>
    <row r="87" spans="4:5">
      <c r="D87" s="24" t="s">
        <v>7</v>
      </c>
      <c r="E87" s="35" t="s">
        <v>11</v>
      </c>
    </row>
    <row r="88" spans="4:5">
      <c r="D88" s="24" t="s">
        <v>8</v>
      </c>
      <c r="E88" s="35" t="s">
        <v>12</v>
      </c>
    </row>
    <row r="89" spans="4:5">
      <c r="D89" s="24" t="s">
        <v>9</v>
      </c>
      <c r="E89" s="35" t="s">
        <v>13</v>
      </c>
    </row>
    <row r="90" spans="4:5" s="11" customFormat="1">
      <c r="D90" s="24">
        <v>0.5</v>
      </c>
      <c r="E90" s="35" t="s">
        <v>44</v>
      </c>
    </row>
    <row r="91" spans="4:5" s="11" customFormat="1">
      <c r="D91" s="24">
        <v>365</v>
      </c>
      <c r="E91" s="35" t="s">
        <v>437</v>
      </c>
    </row>
    <row r="92" spans="4:5" s="11" customFormat="1">
      <c r="D92" s="150">
        <v>100</v>
      </c>
      <c r="E92" s="35" t="s">
        <v>317</v>
      </c>
    </row>
    <row r="93" spans="4:5" s="11" customFormat="1">
      <c r="D93" s="150">
        <v>1000</v>
      </c>
      <c r="E93" s="35" t="s">
        <v>247</v>
      </c>
    </row>
    <row r="94" spans="4:5" s="11" customFormat="1">
      <c r="D94" s="150">
        <v>1000000</v>
      </c>
      <c r="E94" s="35" t="s">
        <v>248</v>
      </c>
    </row>
    <row r="95" spans="4:5" s="11" customFormat="1">
      <c r="D95" s="150" t="s">
        <v>251</v>
      </c>
      <c r="E95" s="35" t="s">
        <v>252</v>
      </c>
    </row>
    <row r="96" spans="4:5">
      <c r="D96" s="24" t="s">
        <v>27</v>
      </c>
      <c r="E96" s="35" t="s">
        <v>27</v>
      </c>
    </row>
    <row r="97" spans="3:5">
      <c r="D97" s="24" t="s">
        <v>28</v>
      </c>
      <c r="E97" s="35" t="s">
        <v>28</v>
      </c>
    </row>
    <row r="98" spans="3:5">
      <c r="E98" s="34"/>
    </row>
    <row r="99" spans="3:5" s="11" customFormat="1">
      <c r="C99" s="12" t="s">
        <v>1</v>
      </c>
      <c r="E99" s="30" t="s">
        <v>2</v>
      </c>
    </row>
    <row r="100" spans="3:5" s="11" customFormat="1">
      <c r="E100" s="35" t="s">
        <v>47</v>
      </c>
    </row>
    <row r="101" spans="3:5" s="11" customFormat="1">
      <c r="D101" s="24" t="s">
        <v>45</v>
      </c>
      <c r="E101" s="35" t="s">
        <v>45</v>
      </c>
    </row>
    <row r="102" spans="3:5" s="11" customFormat="1">
      <c r="D102" s="24" t="s">
        <v>46</v>
      </c>
      <c r="E102" s="35" t="s">
        <v>46</v>
      </c>
    </row>
    <row r="103" spans="3:5" s="11" customFormat="1">
      <c r="E103" s="34"/>
    </row>
    <row r="104" spans="3:5">
      <c r="C104" s="12" t="s">
        <v>21</v>
      </c>
      <c r="E104" s="30" t="s">
        <v>2</v>
      </c>
    </row>
    <row r="105" spans="3:5">
      <c r="E105" s="35" t="s">
        <v>26</v>
      </c>
    </row>
    <row r="106" spans="3:5">
      <c r="D106" s="24" t="s">
        <v>23</v>
      </c>
    </row>
    <row r="107" spans="3:5">
      <c r="D107" s="24" t="s">
        <v>24</v>
      </c>
    </row>
    <row r="108" spans="3:5">
      <c r="D108" s="24" t="s">
        <v>25</v>
      </c>
    </row>
    <row r="110" spans="3:5" s="11" customFormat="1">
      <c r="C110" s="12" t="s">
        <v>64</v>
      </c>
      <c r="E110" s="30" t="s">
        <v>2</v>
      </c>
    </row>
    <row r="111" spans="3:5" s="11" customFormat="1">
      <c r="E111" s="35" t="s">
        <v>66</v>
      </c>
    </row>
    <row r="112" spans="3:5" s="11" customFormat="1">
      <c r="D112" s="24" t="s">
        <v>23</v>
      </c>
    </row>
    <row r="113" spans="3:5" s="11" customFormat="1">
      <c r="D113" s="24" t="s">
        <v>24</v>
      </c>
    </row>
    <row r="114" spans="3:5" s="11" customFormat="1">
      <c r="D114" s="24" t="s">
        <v>564</v>
      </c>
    </row>
    <row r="115" spans="3:5" s="11" customFormat="1">
      <c r="D115" s="24" t="s">
        <v>65</v>
      </c>
    </row>
    <row r="116" spans="3:5" s="11" customFormat="1">
      <c r="D116" s="42"/>
    </row>
    <row r="117" spans="3:5" s="11" customFormat="1">
      <c r="C117" s="12" t="s">
        <v>30</v>
      </c>
    </row>
    <row r="118" spans="3:5" s="11" customFormat="1"/>
    <row r="119" spans="3:5" s="11" customFormat="1">
      <c r="D119" s="30" t="s">
        <v>95</v>
      </c>
      <c r="E119" s="30" t="s">
        <v>49</v>
      </c>
    </row>
    <row r="120" spans="3:5" s="11" customFormat="1">
      <c r="D120" s="24" t="s">
        <v>31</v>
      </c>
      <c r="E120" s="24">
        <v>1</v>
      </c>
    </row>
    <row r="121" spans="3:5" s="11" customFormat="1">
      <c r="D121" s="24" t="s">
        <v>32</v>
      </c>
      <c r="E121" s="24">
        <v>2</v>
      </c>
    </row>
    <row r="122" spans="3:5" s="11" customFormat="1">
      <c r="D122" s="24" t="s">
        <v>33</v>
      </c>
      <c r="E122" s="24">
        <v>3</v>
      </c>
    </row>
    <row r="123" spans="3:5" s="11" customFormat="1">
      <c r="D123" s="24" t="s">
        <v>34</v>
      </c>
      <c r="E123" s="33">
        <f>E120</f>
        <v>1</v>
      </c>
    </row>
    <row r="124" spans="3:5" s="11" customFormat="1">
      <c r="D124" s="24" t="s">
        <v>35</v>
      </c>
      <c r="E124" s="33">
        <f t="shared" ref="E124:E131" si="89">E121</f>
        <v>2</v>
      </c>
    </row>
    <row r="125" spans="3:5" s="11" customFormat="1">
      <c r="D125" s="24" t="s">
        <v>36</v>
      </c>
      <c r="E125" s="33">
        <f t="shared" si="89"/>
        <v>3</v>
      </c>
    </row>
    <row r="126" spans="3:5" s="11" customFormat="1">
      <c r="D126" s="24" t="s">
        <v>37</v>
      </c>
      <c r="E126" s="33">
        <f t="shared" si="89"/>
        <v>1</v>
      </c>
    </row>
    <row r="127" spans="3:5" s="11" customFormat="1">
      <c r="D127" s="24" t="s">
        <v>38</v>
      </c>
      <c r="E127" s="33">
        <f t="shared" si="89"/>
        <v>2</v>
      </c>
    </row>
    <row r="128" spans="3:5" s="11" customFormat="1">
      <c r="D128" s="24" t="s">
        <v>39</v>
      </c>
      <c r="E128" s="33">
        <f t="shared" si="89"/>
        <v>3</v>
      </c>
    </row>
    <row r="129" spans="2:15" s="11" customFormat="1">
      <c r="D129" s="24" t="s">
        <v>40</v>
      </c>
      <c r="E129" s="33">
        <f t="shared" si="89"/>
        <v>1</v>
      </c>
    </row>
    <row r="130" spans="2:15" s="11" customFormat="1">
      <c r="D130" s="24" t="s">
        <v>41</v>
      </c>
      <c r="E130" s="33">
        <f t="shared" si="89"/>
        <v>2</v>
      </c>
    </row>
    <row r="131" spans="2:15" s="11" customFormat="1">
      <c r="D131" s="24" t="s">
        <v>42</v>
      </c>
      <c r="E131" s="33">
        <f t="shared" si="89"/>
        <v>3</v>
      </c>
    </row>
    <row r="132" spans="2:15" s="11" customFormat="1"/>
    <row r="133" spans="2:15">
      <c r="B133" s="11"/>
      <c r="C133" s="12" t="s">
        <v>52</v>
      </c>
      <c r="D133" s="11"/>
      <c r="E133" s="30" t="s">
        <v>2</v>
      </c>
      <c r="F133" s="11"/>
      <c r="G133" s="11"/>
      <c r="J133" s="11"/>
      <c r="K133" s="11"/>
      <c r="L133" s="11"/>
      <c r="M133" s="11"/>
      <c r="N133" s="11"/>
      <c r="O133" s="11"/>
    </row>
    <row r="134" spans="2:15">
      <c r="B134" s="11"/>
      <c r="C134" s="11"/>
      <c r="D134" s="30"/>
      <c r="E134" s="11"/>
      <c r="F134" s="11"/>
      <c r="G134" s="11"/>
      <c r="J134" s="11"/>
      <c r="K134" s="11"/>
      <c r="L134" s="11"/>
      <c r="M134" s="11"/>
      <c r="N134" s="11"/>
      <c r="O134" s="11"/>
    </row>
    <row r="135" spans="2:15">
      <c r="B135" s="11"/>
      <c r="C135" s="11"/>
      <c r="D135" s="24">
        <v>1</v>
      </c>
      <c r="E135" s="35" t="s">
        <v>54</v>
      </c>
      <c r="F135" s="11"/>
      <c r="G135" s="11"/>
    </row>
    <row r="136" spans="2:15">
      <c r="B136" s="11"/>
      <c r="C136" s="11"/>
      <c r="D136" s="24">
        <v>2</v>
      </c>
      <c r="E136" s="35" t="s">
        <v>55</v>
      </c>
      <c r="F136" s="11"/>
      <c r="G136" s="11"/>
    </row>
    <row r="137" spans="2:15">
      <c r="C137" s="11"/>
      <c r="D137" s="24">
        <v>3</v>
      </c>
      <c r="E137" s="35" t="s">
        <v>56</v>
      </c>
      <c r="F137" s="11"/>
      <c r="G137" s="11"/>
    </row>
    <row r="138" spans="2:15">
      <c r="C138" s="11"/>
      <c r="D138" s="24">
        <v>4</v>
      </c>
      <c r="E138" s="35" t="s">
        <v>57</v>
      </c>
      <c r="F138" s="11"/>
      <c r="G138" s="11"/>
    </row>
    <row r="139" spans="2:15">
      <c r="C139" s="11"/>
      <c r="D139" s="24">
        <v>5</v>
      </c>
      <c r="E139" s="35" t="s">
        <v>53</v>
      </c>
    </row>
    <row r="140" spans="2:15">
      <c r="C140" s="11"/>
      <c r="D140" s="24">
        <v>6</v>
      </c>
      <c r="E140" s="35" t="s">
        <v>58</v>
      </c>
    </row>
    <row r="141" spans="2:15">
      <c r="C141" s="11"/>
      <c r="D141" s="24">
        <v>7</v>
      </c>
      <c r="E141" s="35" t="s">
        <v>59</v>
      </c>
    </row>
    <row r="142" spans="2:15">
      <c r="E142" s="11"/>
    </row>
    <row r="143" spans="2:15">
      <c r="C143" s="12" t="s">
        <v>167</v>
      </c>
      <c r="D143" s="11"/>
      <c r="E143" s="30" t="s">
        <v>2</v>
      </c>
    </row>
    <row r="144" spans="2:15">
      <c r="C144" s="11"/>
      <c r="D144" s="30"/>
      <c r="E144" s="108" t="s">
        <v>168</v>
      </c>
    </row>
    <row r="145" spans="3:5">
      <c r="C145" s="11"/>
      <c r="D145" s="24" t="s">
        <v>172</v>
      </c>
    </row>
    <row r="146" spans="3:5">
      <c r="C146" s="11"/>
      <c r="D146" s="33" t="str">
        <f>LEFT(D145,4)+1&amp;"/"&amp;RIGHT(LEFT(D145,4)+2,2)</f>
        <v>2018/19</v>
      </c>
    </row>
    <row r="147" spans="3:5">
      <c r="C147" s="11"/>
      <c r="D147" s="33" t="str">
        <f t="shared" ref="D147:D151" si="90">LEFT(D146,4)+1&amp;"/"&amp;RIGHT(LEFT(D146,4)+2,2)</f>
        <v>2019/20</v>
      </c>
    </row>
    <row r="148" spans="3:5">
      <c r="C148" s="11"/>
      <c r="D148" s="33" t="str">
        <f t="shared" si="90"/>
        <v>2020/21</v>
      </c>
    </row>
    <row r="149" spans="3:5">
      <c r="C149" s="11"/>
      <c r="D149" s="33" t="str">
        <f t="shared" si="90"/>
        <v>2021/22</v>
      </c>
    </row>
    <row r="150" spans="3:5">
      <c r="D150" s="33" t="str">
        <f t="shared" si="90"/>
        <v>2022/23</v>
      </c>
    </row>
    <row r="151" spans="3:5">
      <c r="D151" s="33" t="str">
        <f t="shared" si="90"/>
        <v>2023/24</v>
      </c>
    </row>
    <row r="153" spans="3:5">
      <c r="C153" s="12" t="s">
        <v>302</v>
      </c>
      <c r="E153" s="30" t="s">
        <v>2</v>
      </c>
    </row>
    <row r="154" spans="3:5">
      <c r="E154" s="108" t="s">
        <v>301</v>
      </c>
    </row>
    <row r="155" spans="3:5">
      <c r="D155" s="24" t="s">
        <v>173</v>
      </c>
    </row>
    <row r="156" spans="3:5">
      <c r="D156" s="24" t="s">
        <v>174</v>
      </c>
    </row>
    <row r="158" spans="3:5">
      <c r="C158" s="73" t="s">
        <v>299</v>
      </c>
      <c r="D158" s="11"/>
      <c r="E158" s="30" t="s">
        <v>2</v>
      </c>
    </row>
    <row r="159" spans="3:5">
      <c r="C159" s="11"/>
      <c r="D159" s="11"/>
      <c r="E159" s="108" t="s">
        <v>300</v>
      </c>
    </row>
    <row r="160" spans="3:5">
      <c r="C160" s="11"/>
      <c r="D160" s="33" t="str">
        <f>Calc_Cost_of_Supply!F$8</f>
        <v>Residential</v>
      </c>
      <c r="E160" s="11"/>
    </row>
    <row r="161" spans="3:5">
      <c r="C161" s="11"/>
      <c r="D161" s="33" t="str">
        <f>Calc_Cost_of_Supply!G$8</f>
        <v>Non-residential</v>
      </c>
      <c r="E161" s="11"/>
    </row>
    <row r="162" spans="3:5">
      <c r="D162" s="33" t="str">
        <f>Calc_Cost_of_Supply!H$8</f>
        <v>Unmetered SL</v>
      </c>
    </row>
    <row r="163" spans="3:5">
      <c r="D163" s="33" t="str">
        <f>Calc_Cost_of_Supply!I$8</f>
        <v>Unmetered TL</v>
      </c>
    </row>
    <row r="164" spans="3:5">
      <c r="D164" s="33" t="str">
        <f>Calc_Cost_of_Supply!J$8</f>
        <v>LV Smart</v>
      </c>
    </row>
    <row r="165" spans="3:5">
      <c r="D165" s="33" t="str">
        <f>Calc_Cost_of_Supply!K$8</f>
        <v xml:space="preserve"> &gt;750 LV</v>
      </c>
    </row>
    <row r="166" spans="3:5">
      <c r="D166" s="33" t="str">
        <f>Calc_Cost_of_Supply!L$8</f>
        <v>HV</v>
      </c>
    </row>
    <row r="168" spans="3:5">
      <c r="C168" s="73" t="s">
        <v>333</v>
      </c>
      <c r="D168" s="11"/>
      <c r="E168" s="30" t="s">
        <v>2</v>
      </c>
    </row>
    <row r="169" spans="3:5">
      <c r="C169" s="11"/>
      <c r="D169" s="11"/>
      <c r="E169" s="108" t="s">
        <v>334</v>
      </c>
    </row>
    <row r="170" spans="3:5">
      <c r="C170" s="11"/>
      <c r="D170" s="24" t="s">
        <v>190</v>
      </c>
      <c r="E170" s="11"/>
    </row>
    <row r="171" spans="3:5">
      <c r="C171" s="11"/>
      <c r="D171" s="24" t="s">
        <v>191</v>
      </c>
      <c r="E171" s="11"/>
    </row>
    <row r="172" spans="3:5">
      <c r="C172" s="11"/>
      <c r="D172" s="24" t="s">
        <v>192</v>
      </c>
      <c r="E172" s="11"/>
    </row>
    <row r="173" spans="3:5">
      <c r="C173" s="11"/>
      <c r="D173" s="24" t="s">
        <v>193</v>
      </c>
      <c r="E173" s="11"/>
    </row>
    <row r="174" spans="3:5">
      <c r="C174" s="11"/>
      <c r="D174" s="24" t="s">
        <v>185</v>
      </c>
      <c r="E174" s="11"/>
    </row>
    <row r="175" spans="3:5" s="11" customFormat="1">
      <c r="D175" s="24" t="s">
        <v>194</v>
      </c>
    </row>
    <row r="176" spans="3:5">
      <c r="C176" s="11"/>
      <c r="D176" s="24" t="s">
        <v>251</v>
      </c>
      <c r="E176" s="11"/>
    </row>
    <row r="178" spans="3:5">
      <c r="C178" s="73" t="s">
        <v>337</v>
      </c>
      <c r="E178" s="30" t="s">
        <v>2</v>
      </c>
    </row>
    <row r="179" spans="3:5">
      <c r="E179" s="108" t="s">
        <v>340</v>
      </c>
    </row>
    <row r="180" spans="3:5">
      <c r="D180" s="24" t="s">
        <v>330</v>
      </c>
    </row>
    <row r="181" spans="3:5">
      <c r="D181" s="24" t="s">
        <v>331</v>
      </c>
    </row>
    <row r="182" spans="3:5">
      <c r="D182" s="24" t="s">
        <v>338</v>
      </c>
    </row>
    <row r="183" spans="3:5" s="11" customFormat="1">
      <c r="D183" s="24" t="s">
        <v>339</v>
      </c>
    </row>
    <row r="184" spans="3:5">
      <c r="D184" s="24" t="s">
        <v>251</v>
      </c>
    </row>
  </sheetData>
  <conditionalFormatting sqref="B2">
    <cfRule type="cellIs" dxfId="3" priority="1" operator="notEqual">
      <formula>"No Errors Found"</formula>
    </cfRule>
  </conditionalFormatting>
  <dataValidations disablePrompts="1" count="3">
    <dataValidation type="whole" allowBlank="1" showInputMessage="1" showErrorMessage="1" promptTitle="Periodicity" prompt="1=Monthly_x000a_2=Quarterly_x000a_3=Yearly" sqref="F11" xr:uid="{00000000-0002-0000-0F00-000000000000}">
      <formula1>1</formula1>
      <formula2>ROWS(D82:D84)</formula2>
    </dataValidation>
    <dataValidation type="whole" allowBlank="1" showInputMessage="1" showErrorMessage="1" promptTitle="Calander Month" prompt="1=January_x000a_2=February_x000a_3=March_x000a_4=April_x000a_5=May_x000a_6=June_x000a_7=July_x000a_8=August_x000a_9=September_x000a_10=October_x000a_11=November_x000a_12=December" sqref="F14" xr:uid="{00000000-0002-0000-0F00-000001000000}">
      <formula1>1</formula1>
      <formula2>ROWS($D$120:$D$131)</formula2>
    </dataValidation>
    <dataValidation allowBlank="1" showInputMessage="1" showErrorMessage="1" promptTitle="Start Date" prompt="This should be the first day of the first period. _x000a_Monthly: 1/3/2011_x000a_Quarterly: 1/4/2011_x000a_Yearly: 1/1/2011" sqref="F13" xr:uid="{00000000-0002-0000-0F00-000002000000}"/>
  </dataValidations>
  <hyperlinks>
    <hyperlink ref="B4" location="'ToC'!$A$1" tooltip="Go To Table of Contents" display="='ToC'!B1" xr:uid="{00000000-0004-0000-0F00-000000000000}"/>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1"/>
  </sheetPr>
  <dimension ref="A1:XFD31"/>
  <sheetViews>
    <sheetView showGridLines="0" workbookViewId="0">
      <pane xSplit="6" ySplit="4" topLeftCell="G5" activePane="bottomRight" state="frozen"/>
      <selection activeCell="D155" sqref="D155"/>
      <selection pane="topRight" activeCell="D155" sqref="D155"/>
      <selection pane="bottomLeft" activeCell="D155" sqref="D155"/>
      <selection pane="bottomRight" activeCell="G5" sqref="G5"/>
    </sheetView>
  </sheetViews>
  <sheetFormatPr defaultRowHeight="12.9"/>
  <cols>
    <col min="1" max="3" width="2.703125" customWidth="1"/>
    <col min="4" max="4" width="25.703125" customWidth="1"/>
    <col min="5" max="7" width="3.703125" customWidth="1"/>
  </cols>
  <sheetData>
    <row r="1" spans="1:16384" ht="20.399999999999999">
      <c r="A1" s="11"/>
      <c r="B1" s="8" t="s">
        <v>75</v>
      </c>
      <c r="C1" s="11"/>
      <c r="D1" s="11"/>
      <c r="E1" s="11"/>
      <c r="F1" s="11"/>
      <c r="G1" s="11"/>
      <c r="H1" s="11"/>
      <c r="I1" s="11"/>
    </row>
    <row r="2" spans="1:16384" s="13" customFormat="1">
      <c r="A2" s="11"/>
      <c r="B2" s="28" t="str">
        <f>Title_Msg</f>
        <v>No Errors Found</v>
      </c>
      <c r="C2" s="11"/>
      <c r="D2" s="11"/>
      <c r="E2" s="11"/>
      <c r="F2" s="11"/>
      <c r="G2" s="11"/>
      <c r="H2" s="11"/>
      <c r="I2" s="11"/>
    </row>
    <row r="3" spans="1:16384" s="11" customFormat="1">
      <c r="B3" s="65" t="str">
        <f>Model_Name</f>
        <v>Power and Water Corporation (PWC) Network Pricing Model</v>
      </c>
    </row>
    <row r="4" spans="1:16384" s="13" customFormat="1">
      <c r="A4" s="11"/>
      <c r="B4" s="337" t="str">
        <f>TOC!$B$1</f>
        <v>Table of Contents</v>
      </c>
      <c r="C4" s="11"/>
      <c r="D4" s="11"/>
      <c r="E4" s="11"/>
      <c r="F4" s="11"/>
      <c r="G4" s="11"/>
      <c r="H4" s="11"/>
      <c r="I4" s="11"/>
    </row>
    <row r="5" spans="1:16384">
      <c r="A5" s="11"/>
      <c r="B5" s="44"/>
      <c r="C5" s="11"/>
      <c r="D5" s="11"/>
      <c r="E5" s="11"/>
      <c r="F5" s="11"/>
      <c r="G5" s="11"/>
      <c r="H5" s="11"/>
      <c r="I5" s="11"/>
    </row>
    <row r="6" spans="1:16384" s="13" customFormat="1">
      <c r="A6" s="11"/>
      <c r="B6" s="44"/>
      <c r="C6" s="11"/>
      <c r="D6" s="11"/>
      <c r="E6" s="11"/>
      <c r="F6" s="11"/>
      <c r="G6" s="11"/>
      <c r="H6" s="11"/>
      <c r="I6" s="11"/>
    </row>
    <row r="7" spans="1:16384" s="7" customFormat="1" ht="15.6">
      <c r="B7" s="7" t="s">
        <v>77</v>
      </c>
    </row>
    <row r="8" spans="1:16384" s="13" customFormat="1">
      <c r="A8" s="11"/>
      <c r="B8" s="44"/>
      <c r="C8" s="11"/>
      <c r="D8" s="11"/>
      <c r="E8" s="11"/>
      <c r="F8" s="11"/>
      <c r="G8" s="11"/>
      <c r="H8" s="11"/>
      <c r="I8" s="11"/>
    </row>
    <row r="9" spans="1:16384" s="13" customFormat="1">
      <c r="A9" s="11"/>
      <c r="D9" s="14" t="s">
        <v>76</v>
      </c>
      <c r="E9" s="11"/>
      <c r="F9" s="11"/>
      <c r="G9" s="11"/>
      <c r="H9" s="15" t="str">
        <f>IF(H29=0,"No Errors Found","Errors Found")</f>
        <v>No Errors Found</v>
      </c>
      <c r="I9" s="11"/>
    </row>
    <row r="10" spans="1:16384" s="13" customFormat="1">
      <c r="A10" s="11"/>
      <c r="D10" s="14" t="s">
        <v>78</v>
      </c>
      <c r="E10" s="11"/>
      <c r="F10" s="11"/>
      <c r="G10" s="11"/>
      <c r="H10" s="14"/>
      <c r="I10" s="11"/>
    </row>
    <row r="11" spans="1:16384" s="13" customFormat="1">
      <c r="A11" s="11"/>
      <c r="D11" s="14" t="s">
        <v>79</v>
      </c>
      <c r="E11" s="11"/>
      <c r="F11" s="11"/>
      <c r="G11" s="11"/>
      <c r="H11" s="47" t="str">
        <f>H9&amp;IF(H10="","",", " &amp;H10)</f>
        <v>No Errors Found</v>
      </c>
      <c r="I11" s="11"/>
    </row>
    <row r="12" spans="1:16384" s="13" customFormat="1">
      <c r="A12" s="11"/>
      <c r="B12" s="44"/>
      <c r="C12" s="11"/>
      <c r="D12" s="11"/>
      <c r="E12" s="11"/>
      <c r="F12" s="11"/>
      <c r="G12" s="11"/>
      <c r="H12" s="11"/>
      <c r="I12" s="11"/>
    </row>
    <row r="13" spans="1:16384" s="13" customFormat="1">
      <c r="A13" s="11"/>
      <c r="B13" s="44"/>
      <c r="C13" s="11"/>
      <c r="D13" s="11"/>
      <c r="E13" s="11"/>
      <c r="F13" s="11"/>
      <c r="G13" s="11"/>
      <c r="H13" s="11"/>
      <c r="I13" s="11"/>
    </row>
    <row r="14" spans="1:16384" s="7" customFormat="1" ht="15.6">
      <c r="B14" s="7" t="s">
        <v>48</v>
      </c>
    </row>
    <row r="15" spans="1:16384" s="43" customFormat="1" ht="15.6">
      <c r="A15" s="11"/>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c r="CZ15" s="11"/>
      <c r="DA15" s="11"/>
      <c r="DB15" s="11"/>
      <c r="DC15" s="11"/>
      <c r="DD15" s="11"/>
      <c r="DE15" s="11"/>
      <c r="DF15" s="11"/>
      <c r="DG15" s="11"/>
      <c r="DH15" s="11"/>
      <c r="DI15" s="11"/>
      <c r="DJ15" s="11"/>
      <c r="DK15" s="11"/>
      <c r="DL15" s="11"/>
      <c r="DM15" s="11"/>
      <c r="DN15" s="11"/>
      <c r="DO15" s="11"/>
      <c r="DP15" s="11"/>
      <c r="DQ15" s="11"/>
      <c r="DR15" s="11"/>
      <c r="DS15" s="11"/>
      <c r="DT15" s="11"/>
      <c r="DU15" s="11"/>
      <c r="DV15" s="11"/>
      <c r="DW15" s="11"/>
      <c r="DX15" s="11"/>
      <c r="DY15" s="11"/>
      <c r="DZ15" s="11"/>
      <c r="EA15" s="11"/>
      <c r="EB15" s="11"/>
      <c r="EC15" s="11"/>
      <c r="ED15" s="11"/>
      <c r="EE15" s="11"/>
      <c r="EF15" s="11"/>
      <c r="EG15" s="11"/>
      <c r="EH15" s="11"/>
      <c r="EI15" s="11"/>
      <c r="EJ15" s="11"/>
      <c r="EK15" s="11"/>
      <c r="EL15" s="11"/>
      <c r="EM15" s="11"/>
      <c r="EN15" s="11"/>
      <c r="EO15" s="11"/>
      <c r="EP15" s="11"/>
      <c r="EQ15" s="11"/>
      <c r="ER15" s="11"/>
      <c r="ES15" s="11"/>
      <c r="ET15" s="11"/>
      <c r="EU15" s="11"/>
      <c r="EV15" s="11"/>
      <c r="EW15" s="11"/>
      <c r="EX15" s="11"/>
      <c r="EY15" s="11"/>
      <c r="EZ15" s="11"/>
      <c r="FA15" s="11"/>
      <c r="FB15" s="11"/>
      <c r="FC15" s="11"/>
      <c r="FD15" s="11"/>
      <c r="FE15" s="11"/>
      <c r="FF15" s="11"/>
      <c r="FG15" s="11"/>
      <c r="FH15" s="11"/>
      <c r="FI15" s="11"/>
      <c r="FJ15" s="11"/>
      <c r="FK15" s="11"/>
      <c r="FL15" s="11"/>
      <c r="FM15" s="11"/>
      <c r="FN15" s="11"/>
      <c r="FO15" s="11"/>
      <c r="FP15" s="11"/>
      <c r="FQ15" s="11"/>
      <c r="FR15" s="11"/>
      <c r="FS15" s="11"/>
      <c r="FT15" s="11"/>
      <c r="FU15" s="11"/>
      <c r="FV15" s="11"/>
      <c r="FW15" s="11"/>
      <c r="FX15" s="11"/>
      <c r="FY15" s="11"/>
      <c r="FZ15" s="11"/>
      <c r="GA15" s="11"/>
      <c r="GB15" s="11"/>
      <c r="GC15" s="11"/>
      <c r="GD15" s="11"/>
      <c r="GE15" s="11"/>
      <c r="GF15" s="11"/>
      <c r="GG15" s="11"/>
      <c r="GH15" s="11"/>
      <c r="GI15" s="11"/>
      <c r="GJ15" s="11"/>
      <c r="GK15" s="11"/>
      <c r="GL15" s="11"/>
      <c r="GM15" s="11"/>
      <c r="GN15" s="11"/>
      <c r="GO15" s="11"/>
      <c r="GP15" s="11"/>
      <c r="GQ15" s="11"/>
      <c r="GR15" s="11"/>
      <c r="GS15" s="11"/>
      <c r="GT15" s="11"/>
      <c r="GU15" s="11"/>
      <c r="GV15" s="11"/>
      <c r="GW15" s="11"/>
      <c r="GX15" s="11"/>
      <c r="GY15" s="11"/>
      <c r="GZ15" s="11"/>
      <c r="HA15" s="11"/>
      <c r="HB15" s="11"/>
      <c r="HC15" s="11"/>
      <c r="HD15" s="11"/>
      <c r="HE15" s="11"/>
      <c r="HF15" s="11"/>
      <c r="HG15" s="11"/>
      <c r="HH15" s="11"/>
      <c r="HI15" s="11"/>
      <c r="HJ15" s="11"/>
      <c r="HK15" s="11"/>
      <c r="HL15" s="11"/>
      <c r="HM15" s="11"/>
      <c r="HN15" s="11"/>
      <c r="HO15" s="11"/>
      <c r="HP15" s="11"/>
      <c r="HQ15" s="11"/>
      <c r="HR15" s="11"/>
      <c r="HS15" s="11"/>
      <c r="HT15" s="11"/>
      <c r="HU15" s="11"/>
      <c r="HV15" s="11"/>
      <c r="HW15" s="11"/>
      <c r="HX15" s="11"/>
      <c r="HY15" s="11"/>
      <c r="HZ15" s="11"/>
      <c r="IA15" s="11"/>
      <c r="IB15" s="11"/>
      <c r="IC15" s="11"/>
      <c r="ID15" s="11"/>
      <c r="IE15" s="11"/>
      <c r="IF15" s="11"/>
      <c r="IG15" s="11"/>
      <c r="IH15" s="11"/>
      <c r="II15" s="11"/>
      <c r="IJ15" s="11"/>
      <c r="IK15" s="11"/>
      <c r="IL15" s="11"/>
      <c r="IM15" s="11"/>
      <c r="IN15" s="11"/>
      <c r="IO15" s="11"/>
      <c r="IP15" s="11"/>
      <c r="IQ15" s="11"/>
      <c r="IR15" s="11"/>
      <c r="IS15" s="11"/>
      <c r="IT15" s="11"/>
      <c r="IU15" s="11"/>
      <c r="IV15" s="11"/>
      <c r="IW15" s="11"/>
      <c r="IX15" s="11"/>
      <c r="IY15" s="11"/>
      <c r="IZ15" s="11"/>
      <c r="JA15" s="11"/>
      <c r="JB15" s="11"/>
      <c r="JC15" s="11"/>
      <c r="JD15" s="11"/>
      <c r="JE15" s="11"/>
      <c r="JF15" s="11"/>
      <c r="JG15" s="11"/>
      <c r="JH15" s="11"/>
      <c r="JI15" s="11"/>
      <c r="JJ15" s="11"/>
      <c r="JK15" s="11"/>
      <c r="JL15" s="11"/>
      <c r="JM15" s="11"/>
      <c r="JN15" s="11"/>
      <c r="JO15" s="11"/>
      <c r="JP15" s="11"/>
      <c r="JQ15" s="11"/>
      <c r="JR15" s="11"/>
      <c r="JS15" s="11"/>
      <c r="JT15" s="11"/>
      <c r="JU15" s="11"/>
      <c r="JV15" s="11"/>
      <c r="JW15" s="11"/>
      <c r="JX15" s="11"/>
      <c r="JY15" s="11"/>
      <c r="JZ15" s="11"/>
      <c r="KA15" s="11"/>
      <c r="KB15" s="11"/>
      <c r="KC15" s="11"/>
      <c r="KD15" s="11"/>
      <c r="KE15" s="11"/>
      <c r="KF15" s="11"/>
      <c r="KG15" s="11"/>
      <c r="KH15" s="11"/>
      <c r="KI15" s="11"/>
      <c r="KJ15" s="11"/>
      <c r="KK15" s="11"/>
      <c r="KL15" s="11"/>
      <c r="KM15" s="11"/>
      <c r="KN15" s="11"/>
      <c r="KO15" s="11"/>
      <c r="KP15" s="11"/>
      <c r="KQ15" s="11"/>
      <c r="KR15" s="11"/>
      <c r="KS15" s="11"/>
      <c r="KT15" s="11"/>
      <c r="KU15" s="11"/>
      <c r="KV15" s="11"/>
      <c r="KW15" s="11"/>
      <c r="KX15" s="11"/>
      <c r="KY15" s="11"/>
      <c r="KZ15" s="11"/>
      <c r="LA15" s="11"/>
      <c r="LB15" s="11"/>
      <c r="LC15" s="11"/>
      <c r="LD15" s="11"/>
      <c r="LE15" s="11"/>
      <c r="LF15" s="11"/>
      <c r="LG15" s="11"/>
      <c r="LH15" s="11"/>
      <c r="LI15" s="11"/>
      <c r="LJ15" s="11"/>
      <c r="LK15" s="11"/>
      <c r="LL15" s="11"/>
      <c r="LM15" s="11"/>
      <c r="LN15" s="11"/>
      <c r="LO15" s="11"/>
      <c r="LP15" s="11"/>
      <c r="LQ15" s="11"/>
      <c r="LR15" s="11"/>
      <c r="LS15" s="11"/>
      <c r="LT15" s="11"/>
      <c r="LU15" s="11"/>
      <c r="LV15" s="11"/>
      <c r="LW15" s="11"/>
      <c r="LX15" s="11"/>
      <c r="LY15" s="11"/>
      <c r="LZ15" s="11"/>
      <c r="MA15" s="11"/>
      <c r="MB15" s="11"/>
      <c r="MC15" s="11"/>
      <c r="MD15" s="11"/>
      <c r="ME15" s="11"/>
      <c r="MF15" s="11"/>
      <c r="MG15" s="11"/>
      <c r="MH15" s="11"/>
      <c r="MI15" s="11"/>
      <c r="MJ15" s="11"/>
      <c r="MK15" s="11"/>
      <c r="ML15" s="11"/>
      <c r="MM15" s="11"/>
      <c r="MN15" s="11"/>
      <c r="MO15" s="11"/>
      <c r="MP15" s="11"/>
      <c r="MQ15" s="11"/>
      <c r="MR15" s="11"/>
      <c r="MS15" s="11"/>
      <c r="MT15" s="11"/>
      <c r="MU15" s="11"/>
      <c r="MV15" s="11"/>
      <c r="MW15" s="11"/>
      <c r="MX15" s="11"/>
      <c r="MY15" s="11"/>
      <c r="MZ15" s="11"/>
      <c r="NA15" s="11"/>
      <c r="NB15" s="11"/>
      <c r="NC15" s="11"/>
      <c r="ND15" s="11"/>
      <c r="NE15" s="11"/>
      <c r="NF15" s="11"/>
      <c r="NG15" s="11"/>
      <c r="NH15" s="11"/>
      <c r="NI15" s="11"/>
      <c r="NJ15" s="11"/>
      <c r="NK15" s="11"/>
      <c r="NL15" s="11"/>
      <c r="NM15" s="11"/>
      <c r="NN15" s="11"/>
      <c r="NO15" s="11"/>
      <c r="NP15" s="11"/>
      <c r="NQ15" s="11"/>
      <c r="NR15" s="11"/>
      <c r="NS15" s="11"/>
      <c r="NT15" s="11"/>
      <c r="NU15" s="11"/>
      <c r="NV15" s="11"/>
      <c r="NW15" s="11"/>
      <c r="NX15" s="11"/>
      <c r="NY15" s="11"/>
      <c r="NZ15" s="11"/>
      <c r="OA15" s="11"/>
      <c r="OB15" s="11"/>
      <c r="OC15" s="11"/>
      <c r="OD15" s="11"/>
      <c r="OE15" s="11"/>
      <c r="OF15" s="11"/>
      <c r="OG15" s="11"/>
      <c r="OH15" s="11"/>
      <c r="OI15" s="11"/>
      <c r="OJ15" s="11"/>
      <c r="OK15" s="11"/>
      <c r="OL15" s="11"/>
      <c r="OM15" s="11"/>
      <c r="ON15" s="11"/>
      <c r="OO15" s="11"/>
      <c r="OP15" s="11"/>
      <c r="OQ15" s="11"/>
      <c r="OR15" s="11"/>
      <c r="OS15" s="11"/>
      <c r="OT15" s="11"/>
      <c r="OU15" s="11"/>
      <c r="OV15" s="11"/>
      <c r="OW15" s="11"/>
      <c r="OX15" s="11"/>
      <c r="OY15" s="11"/>
      <c r="OZ15" s="11"/>
      <c r="PA15" s="11"/>
      <c r="PB15" s="11"/>
      <c r="PC15" s="11"/>
      <c r="PD15" s="11"/>
      <c r="PE15" s="11"/>
      <c r="PF15" s="11"/>
      <c r="PG15" s="11"/>
      <c r="PH15" s="11"/>
      <c r="PI15" s="11"/>
      <c r="PJ15" s="11"/>
      <c r="PK15" s="11"/>
      <c r="PL15" s="11"/>
      <c r="PM15" s="11"/>
      <c r="PN15" s="11"/>
      <c r="PO15" s="11"/>
      <c r="PP15" s="11"/>
      <c r="PQ15" s="11"/>
      <c r="PR15" s="11"/>
      <c r="PS15" s="11"/>
      <c r="PT15" s="11"/>
      <c r="PU15" s="11"/>
      <c r="PV15" s="11"/>
      <c r="PW15" s="11"/>
      <c r="PX15" s="11"/>
      <c r="PY15" s="11"/>
      <c r="PZ15" s="11"/>
      <c r="QA15" s="11"/>
      <c r="QB15" s="11"/>
      <c r="QC15" s="11"/>
      <c r="QD15" s="11"/>
      <c r="QE15" s="11"/>
      <c r="QF15" s="11"/>
      <c r="QG15" s="11"/>
      <c r="QH15" s="11"/>
      <c r="QI15" s="11"/>
      <c r="QJ15" s="11"/>
      <c r="QK15" s="11"/>
      <c r="QL15" s="11"/>
      <c r="QM15" s="11"/>
      <c r="QN15" s="11"/>
      <c r="QO15" s="11"/>
      <c r="QP15" s="11"/>
      <c r="QQ15" s="11"/>
      <c r="QR15" s="11"/>
      <c r="QS15" s="11"/>
      <c r="QT15" s="11"/>
      <c r="QU15" s="11"/>
      <c r="QV15" s="11"/>
      <c r="QW15" s="11"/>
      <c r="QX15" s="11"/>
      <c r="QY15" s="11"/>
      <c r="QZ15" s="11"/>
      <c r="RA15" s="11"/>
      <c r="RB15" s="11"/>
      <c r="RC15" s="11"/>
      <c r="RD15" s="11"/>
      <c r="RE15" s="11"/>
      <c r="RF15" s="11"/>
      <c r="RG15" s="11"/>
      <c r="RH15" s="11"/>
      <c r="RI15" s="11"/>
      <c r="RJ15" s="11"/>
      <c r="RK15" s="11"/>
      <c r="RL15" s="11"/>
      <c r="RM15" s="11"/>
      <c r="RN15" s="11"/>
      <c r="RO15" s="11"/>
      <c r="RP15" s="11"/>
      <c r="RQ15" s="11"/>
      <c r="RR15" s="11"/>
      <c r="RS15" s="11"/>
      <c r="RT15" s="11"/>
      <c r="RU15" s="11"/>
      <c r="RV15" s="11"/>
      <c r="RW15" s="11"/>
      <c r="RX15" s="11"/>
      <c r="RY15" s="11"/>
      <c r="RZ15" s="11"/>
      <c r="SA15" s="11"/>
      <c r="SB15" s="11"/>
      <c r="SC15" s="11"/>
      <c r="SD15" s="11"/>
      <c r="SE15" s="11"/>
      <c r="SF15" s="11"/>
      <c r="SG15" s="11"/>
      <c r="SH15" s="11"/>
      <c r="SI15" s="11"/>
      <c r="SJ15" s="11"/>
      <c r="SK15" s="11"/>
      <c r="SL15" s="11"/>
      <c r="SM15" s="11"/>
      <c r="SN15" s="11"/>
      <c r="SO15" s="11"/>
      <c r="SP15" s="11"/>
      <c r="SQ15" s="11"/>
      <c r="SR15" s="11"/>
      <c r="SS15" s="11"/>
      <c r="ST15" s="11"/>
      <c r="SU15" s="11"/>
      <c r="SV15" s="11"/>
      <c r="SW15" s="11"/>
      <c r="SX15" s="11"/>
      <c r="SY15" s="11"/>
      <c r="SZ15" s="11"/>
      <c r="TA15" s="11"/>
      <c r="TB15" s="11"/>
      <c r="TC15" s="11"/>
      <c r="TD15" s="11"/>
      <c r="TE15" s="11"/>
      <c r="TF15" s="11"/>
      <c r="TG15" s="11"/>
      <c r="TH15" s="11"/>
      <c r="TI15" s="11"/>
      <c r="TJ15" s="11"/>
      <c r="TK15" s="11"/>
      <c r="TL15" s="11"/>
      <c r="TM15" s="11"/>
      <c r="TN15" s="11"/>
      <c r="TO15" s="11"/>
      <c r="TP15" s="11"/>
      <c r="TQ15" s="11"/>
      <c r="TR15" s="11"/>
      <c r="TS15" s="11"/>
      <c r="TT15" s="11"/>
      <c r="TU15" s="11"/>
      <c r="TV15" s="11"/>
      <c r="TW15" s="11"/>
      <c r="TX15" s="11"/>
      <c r="TY15" s="11"/>
      <c r="TZ15" s="11"/>
      <c r="UA15" s="11"/>
      <c r="UB15" s="11"/>
      <c r="UC15" s="11"/>
      <c r="UD15" s="11"/>
      <c r="UE15" s="11"/>
      <c r="UF15" s="11"/>
      <c r="UG15" s="11"/>
      <c r="UH15" s="11"/>
      <c r="UI15" s="11"/>
      <c r="UJ15" s="11"/>
      <c r="UK15" s="11"/>
      <c r="UL15" s="11"/>
      <c r="UM15" s="11"/>
      <c r="UN15" s="11"/>
      <c r="UO15" s="11"/>
      <c r="UP15" s="11"/>
      <c r="UQ15" s="11"/>
      <c r="UR15" s="11"/>
      <c r="US15" s="11"/>
      <c r="UT15" s="11"/>
      <c r="UU15" s="11"/>
      <c r="UV15" s="11"/>
      <c r="UW15" s="11"/>
      <c r="UX15" s="11"/>
      <c r="UY15" s="11"/>
      <c r="UZ15" s="11"/>
      <c r="VA15" s="11"/>
      <c r="VB15" s="11"/>
      <c r="VC15" s="11"/>
      <c r="VD15" s="11"/>
      <c r="VE15" s="11"/>
      <c r="VF15" s="11"/>
      <c r="VG15" s="11"/>
      <c r="VH15" s="11"/>
      <c r="VI15" s="11"/>
      <c r="VJ15" s="11"/>
      <c r="VK15" s="11"/>
      <c r="VL15" s="11"/>
      <c r="VM15" s="11"/>
      <c r="VN15" s="11"/>
      <c r="VO15" s="11"/>
      <c r="VP15" s="11"/>
      <c r="VQ15" s="11"/>
      <c r="VR15" s="11"/>
      <c r="VS15" s="11"/>
      <c r="VT15" s="11"/>
      <c r="VU15" s="11"/>
      <c r="VV15" s="11"/>
      <c r="VW15" s="11"/>
      <c r="VX15" s="11"/>
      <c r="VY15" s="11"/>
      <c r="VZ15" s="11"/>
      <c r="WA15" s="11"/>
      <c r="WB15" s="11"/>
      <c r="WC15" s="11"/>
      <c r="WD15" s="11"/>
      <c r="WE15" s="11"/>
      <c r="WF15" s="11"/>
      <c r="WG15" s="11"/>
      <c r="WH15" s="11"/>
      <c r="WI15" s="11"/>
      <c r="WJ15" s="11"/>
      <c r="WK15" s="11"/>
      <c r="WL15" s="11"/>
      <c r="WM15" s="11"/>
      <c r="WN15" s="11"/>
      <c r="WO15" s="11"/>
      <c r="WP15" s="11"/>
      <c r="WQ15" s="11"/>
      <c r="WR15" s="11"/>
      <c r="WS15" s="11"/>
      <c r="WT15" s="11"/>
      <c r="WU15" s="11"/>
      <c r="WV15" s="11"/>
      <c r="WW15" s="11"/>
      <c r="WX15" s="11"/>
      <c r="WY15" s="11"/>
      <c r="WZ15" s="11"/>
      <c r="XA15" s="11"/>
      <c r="XB15" s="11"/>
      <c r="XC15" s="11"/>
      <c r="XD15" s="11"/>
      <c r="XE15" s="11"/>
      <c r="XF15" s="11"/>
      <c r="XG15" s="11"/>
      <c r="XH15" s="11"/>
      <c r="XI15" s="11"/>
      <c r="XJ15" s="11"/>
      <c r="XK15" s="11"/>
      <c r="XL15" s="11"/>
      <c r="XM15" s="11"/>
      <c r="XN15" s="11"/>
      <c r="XO15" s="11"/>
      <c r="XP15" s="11"/>
      <c r="XQ15" s="11"/>
      <c r="XR15" s="11"/>
      <c r="XS15" s="11"/>
      <c r="XT15" s="11"/>
      <c r="XU15" s="11"/>
      <c r="XV15" s="11"/>
      <c r="XW15" s="11"/>
      <c r="XX15" s="11"/>
      <c r="XY15" s="11"/>
      <c r="XZ15" s="11"/>
      <c r="YA15" s="11"/>
      <c r="YB15" s="11"/>
      <c r="YC15" s="11"/>
      <c r="YD15" s="11"/>
      <c r="YE15" s="11"/>
      <c r="YF15" s="11"/>
      <c r="YG15" s="11"/>
      <c r="YH15" s="11"/>
      <c r="YI15" s="11"/>
      <c r="YJ15" s="11"/>
      <c r="YK15" s="11"/>
      <c r="YL15" s="11"/>
      <c r="YM15" s="11"/>
      <c r="YN15" s="11"/>
      <c r="YO15" s="11"/>
      <c r="YP15" s="11"/>
      <c r="YQ15" s="11"/>
      <c r="YR15" s="11"/>
      <c r="YS15" s="11"/>
      <c r="YT15" s="11"/>
      <c r="YU15" s="11"/>
      <c r="YV15" s="11"/>
      <c r="YW15" s="11"/>
      <c r="YX15" s="11"/>
      <c r="YY15" s="11"/>
      <c r="YZ15" s="11"/>
      <c r="ZA15" s="11"/>
      <c r="ZB15" s="11"/>
      <c r="ZC15" s="11"/>
      <c r="ZD15" s="11"/>
      <c r="ZE15" s="11"/>
      <c r="ZF15" s="11"/>
      <c r="ZG15" s="11"/>
      <c r="ZH15" s="11"/>
      <c r="ZI15" s="11"/>
      <c r="ZJ15" s="11"/>
      <c r="ZK15" s="11"/>
      <c r="ZL15" s="11"/>
      <c r="ZM15" s="11"/>
      <c r="ZN15" s="11"/>
      <c r="ZO15" s="11"/>
      <c r="ZP15" s="11"/>
      <c r="ZQ15" s="11"/>
      <c r="ZR15" s="11"/>
      <c r="ZS15" s="11"/>
      <c r="ZT15" s="11"/>
      <c r="ZU15" s="11"/>
      <c r="ZV15" s="11"/>
      <c r="ZW15" s="11"/>
      <c r="ZX15" s="11"/>
      <c r="ZY15" s="11"/>
      <c r="ZZ15" s="11"/>
      <c r="AAA15" s="11"/>
      <c r="AAB15" s="11"/>
      <c r="AAC15" s="11"/>
      <c r="AAD15" s="11"/>
      <c r="AAE15" s="11"/>
      <c r="AAF15" s="11"/>
      <c r="AAG15" s="11"/>
      <c r="AAH15" s="11"/>
      <c r="AAI15" s="11"/>
      <c r="AAJ15" s="11"/>
      <c r="AAK15" s="11"/>
      <c r="AAL15" s="11"/>
      <c r="AAM15" s="11"/>
      <c r="AAN15" s="11"/>
      <c r="AAO15" s="11"/>
      <c r="AAP15" s="11"/>
      <c r="AAQ15" s="11"/>
      <c r="AAR15" s="11"/>
      <c r="AAS15" s="11"/>
      <c r="AAT15" s="11"/>
      <c r="AAU15" s="11"/>
      <c r="AAV15" s="11"/>
      <c r="AAW15" s="11"/>
      <c r="AAX15" s="11"/>
      <c r="AAY15" s="11"/>
      <c r="AAZ15" s="11"/>
      <c r="ABA15" s="11"/>
      <c r="ABB15" s="11"/>
      <c r="ABC15" s="11"/>
      <c r="ABD15" s="11"/>
      <c r="ABE15" s="11"/>
      <c r="ABF15" s="11"/>
      <c r="ABG15" s="11"/>
      <c r="ABH15" s="11"/>
      <c r="ABI15" s="11"/>
      <c r="ABJ15" s="11"/>
      <c r="ABK15" s="11"/>
      <c r="ABL15" s="11"/>
      <c r="ABM15" s="11"/>
      <c r="ABN15" s="11"/>
      <c r="ABO15" s="11"/>
      <c r="ABP15" s="11"/>
      <c r="ABQ15" s="11"/>
      <c r="ABR15" s="11"/>
      <c r="ABS15" s="11"/>
      <c r="ABT15" s="11"/>
      <c r="ABU15" s="11"/>
      <c r="ABV15" s="11"/>
      <c r="ABW15" s="11"/>
      <c r="ABX15" s="11"/>
      <c r="ABY15" s="11"/>
      <c r="ABZ15" s="11"/>
      <c r="ACA15" s="11"/>
      <c r="ACB15" s="11"/>
      <c r="ACC15" s="11"/>
      <c r="ACD15" s="11"/>
      <c r="ACE15" s="11"/>
      <c r="ACF15" s="11"/>
      <c r="ACG15" s="11"/>
      <c r="ACH15" s="11"/>
      <c r="ACI15" s="11"/>
      <c r="ACJ15" s="11"/>
      <c r="ACK15" s="11"/>
      <c r="ACL15" s="11"/>
      <c r="ACM15" s="11"/>
      <c r="ACN15" s="11"/>
      <c r="ACO15" s="11"/>
      <c r="ACP15" s="11"/>
      <c r="ACQ15" s="11"/>
      <c r="ACR15" s="11"/>
      <c r="ACS15" s="11"/>
      <c r="ACT15" s="11"/>
      <c r="ACU15" s="11"/>
      <c r="ACV15" s="11"/>
      <c r="ACW15" s="11"/>
      <c r="ACX15" s="11"/>
      <c r="ACY15" s="11"/>
      <c r="ACZ15" s="11"/>
      <c r="ADA15" s="11"/>
      <c r="ADB15" s="11"/>
      <c r="ADC15" s="11"/>
      <c r="ADD15" s="11"/>
      <c r="ADE15" s="11"/>
      <c r="ADF15" s="11"/>
      <c r="ADG15" s="11"/>
      <c r="ADH15" s="11"/>
      <c r="ADI15" s="11"/>
      <c r="ADJ15" s="11"/>
      <c r="ADK15" s="11"/>
      <c r="ADL15" s="11"/>
      <c r="ADM15" s="11"/>
      <c r="ADN15" s="11"/>
      <c r="ADO15" s="11"/>
      <c r="ADP15" s="11"/>
      <c r="ADQ15" s="11"/>
      <c r="ADR15" s="11"/>
      <c r="ADS15" s="11"/>
      <c r="ADT15" s="11"/>
      <c r="ADU15" s="11"/>
      <c r="ADV15" s="11"/>
      <c r="ADW15" s="11"/>
      <c r="ADX15" s="11"/>
      <c r="ADY15" s="11"/>
      <c r="ADZ15" s="11"/>
      <c r="AEA15" s="11"/>
      <c r="AEB15" s="11"/>
      <c r="AEC15" s="11"/>
      <c r="AED15" s="11"/>
      <c r="AEE15" s="11"/>
      <c r="AEF15" s="11"/>
      <c r="AEG15" s="11"/>
      <c r="AEH15" s="11"/>
      <c r="AEI15" s="11"/>
      <c r="AEJ15" s="11"/>
      <c r="AEK15" s="11"/>
      <c r="AEL15" s="11"/>
      <c r="AEM15" s="11"/>
      <c r="AEN15" s="11"/>
      <c r="AEO15" s="11"/>
      <c r="AEP15" s="11"/>
      <c r="AEQ15" s="11"/>
      <c r="AER15" s="11"/>
      <c r="AES15" s="11"/>
      <c r="AET15" s="11"/>
      <c r="AEU15" s="11"/>
      <c r="AEV15" s="11"/>
      <c r="AEW15" s="11"/>
      <c r="AEX15" s="11"/>
      <c r="AEY15" s="11"/>
      <c r="AEZ15" s="11"/>
      <c r="AFA15" s="11"/>
      <c r="AFB15" s="11"/>
      <c r="AFC15" s="11"/>
      <c r="AFD15" s="11"/>
      <c r="AFE15" s="11"/>
      <c r="AFF15" s="11"/>
      <c r="AFG15" s="11"/>
      <c r="AFH15" s="11"/>
      <c r="AFI15" s="11"/>
      <c r="AFJ15" s="11"/>
      <c r="AFK15" s="11"/>
      <c r="AFL15" s="11"/>
      <c r="AFM15" s="11"/>
      <c r="AFN15" s="11"/>
      <c r="AFO15" s="11"/>
      <c r="AFP15" s="11"/>
      <c r="AFQ15" s="11"/>
      <c r="AFR15" s="11"/>
      <c r="AFS15" s="11"/>
      <c r="AFT15" s="11"/>
      <c r="AFU15" s="11"/>
      <c r="AFV15" s="11"/>
      <c r="AFW15" s="11"/>
      <c r="AFX15" s="11"/>
      <c r="AFY15" s="11"/>
      <c r="AFZ15" s="11"/>
      <c r="AGA15" s="11"/>
      <c r="AGB15" s="11"/>
      <c r="AGC15" s="11"/>
      <c r="AGD15" s="11"/>
      <c r="AGE15" s="11"/>
      <c r="AGF15" s="11"/>
      <c r="AGG15" s="11"/>
      <c r="AGH15" s="11"/>
      <c r="AGI15" s="11"/>
      <c r="AGJ15" s="11"/>
      <c r="AGK15" s="11"/>
      <c r="AGL15" s="11"/>
      <c r="AGM15" s="11"/>
      <c r="AGN15" s="11"/>
      <c r="AGO15" s="11"/>
      <c r="AGP15" s="11"/>
      <c r="AGQ15" s="11"/>
      <c r="AGR15" s="11"/>
      <c r="AGS15" s="11"/>
      <c r="AGT15" s="11"/>
      <c r="AGU15" s="11"/>
      <c r="AGV15" s="11"/>
      <c r="AGW15" s="11"/>
      <c r="AGX15" s="11"/>
      <c r="AGY15" s="11"/>
      <c r="AGZ15" s="11"/>
      <c r="AHA15" s="11"/>
      <c r="AHB15" s="11"/>
      <c r="AHC15" s="11"/>
      <c r="AHD15" s="11"/>
      <c r="AHE15" s="11"/>
      <c r="AHF15" s="11"/>
      <c r="AHG15" s="11"/>
      <c r="AHH15" s="11"/>
      <c r="AHI15" s="11"/>
      <c r="AHJ15" s="11"/>
      <c r="AHK15" s="11"/>
      <c r="AHL15" s="11"/>
      <c r="AHM15" s="11"/>
      <c r="AHN15" s="11"/>
      <c r="AHO15" s="11"/>
      <c r="AHP15" s="11"/>
      <c r="AHQ15" s="11"/>
      <c r="AHR15" s="11"/>
      <c r="AHS15" s="11"/>
      <c r="AHT15" s="11"/>
      <c r="AHU15" s="11"/>
      <c r="AHV15" s="11"/>
      <c r="AHW15" s="11"/>
      <c r="AHX15" s="11"/>
      <c r="AHY15" s="11"/>
      <c r="AHZ15" s="11"/>
      <c r="AIA15" s="11"/>
      <c r="AIB15" s="11"/>
      <c r="AIC15" s="11"/>
      <c r="AID15" s="11"/>
      <c r="AIE15" s="11"/>
      <c r="AIF15" s="11"/>
      <c r="AIG15" s="11"/>
      <c r="AIH15" s="11"/>
      <c r="AII15" s="11"/>
      <c r="AIJ15" s="11"/>
      <c r="AIK15" s="11"/>
      <c r="AIL15" s="11"/>
      <c r="AIM15" s="11"/>
      <c r="AIN15" s="11"/>
      <c r="AIO15" s="11"/>
      <c r="AIP15" s="11"/>
      <c r="AIQ15" s="11"/>
      <c r="AIR15" s="11"/>
      <c r="AIS15" s="11"/>
      <c r="AIT15" s="11"/>
      <c r="AIU15" s="11"/>
      <c r="AIV15" s="11"/>
      <c r="AIW15" s="11"/>
      <c r="AIX15" s="11"/>
      <c r="AIY15" s="11"/>
      <c r="AIZ15" s="11"/>
      <c r="AJA15" s="11"/>
      <c r="AJB15" s="11"/>
      <c r="AJC15" s="11"/>
      <c r="AJD15" s="11"/>
      <c r="AJE15" s="11"/>
      <c r="AJF15" s="11"/>
      <c r="AJG15" s="11"/>
      <c r="AJH15" s="11"/>
      <c r="AJI15" s="11"/>
      <c r="AJJ15" s="11"/>
      <c r="AJK15" s="11"/>
      <c r="AJL15" s="11"/>
      <c r="AJM15" s="11"/>
      <c r="AJN15" s="11"/>
      <c r="AJO15" s="11"/>
      <c r="AJP15" s="11"/>
      <c r="AJQ15" s="11"/>
      <c r="AJR15" s="11"/>
      <c r="AJS15" s="11"/>
      <c r="AJT15" s="11"/>
      <c r="AJU15" s="11"/>
      <c r="AJV15" s="11"/>
      <c r="AJW15" s="11"/>
      <c r="AJX15" s="11"/>
      <c r="AJY15" s="11"/>
      <c r="AJZ15" s="11"/>
      <c r="AKA15" s="11"/>
      <c r="AKB15" s="11"/>
      <c r="AKC15" s="11"/>
      <c r="AKD15" s="11"/>
      <c r="AKE15" s="11"/>
      <c r="AKF15" s="11"/>
      <c r="AKG15" s="11"/>
      <c r="AKH15" s="11"/>
      <c r="AKI15" s="11"/>
      <c r="AKJ15" s="11"/>
      <c r="AKK15" s="11"/>
      <c r="AKL15" s="11"/>
      <c r="AKM15" s="11"/>
      <c r="AKN15" s="11"/>
      <c r="AKO15" s="11"/>
      <c r="AKP15" s="11"/>
      <c r="AKQ15" s="11"/>
      <c r="AKR15" s="11"/>
      <c r="AKS15" s="11"/>
      <c r="AKT15" s="11"/>
      <c r="AKU15" s="11"/>
      <c r="AKV15" s="11"/>
      <c r="AKW15" s="11"/>
      <c r="AKX15" s="11"/>
      <c r="AKY15" s="11"/>
      <c r="AKZ15" s="11"/>
      <c r="ALA15" s="11"/>
      <c r="ALB15" s="11"/>
      <c r="ALC15" s="11"/>
      <c r="ALD15" s="11"/>
      <c r="ALE15" s="11"/>
      <c r="ALF15" s="11"/>
      <c r="ALG15" s="11"/>
      <c r="ALH15" s="11"/>
      <c r="ALI15" s="11"/>
      <c r="ALJ15" s="11"/>
      <c r="ALK15" s="11"/>
      <c r="ALL15" s="11"/>
      <c r="ALM15" s="11"/>
      <c r="ALN15" s="11"/>
      <c r="ALO15" s="11"/>
      <c r="ALP15" s="11"/>
      <c r="ALQ15" s="11"/>
      <c r="ALR15" s="11"/>
      <c r="ALS15" s="11"/>
      <c r="ALT15" s="11"/>
      <c r="ALU15" s="11"/>
      <c r="ALV15" s="11"/>
      <c r="ALW15" s="11"/>
      <c r="ALX15" s="11"/>
      <c r="ALY15" s="11"/>
      <c r="ALZ15" s="11"/>
      <c r="AMA15" s="11"/>
      <c r="AMB15" s="11"/>
      <c r="AMC15" s="11"/>
      <c r="AMD15" s="11"/>
      <c r="AME15" s="11"/>
      <c r="AMF15" s="11"/>
      <c r="AMG15" s="11"/>
      <c r="AMH15" s="11"/>
      <c r="AMI15" s="11"/>
      <c r="AMJ15" s="11"/>
      <c r="AMK15" s="11"/>
      <c r="AML15" s="11"/>
      <c r="AMM15" s="11"/>
      <c r="AMN15" s="11"/>
      <c r="AMO15" s="11"/>
      <c r="AMP15" s="11"/>
      <c r="AMQ15" s="11"/>
      <c r="AMR15" s="11"/>
      <c r="AMS15" s="11"/>
      <c r="AMT15" s="11"/>
      <c r="AMU15" s="11"/>
      <c r="AMV15" s="11"/>
      <c r="AMW15" s="11"/>
      <c r="AMX15" s="11"/>
      <c r="AMY15" s="11"/>
      <c r="AMZ15" s="11"/>
      <c r="ANA15" s="11"/>
      <c r="ANB15" s="11"/>
      <c r="ANC15" s="11"/>
      <c r="AND15" s="11"/>
      <c r="ANE15" s="11"/>
      <c r="ANF15" s="11"/>
      <c r="ANG15" s="11"/>
      <c r="ANH15" s="11"/>
      <c r="ANI15" s="11"/>
      <c r="ANJ15" s="11"/>
      <c r="ANK15" s="11"/>
      <c r="ANL15" s="11"/>
      <c r="ANM15" s="11"/>
      <c r="ANN15" s="11"/>
      <c r="ANO15" s="11"/>
      <c r="ANP15" s="11"/>
      <c r="ANQ15" s="11"/>
      <c r="ANR15" s="11"/>
      <c r="ANS15" s="11"/>
      <c r="ANT15" s="11"/>
      <c r="ANU15" s="11"/>
      <c r="ANV15" s="11"/>
      <c r="ANW15" s="11"/>
      <c r="ANX15" s="11"/>
      <c r="ANY15" s="11"/>
      <c r="ANZ15" s="11"/>
      <c r="AOA15" s="11"/>
      <c r="AOB15" s="11"/>
      <c r="AOC15" s="11"/>
      <c r="AOD15" s="11"/>
      <c r="AOE15" s="11"/>
      <c r="AOF15" s="11"/>
      <c r="AOG15" s="11"/>
      <c r="AOH15" s="11"/>
      <c r="AOI15" s="11"/>
      <c r="AOJ15" s="11"/>
      <c r="AOK15" s="11"/>
      <c r="AOL15" s="11"/>
      <c r="AOM15" s="11"/>
      <c r="AON15" s="11"/>
      <c r="AOO15" s="11"/>
      <c r="AOP15" s="11"/>
      <c r="AOQ15" s="11"/>
      <c r="AOR15" s="11"/>
      <c r="AOS15" s="11"/>
      <c r="AOT15" s="11"/>
      <c r="AOU15" s="11"/>
      <c r="AOV15" s="11"/>
      <c r="AOW15" s="11"/>
      <c r="AOX15" s="11"/>
      <c r="AOY15" s="11"/>
      <c r="AOZ15" s="11"/>
      <c r="APA15" s="11"/>
      <c r="APB15" s="11"/>
      <c r="APC15" s="11"/>
      <c r="APD15" s="11"/>
      <c r="APE15" s="11"/>
      <c r="APF15" s="11"/>
      <c r="APG15" s="11"/>
      <c r="APH15" s="11"/>
      <c r="API15" s="11"/>
      <c r="APJ15" s="11"/>
      <c r="APK15" s="11"/>
      <c r="APL15" s="11"/>
      <c r="APM15" s="11"/>
      <c r="APN15" s="11"/>
      <c r="APO15" s="11"/>
      <c r="APP15" s="11"/>
      <c r="APQ15" s="11"/>
      <c r="APR15" s="11"/>
      <c r="APS15" s="11"/>
      <c r="APT15" s="11"/>
      <c r="APU15" s="11"/>
      <c r="APV15" s="11"/>
      <c r="APW15" s="11"/>
      <c r="APX15" s="11"/>
      <c r="APY15" s="11"/>
      <c r="APZ15" s="11"/>
      <c r="AQA15" s="11"/>
      <c r="AQB15" s="11"/>
      <c r="AQC15" s="11"/>
      <c r="AQD15" s="11"/>
      <c r="AQE15" s="11"/>
      <c r="AQF15" s="11"/>
      <c r="AQG15" s="11"/>
      <c r="AQH15" s="11"/>
      <c r="AQI15" s="11"/>
      <c r="AQJ15" s="11"/>
      <c r="AQK15" s="11"/>
      <c r="AQL15" s="11"/>
      <c r="AQM15" s="11"/>
      <c r="AQN15" s="11"/>
      <c r="AQO15" s="11"/>
      <c r="AQP15" s="11"/>
      <c r="AQQ15" s="11"/>
      <c r="AQR15" s="11"/>
      <c r="AQS15" s="11"/>
      <c r="AQT15" s="11"/>
      <c r="AQU15" s="11"/>
      <c r="AQV15" s="11"/>
      <c r="AQW15" s="11"/>
      <c r="AQX15" s="11"/>
      <c r="AQY15" s="11"/>
      <c r="AQZ15" s="11"/>
      <c r="ARA15" s="11"/>
      <c r="ARB15" s="11"/>
      <c r="ARC15" s="11"/>
      <c r="ARD15" s="11"/>
      <c r="ARE15" s="11"/>
      <c r="ARF15" s="11"/>
      <c r="ARG15" s="11"/>
      <c r="ARH15" s="11"/>
      <c r="ARI15" s="11"/>
      <c r="ARJ15" s="11"/>
      <c r="ARK15" s="11"/>
      <c r="ARL15" s="11"/>
      <c r="ARM15" s="11"/>
      <c r="ARN15" s="11"/>
      <c r="ARO15" s="11"/>
      <c r="ARP15" s="11"/>
      <c r="ARQ15" s="11"/>
      <c r="ARR15" s="11"/>
      <c r="ARS15" s="11"/>
      <c r="ART15" s="11"/>
      <c r="ARU15" s="11"/>
      <c r="ARV15" s="11"/>
      <c r="ARW15" s="11"/>
      <c r="ARX15" s="11"/>
      <c r="ARY15" s="11"/>
      <c r="ARZ15" s="11"/>
      <c r="ASA15" s="11"/>
      <c r="ASB15" s="11"/>
      <c r="ASC15" s="11"/>
      <c r="ASD15" s="11"/>
      <c r="ASE15" s="11"/>
      <c r="ASF15" s="11"/>
      <c r="ASG15" s="11"/>
      <c r="ASH15" s="11"/>
      <c r="ASI15" s="11"/>
      <c r="ASJ15" s="11"/>
      <c r="ASK15" s="11"/>
      <c r="ASL15" s="11"/>
      <c r="ASM15" s="11"/>
      <c r="ASN15" s="11"/>
      <c r="ASO15" s="11"/>
      <c r="ASP15" s="11"/>
      <c r="ASQ15" s="11"/>
      <c r="ASR15" s="11"/>
      <c r="ASS15" s="11"/>
      <c r="AST15" s="11"/>
      <c r="ASU15" s="11"/>
      <c r="ASV15" s="11"/>
      <c r="ASW15" s="11"/>
      <c r="ASX15" s="11"/>
      <c r="ASY15" s="11"/>
      <c r="ASZ15" s="11"/>
      <c r="ATA15" s="11"/>
      <c r="ATB15" s="11"/>
      <c r="ATC15" s="11"/>
      <c r="ATD15" s="11"/>
      <c r="ATE15" s="11"/>
      <c r="ATF15" s="11"/>
      <c r="ATG15" s="11"/>
      <c r="ATH15" s="11"/>
      <c r="ATI15" s="11"/>
      <c r="ATJ15" s="11"/>
      <c r="ATK15" s="11"/>
      <c r="ATL15" s="11"/>
      <c r="ATM15" s="11"/>
      <c r="ATN15" s="11"/>
      <c r="ATO15" s="11"/>
      <c r="ATP15" s="11"/>
      <c r="ATQ15" s="11"/>
      <c r="ATR15" s="11"/>
      <c r="ATS15" s="11"/>
      <c r="ATT15" s="11"/>
      <c r="ATU15" s="11"/>
      <c r="ATV15" s="11"/>
      <c r="ATW15" s="11"/>
      <c r="ATX15" s="11"/>
      <c r="ATY15" s="11"/>
      <c r="ATZ15" s="11"/>
      <c r="AUA15" s="11"/>
      <c r="AUB15" s="11"/>
      <c r="AUC15" s="11"/>
      <c r="AUD15" s="11"/>
      <c r="AUE15" s="11"/>
      <c r="AUF15" s="11"/>
      <c r="AUG15" s="11"/>
      <c r="AUH15" s="11"/>
      <c r="AUI15" s="11"/>
      <c r="AUJ15" s="11"/>
      <c r="AUK15" s="11"/>
      <c r="AUL15" s="11"/>
      <c r="AUM15" s="11"/>
      <c r="AUN15" s="11"/>
      <c r="AUO15" s="11"/>
      <c r="AUP15" s="11"/>
      <c r="AUQ15" s="11"/>
      <c r="AUR15" s="11"/>
      <c r="AUS15" s="11"/>
      <c r="AUT15" s="11"/>
      <c r="AUU15" s="11"/>
      <c r="AUV15" s="11"/>
      <c r="AUW15" s="11"/>
      <c r="AUX15" s="11"/>
      <c r="AUY15" s="11"/>
      <c r="AUZ15" s="11"/>
      <c r="AVA15" s="11"/>
      <c r="AVB15" s="11"/>
      <c r="AVC15" s="11"/>
      <c r="AVD15" s="11"/>
      <c r="AVE15" s="11"/>
      <c r="AVF15" s="11"/>
      <c r="AVG15" s="11"/>
      <c r="AVH15" s="11"/>
      <c r="AVI15" s="11"/>
      <c r="AVJ15" s="11"/>
      <c r="AVK15" s="11"/>
      <c r="AVL15" s="11"/>
      <c r="AVM15" s="11"/>
      <c r="AVN15" s="11"/>
      <c r="AVO15" s="11"/>
      <c r="AVP15" s="11"/>
      <c r="AVQ15" s="11"/>
      <c r="AVR15" s="11"/>
      <c r="AVS15" s="11"/>
      <c r="AVT15" s="11"/>
      <c r="AVU15" s="11"/>
      <c r="AVV15" s="11"/>
      <c r="AVW15" s="11"/>
      <c r="AVX15" s="11"/>
      <c r="AVY15" s="11"/>
      <c r="AVZ15" s="11"/>
      <c r="AWA15" s="11"/>
      <c r="AWB15" s="11"/>
      <c r="AWC15" s="11"/>
      <c r="AWD15" s="11"/>
      <c r="AWE15" s="11"/>
      <c r="AWF15" s="11"/>
      <c r="AWG15" s="11"/>
      <c r="AWH15" s="11"/>
      <c r="AWI15" s="11"/>
      <c r="AWJ15" s="11"/>
      <c r="AWK15" s="11"/>
      <c r="AWL15" s="11"/>
      <c r="AWM15" s="11"/>
      <c r="AWN15" s="11"/>
      <c r="AWO15" s="11"/>
      <c r="AWP15" s="11"/>
      <c r="AWQ15" s="11"/>
      <c r="AWR15" s="11"/>
      <c r="AWS15" s="11"/>
      <c r="AWT15" s="11"/>
      <c r="AWU15" s="11"/>
      <c r="AWV15" s="11"/>
      <c r="AWW15" s="11"/>
      <c r="AWX15" s="11"/>
      <c r="AWY15" s="11"/>
      <c r="AWZ15" s="11"/>
      <c r="AXA15" s="11"/>
      <c r="AXB15" s="11"/>
      <c r="AXC15" s="11"/>
      <c r="AXD15" s="11"/>
      <c r="AXE15" s="11"/>
      <c r="AXF15" s="11"/>
      <c r="AXG15" s="11"/>
      <c r="AXH15" s="11"/>
      <c r="AXI15" s="11"/>
      <c r="AXJ15" s="11"/>
      <c r="AXK15" s="11"/>
      <c r="AXL15" s="11"/>
      <c r="AXM15" s="11"/>
      <c r="AXN15" s="11"/>
      <c r="AXO15" s="11"/>
      <c r="AXP15" s="11"/>
      <c r="AXQ15" s="11"/>
      <c r="AXR15" s="11"/>
      <c r="AXS15" s="11"/>
      <c r="AXT15" s="11"/>
      <c r="AXU15" s="11"/>
      <c r="AXV15" s="11"/>
      <c r="AXW15" s="11"/>
      <c r="AXX15" s="11"/>
      <c r="AXY15" s="11"/>
      <c r="AXZ15" s="11"/>
      <c r="AYA15" s="11"/>
      <c r="AYB15" s="11"/>
      <c r="AYC15" s="11"/>
      <c r="AYD15" s="11"/>
      <c r="AYE15" s="11"/>
      <c r="AYF15" s="11"/>
      <c r="AYG15" s="11"/>
      <c r="AYH15" s="11"/>
      <c r="AYI15" s="11"/>
      <c r="AYJ15" s="11"/>
      <c r="AYK15" s="11"/>
      <c r="AYL15" s="11"/>
      <c r="AYM15" s="11"/>
      <c r="AYN15" s="11"/>
      <c r="AYO15" s="11"/>
      <c r="AYP15" s="11"/>
      <c r="AYQ15" s="11"/>
      <c r="AYR15" s="11"/>
      <c r="AYS15" s="11"/>
      <c r="AYT15" s="11"/>
      <c r="AYU15" s="11"/>
      <c r="AYV15" s="11"/>
      <c r="AYW15" s="11"/>
      <c r="AYX15" s="11"/>
      <c r="AYY15" s="11"/>
      <c r="AYZ15" s="11"/>
      <c r="AZA15" s="11"/>
      <c r="AZB15" s="11"/>
      <c r="AZC15" s="11"/>
      <c r="AZD15" s="11"/>
      <c r="AZE15" s="11"/>
      <c r="AZF15" s="11"/>
      <c r="AZG15" s="11"/>
      <c r="AZH15" s="11"/>
      <c r="AZI15" s="11"/>
      <c r="AZJ15" s="11"/>
      <c r="AZK15" s="11"/>
      <c r="AZL15" s="11"/>
      <c r="AZM15" s="11"/>
      <c r="AZN15" s="11"/>
      <c r="AZO15" s="11"/>
      <c r="AZP15" s="11"/>
      <c r="AZQ15" s="11"/>
      <c r="AZR15" s="11"/>
      <c r="AZS15" s="11"/>
      <c r="AZT15" s="11"/>
      <c r="AZU15" s="11"/>
      <c r="AZV15" s="11"/>
      <c r="AZW15" s="11"/>
      <c r="AZX15" s="11"/>
      <c r="AZY15" s="11"/>
      <c r="AZZ15" s="11"/>
      <c r="BAA15" s="11"/>
      <c r="BAB15" s="11"/>
      <c r="BAC15" s="11"/>
      <c r="BAD15" s="11"/>
      <c r="BAE15" s="11"/>
      <c r="BAF15" s="11"/>
      <c r="BAG15" s="11"/>
      <c r="BAH15" s="11"/>
      <c r="BAI15" s="11"/>
      <c r="BAJ15" s="11"/>
      <c r="BAK15" s="11"/>
      <c r="BAL15" s="11"/>
      <c r="BAM15" s="11"/>
      <c r="BAN15" s="11"/>
      <c r="BAO15" s="11"/>
      <c r="BAP15" s="11"/>
      <c r="BAQ15" s="11"/>
      <c r="BAR15" s="11"/>
      <c r="BAS15" s="11"/>
      <c r="BAT15" s="11"/>
      <c r="BAU15" s="11"/>
      <c r="BAV15" s="11"/>
      <c r="BAW15" s="11"/>
      <c r="BAX15" s="11"/>
      <c r="BAY15" s="11"/>
      <c r="BAZ15" s="11"/>
      <c r="BBA15" s="11"/>
      <c r="BBB15" s="11"/>
      <c r="BBC15" s="11"/>
      <c r="BBD15" s="11"/>
      <c r="BBE15" s="11"/>
      <c r="BBF15" s="11"/>
      <c r="BBG15" s="11"/>
      <c r="BBH15" s="11"/>
      <c r="BBI15" s="11"/>
      <c r="BBJ15" s="11"/>
      <c r="BBK15" s="11"/>
      <c r="BBL15" s="11"/>
      <c r="BBM15" s="11"/>
      <c r="BBN15" s="11"/>
      <c r="BBO15" s="11"/>
      <c r="BBP15" s="11"/>
      <c r="BBQ15" s="11"/>
      <c r="BBR15" s="11"/>
      <c r="BBS15" s="11"/>
      <c r="BBT15" s="11"/>
      <c r="BBU15" s="11"/>
      <c r="BBV15" s="11"/>
      <c r="BBW15" s="11"/>
      <c r="BBX15" s="11"/>
      <c r="BBY15" s="11"/>
      <c r="BBZ15" s="11"/>
      <c r="BCA15" s="11"/>
      <c r="BCB15" s="11"/>
      <c r="BCC15" s="11"/>
      <c r="BCD15" s="11"/>
      <c r="BCE15" s="11"/>
      <c r="BCF15" s="11"/>
      <c r="BCG15" s="11"/>
      <c r="BCH15" s="11"/>
      <c r="BCI15" s="11"/>
      <c r="BCJ15" s="11"/>
      <c r="BCK15" s="11"/>
      <c r="BCL15" s="11"/>
      <c r="BCM15" s="11"/>
      <c r="BCN15" s="11"/>
      <c r="BCO15" s="11"/>
      <c r="BCP15" s="11"/>
      <c r="BCQ15" s="11"/>
      <c r="BCR15" s="11"/>
      <c r="BCS15" s="11"/>
      <c r="BCT15" s="11"/>
      <c r="BCU15" s="11"/>
      <c r="BCV15" s="11"/>
      <c r="BCW15" s="11"/>
      <c r="BCX15" s="11"/>
      <c r="BCY15" s="11"/>
      <c r="BCZ15" s="11"/>
      <c r="BDA15" s="11"/>
      <c r="BDB15" s="11"/>
      <c r="BDC15" s="11"/>
      <c r="BDD15" s="11"/>
      <c r="BDE15" s="11"/>
      <c r="BDF15" s="11"/>
      <c r="BDG15" s="11"/>
      <c r="BDH15" s="11"/>
      <c r="BDI15" s="11"/>
      <c r="BDJ15" s="11"/>
      <c r="BDK15" s="11"/>
      <c r="BDL15" s="11"/>
      <c r="BDM15" s="11"/>
      <c r="BDN15" s="11"/>
      <c r="BDO15" s="11"/>
      <c r="BDP15" s="11"/>
      <c r="BDQ15" s="11"/>
      <c r="BDR15" s="11"/>
      <c r="BDS15" s="11"/>
      <c r="BDT15" s="11"/>
      <c r="BDU15" s="11"/>
      <c r="BDV15" s="11"/>
      <c r="BDW15" s="11"/>
      <c r="BDX15" s="11"/>
      <c r="BDY15" s="11"/>
      <c r="BDZ15" s="11"/>
      <c r="BEA15" s="11"/>
      <c r="BEB15" s="11"/>
      <c r="BEC15" s="11"/>
      <c r="BED15" s="11"/>
      <c r="BEE15" s="11"/>
      <c r="BEF15" s="11"/>
      <c r="BEG15" s="11"/>
      <c r="BEH15" s="11"/>
      <c r="BEI15" s="11"/>
      <c r="BEJ15" s="11"/>
      <c r="BEK15" s="11"/>
      <c r="BEL15" s="11"/>
      <c r="BEM15" s="11"/>
      <c r="BEN15" s="11"/>
      <c r="BEO15" s="11"/>
      <c r="BEP15" s="11"/>
      <c r="BEQ15" s="11"/>
      <c r="BER15" s="11"/>
      <c r="BES15" s="11"/>
      <c r="BET15" s="11"/>
      <c r="BEU15" s="11"/>
      <c r="BEV15" s="11"/>
      <c r="BEW15" s="11"/>
      <c r="BEX15" s="11"/>
      <c r="BEY15" s="11"/>
      <c r="BEZ15" s="11"/>
      <c r="BFA15" s="11"/>
      <c r="BFB15" s="11"/>
      <c r="BFC15" s="11"/>
      <c r="BFD15" s="11"/>
      <c r="BFE15" s="11"/>
      <c r="BFF15" s="11"/>
      <c r="BFG15" s="11"/>
      <c r="BFH15" s="11"/>
      <c r="BFI15" s="11"/>
      <c r="BFJ15" s="11"/>
      <c r="BFK15" s="11"/>
      <c r="BFL15" s="11"/>
      <c r="BFM15" s="11"/>
      <c r="BFN15" s="11"/>
      <c r="BFO15" s="11"/>
      <c r="BFP15" s="11"/>
      <c r="BFQ15" s="11"/>
      <c r="BFR15" s="11"/>
      <c r="BFS15" s="11"/>
      <c r="BFT15" s="11"/>
      <c r="BFU15" s="11"/>
      <c r="BFV15" s="11"/>
      <c r="BFW15" s="11"/>
      <c r="BFX15" s="11"/>
      <c r="BFY15" s="11"/>
      <c r="BFZ15" s="11"/>
      <c r="BGA15" s="11"/>
      <c r="BGB15" s="11"/>
      <c r="BGC15" s="11"/>
      <c r="BGD15" s="11"/>
      <c r="BGE15" s="11"/>
      <c r="BGF15" s="11"/>
      <c r="BGG15" s="11"/>
      <c r="BGH15" s="11"/>
      <c r="BGI15" s="11"/>
      <c r="BGJ15" s="11"/>
      <c r="BGK15" s="11"/>
      <c r="BGL15" s="11"/>
      <c r="BGM15" s="11"/>
      <c r="BGN15" s="11"/>
      <c r="BGO15" s="11"/>
      <c r="BGP15" s="11"/>
      <c r="BGQ15" s="11"/>
      <c r="BGR15" s="11"/>
      <c r="BGS15" s="11"/>
      <c r="BGT15" s="11"/>
      <c r="BGU15" s="11"/>
      <c r="BGV15" s="11"/>
      <c r="BGW15" s="11"/>
      <c r="BGX15" s="11"/>
      <c r="BGY15" s="11"/>
      <c r="BGZ15" s="11"/>
      <c r="BHA15" s="11"/>
      <c r="BHB15" s="11"/>
      <c r="BHC15" s="11"/>
      <c r="BHD15" s="11"/>
      <c r="BHE15" s="11"/>
      <c r="BHF15" s="11"/>
      <c r="BHG15" s="11"/>
      <c r="BHH15" s="11"/>
      <c r="BHI15" s="11"/>
      <c r="BHJ15" s="11"/>
      <c r="BHK15" s="11"/>
      <c r="BHL15" s="11"/>
      <c r="BHM15" s="11"/>
      <c r="BHN15" s="11"/>
      <c r="BHO15" s="11"/>
      <c r="BHP15" s="11"/>
      <c r="BHQ15" s="11"/>
      <c r="BHR15" s="11"/>
      <c r="BHS15" s="11"/>
      <c r="BHT15" s="11"/>
      <c r="BHU15" s="11"/>
      <c r="BHV15" s="11"/>
      <c r="BHW15" s="11"/>
      <c r="BHX15" s="11"/>
      <c r="BHY15" s="11"/>
      <c r="BHZ15" s="11"/>
      <c r="BIA15" s="11"/>
      <c r="BIB15" s="11"/>
      <c r="BIC15" s="11"/>
      <c r="BID15" s="11"/>
      <c r="BIE15" s="11"/>
      <c r="BIF15" s="11"/>
      <c r="BIG15" s="11"/>
      <c r="BIH15" s="11"/>
      <c r="BII15" s="11"/>
      <c r="BIJ15" s="11"/>
      <c r="BIK15" s="11"/>
      <c r="BIL15" s="11"/>
      <c r="BIM15" s="11"/>
      <c r="BIN15" s="11"/>
      <c r="BIO15" s="11"/>
      <c r="BIP15" s="11"/>
      <c r="BIQ15" s="11"/>
      <c r="BIR15" s="11"/>
      <c r="BIS15" s="11"/>
      <c r="BIT15" s="11"/>
      <c r="BIU15" s="11"/>
      <c r="BIV15" s="11"/>
      <c r="BIW15" s="11"/>
      <c r="BIX15" s="11"/>
      <c r="BIY15" s="11"/>
      <c r="BIZ15" s="11"/>
      <c r="BJA15" s="11"/>
      <c r="BJB15" s="11"/>
      <c r="BJC15" s="11"/>
      <c r="BJD15" s="11"/>
      <c r="BJE15" s="11"/>
      <c r="BJF15" s="11"/>
      <c r="BJG15" s="11"/>
      <c r="BJH15" s="11"/>
      <c r="BJI15" s="11"/>
      <c r="BJJ15" s="11"/>
      <c r="BJK15" s="11"/>
      <c r="BJL15" s="11"/>
      <c r="BJM15" s="11"/>
      <c r="BJN15" s="11"/>
      <c r="BJO15" s="11"/>
      <c r="BJP15" s="11"/>
      <c r="BJQ15" s="11"/>
      <c r="BJR15" s="11"/>
      <c r="BJS15" s="11"/>
      <c r="BJT15" s="11"/>
      <c r="BJU15" s="11"/>
      <c r="BJV15" s="11"/>
      <c r="BJW15" s="11"/>
      <c r="BJX15" s="11"/>
      <c r="BJY15" s="11"/>
      <c r="BJZ15" s="11"/>
      <c r="BKA15" s="11"/>
      <c r="BKB15" s="11"/>
      <c r="BKC15" s="11"/>
      <c r="BKD15" s="11"/>
      <c r="BKE15" s="11"/>
      <c r="BKF15" s="11"/>
      <c r="BKG15" s="11"/>
      <c r="BKH15" s="11"/>
      <c r="BKI15" s="11"/>
      <c r="BKJ15" s="11"/>
      <c r="BKK15" s="11"/>
      <c r="BKL15" s="11"/>
      <c r="BKM15" s="11"/>
      <c r="BKN15" s="11"/>
      <c r="BKO15" s="11"/>
      <c r="BKP15" s="11"/>
      <c r="BKQ15" s="11"/>
      <c r="BKR15" s="11"/>
      <c r="BKS15" s="11"/>
      <c r="BKT15" s="11"/>
      <c r="BKU15" s="11"/>
      <c r="BKV15" s="11"/>
      <c r="BKW15" s="11"/>
      <c r="BKX15" s="11"/>
      <c r="BKY15" s="11"/>
      <c r="BKZ15" s="11"/>
      <c r="BLA15" s="11"/>
      <c r="BLB15" s="11"/>
      <c r="BLC15" s="11"/>
      <c r="BLD15" s="11"/>
      <c r="BLE15" s="11"/>
      <c r="BLF15" s="11"/>
      <c r="BLG15" s="11"/>
      <c r="BLH15" s="11"/>
      <c r="BLI15" s="11"/>
      <c r="BLJ15" s="11"/>
      <c r="BLK15" s="11"/>
      <c r="BLL15" s="11"/>
      <c r="BLM15" s="11"/>
      <c r="BLN15" s="11"/>
      <c r="BLO15" s="11"/>
      <c r="BLP15" s="11"/>
      <c r="BLQ15" s="11"/>
      <c r="BLR15" s="11"/>
      <c r="BLS15" s="11"/>
      <c r="BLT15" s="11"/>
      <c r="BLU15" s="11"/>
      <c r="BLV15" s="11"/>
      <c r="BLW15" s="11"/>
      <c r="BLX15" s="11"/>
      <c r="BLY15" s="11"/>
      <c r="BLZ15" s="11"/>
      <c r="BMA15" s="11"/>
      <c r="BMB15" s="11"/>
      <c r="BMC15" s="11"/>
      <c r="BMD15" s="11"/>
      <c r="BME15" s="11"/>
      <c r="BMF15" s="11"/>
      <c r="BMG15" s="11"/>
      <c r="BMH15" s="11"/>
      <c r="BMI15" s="11"/>
      <c r="BMJ15" s="11"/>
      <c r="BMK15" s="11"/>
      <c r="BML15" s="11"/>
      <c r="BMM15" s="11"/>
      <c r="BMN15" s="11"/>
      <c r="BMO15" s="11"/>
      <c r="BMP15" s="11"/>
      <c r="BMQ15" s="11"/>
      <c r="BMR15" s="11"/>
      <c r="BMS15" s="11"/>
      <c r="BMT15" s="11"/>
      <c r="BMU15" s="11"/>
      <c r="BMV15" s="11"/>
      <c r="BMW15" s="11"/>
      <c r="BMX15" s="11"/>
      <c r="BMY15" s="11"/>
      <c r="BMZ15" s="11"/>
      <c r="BNA15" s="11"/>
      <c r="BNB15" s="11"/>
      <c r="BNC15" s="11"/>
      <c r="BND15" s="11"/>
      <c r="BNE15" s="11"/>
      <c r="BNF15" s="11"/>
      <c r="BNG15" s="11"/>
      <c r="BNH15" s="11"/>
      <c r="BNI15" s="11"/>
      <c r="BNJ15" s="11"/>
      <c r="BNK15" s="11"/>
      <c r="BNL15" s="11"/>
      <c r="BNM15" s="11"/>
      <c r="BNN15" s="11"/>
      <c r="BNO15" s="11"/>
      <c r="BNP15" s="11"/>
      <c r="BNQ15" s="11"/>
      <c r="BNR15" s="11"/>
      <c r="BNS15" s="11"/>
      <c r="BNT15" s="11"/>
      <c r="BNU15" s="11"/>
      <c r="BNV15" s="11"/>
      <c r="BNW15" s="11"/>
      <c r="BNX15" s="11"/>
      <c r="BNY15" s="11"/>
      <c r="BNZ15" s="11"/>
      <c r="BOA15" s="11"/>
      <c r="BOB15" s="11"/>
      <c r="BOC15" s="11"/>
      <c r="BOD15" s="11"/>
      <c r="BOE15" s="11"/>
      <c r="BOF15" s="11"/>
      <c r="BOG15" s="11"/>
      <c r="BOH15" s="11"/>
      <c r="BOI15" s="11"/>
      <c r="BOJ15" s="11"/>
      <c r="BOK15" s="11"/>
      <c r="BOL15" s="11"/>
      <c r="BOM15" s="11"/>
      <c r="BON15" s="11"/>
      <c r="BOO15" s="11"/>
      <c r="BOP15" s="11"/>
      <c r="BOQ15" s="11"/>
      <c r="BOR15" s="11"/>
      <c r="BOS15" s="11"/>
      <c r="BOT15" s="11"/>
      <c r="BOU15" s="11"/>
      <c r="BOV15" s="11"/>
      <c r="BOW15" s="11"/>
      <c r="BOX15" s="11"/>
      <c r="BOY15" s="11"/>
      <c r="BOZ15" s="11"/>
      <c r="BPA15" s="11"/>
      <c r="BPB15" s="11"/>
      <c r="BPC15" s="11"/>
      <c r="BPD15" s="11"/>
      <c r="BPE15" s="11"/>
      <c r="BPF15" s="11"/>
      <c r="BPG15" s="11"/>
      <c r="BPH15" s="11"/>
      <c r="BPI15" s="11"/>
      <c r="BPJ15" s="11"/>
      <c r="BPK15" s="11"/>
      <c r="BPL15" s="11"/>
      <c r="BPM15" s="11"/>
      <c r="BPN15" s="11"/>
      <c r="BPO15" s="11"/>
      <c r="BPP15" s="11"/>
      <c r="BPQ15" s="11"/>
      <c r="BPR15" s="11"/>
      <c r="BPS15" s="11"/>
      <c r="BPT15" s="11"/>
      <c r="BPU15" s="11"/>
      <c r="BPV15" s="11"/>
      <c r="BPW15" s="11"/>
      <c r="BPX15" s="11"/>
      <c r="BPY15" s="11"/>
      <c r="BPZ15" s="11"/>
      <c r="BQA15" s="11"/>
      <c r="BQB15" s="11"/>
      <c r="BQC15" s="11"/>
      <c r="BQD15" s="11"/>
      <c r="BQE15" s="11"/>
      <c r="BQF15" s="11"/>
      <c r="BQG15" s="11"/>
      <c r="BQH15" s="11"/>
      <c r="BQI15" s="11"/>
      <c r="BQJ15" s="11"/>
      <c r="BQK15" s="11"/>
      <c r="BQL15" s="11"/>
      <c r="BQM15" s="11"/>
      <c r="BQN15" s="11"/>
      <c r="BQO15" s="11"/>
      <c r="BQP15" s="11"/>
      <c r="BQQ15" s="11"/>
      <c r="BQR15" s="11"/>
      <c r="BQS15" s="11"/>
      <c r="BQT15" s="11"/>
      <c r="BQU15" s="11"/>
      <c r="BQV15" s="11"/>
      <c r="BQW15" s="11"/>
      <c r="BQX15" s="11"/>
      <c r="BQY15" s="11"/>
      <c r="BQZ15" s="11"/>
      <c r="BRA15" s="11"/>
      <c r="BRB15" s="11"/>
      <c r="BRC15" s="11"/>
      <c r="BRD15" s="11"/>
      <c r="BRE15" s="11"/>
      <c r="BRF15" s="11"/>
      <c r="BRG15" s="11"/>
      <c r="BRH15" s="11"/>
      <c r="BRI15" s="11"/>
      <c r="BRJ15" s="11"/>
      <c r="BRK15" s="11"/>
      <c r="BRL15" s="11"/>
      <c r="BRM15" s="11"/>
      <c r="BRN15" s="11"/>
      <c r="BRO15" s="11"/>
      <c r="BRP15" s="11"/>
      <c r="BRQ15" s="11"/>
      <c r="BRR15" s="11"/>
      <c r="BRS15" s="11"/>
      <c r="BRT15" s="11"/>
      <c r="BRU15" s="11"/>
      <c r="BRV15" s="11"/>
      <c r="BRW15" s="11"/>
      <c r="BRX15" s="11"/>
      <c r="BRY15" s="11"/>
      <c r="BRZ15" s="11"/>
      <c r="BSA15" s="11"/>
      <c r="BSB15" s="11"/>
      <c r="BSC15" s="11"/>
      <c r="BSD15" s="11"/>
      <c r="BSE15" s="11"/>
      <c r="BSF15" s="11"/>
      <c r="BSG15" s="11"/>
      <c r="BSH15" s="11"/>
      <c r="BSI15" s="11"/>
      <c r="BSJ15" s="11"/>
      <c r="BSK15" s="11"/>
      <c r="BSL15" s="11"/>
      <c r="BSM15" s="11"/>
      <c r="BSN15" s="11"/>
      <c r="BSO15" s="11"/>
      <c r="BSP15" s="11"/>
      <c r="BSQ15" s="11"/>
      <c r="BSR15" s="11"/>
      <c r="BSS15" s="11"/>
      <c r="BST15" s="11"/>
      <c r="BSU15" s="11"/>
      <c r="BSV15" s="11"/>
      <c r="BSW15" s="11"/>
      <c r="BSX15" s="11"/>
      <c r="BSY15" s="11"/>
      <c r="BSZ15" s="11"/>
      <c r="BTA15" s="11"/>
      <c r="BTB15" s="11"/>
      <c r="BTC15" s="11"/>
      <c r="BTD15" s="11"/>
      <c r="BTE15" s="11"/>
      <c r="BTF15" s="11"/>
      <c r="BTG15" s="11"/>
      <c r="BTH15" s="11"/>
      <c r="BTI15" s="11"/>
      <c r="BTJ15" s="11"/>
      <c r="BTK15" s="11"/>
      <c r="BTL15" s="11"/>
      <c r="BTM15" s="11"/>
      <c r="BTN15" s="11"/>
      <c r="BTO15" s="11"/>
      <c r="BTP15" s="11"/>
      <c r="BTQ15" s="11"/>
      <c r="BTR15" s="11"/>
      <c r="BTS15" s="11"/>
      <c r="BTT15" s="11"/>
      <c r="BTU15" s="11"/>
      <c r="BTV15" s="11"/>
      <c r="BTW15" s="11"/>
      <c r="BTX15" s="11"/>
      <c r="BTY15" s="11"/>
      <c r="BTZ15" s="11"/>
      <c r="BUA15" s="11"/>
      <c r="BUB15" s="11"/>
      <c r="BUC15" s="11"/>
      <c r="BUD15" s="11"/>
      <c r="BUE15" s="11"/>
      <c r="BUF15" s="11"/>
      <c r="BUG15" s="11"/>
      <c r="BUH15" s="11"/>
      <c r="BUI15" s="11"/>
      <c r="BUJ15" s="11"/>
      <c r="BUK15" s="11"/>
      <c r="BUL15" s="11"/>
      <c r="BUM15" s="11"/>
      <c r="BUN15" s="11"/>
      <c r="BUO15" s="11"/>
      <c r="BUP15" s="11"/>
      <c r="BUQ15" s="11"/>
      <c r="BUR15" s="11"/>
      <c r="BUS15" s="11"/>
      <c r="BUT15" s="11"/>
      <c r="BUU15" s="11"/>
      <c r="BUV15" s="11"/>
      <c r="BUW15" s="11"/>
      <c r="BUX15" s="11"/>
      <c r="BUY15" s="11"/>
      <c r="BUZ15" s="11"/>
      <c r="BVA15" s="11"/>
      <c r="BVB15" s="11"/>
      <c r="BVC15" s="11"/>
      <c r="BVD15" s="11"/>
      <c r="BVE15" s="11"/>
      <c r="BVF15" s="11"/>
      <c r="BVG15" s="11"/>
      <c r="BVH15" s="11"/>
      <c r="BVI15" s="11"/>
      <c r="BVJ15" s="11"/>
      <c r="BVK15" s="11"/>
      <c r="BVL15" s="11"/>
      <c r="BVM15" s="11"/>
      <c r="BVN15" s="11"/>
      <c r="BVO15" s="11"/>
      <c r="BVP15" s="11"/>
      <c r="BVQ15" s="11"/>
      <c r="BVR15" s="11"/>
      <c r="BVS15" s="11"/>
      <c r="BVT15" s="11"/>
      <c r="BVU15" s="11"/>
      <c r="BVV15" s="11"/>
      <c r="BVW15" s="11"/>
      <c r="BVX15" s="11"/>
      <c r="BVY15" s="11"/>
      <c r="BVZ15" s="11"/>
      <c r="BWA15" s="11"/>
      <c r="BWB15" s="11"/>
      <c r="BWC15" s="11"/>
      <c r="BWD15" s="11"/>
      <c r="BWE15" s="11"/>
      <c r="BWF15" s="11"/>
      <c r="BWG15" s="11"/>
      <c r="BWH15" s="11"/>
      <c r="BWI15" s="11"/>
      <c r="BWJ15" s="11"/>
      <c r="BWK15" s="11"/>
      <c r="BWL15" s="11"/>
      <c r="BWM15" s="11"/>
      <c r="BWN15" s="11"/>
      <c r="BWO15" s="11"/>
      <c r="BWP15" s="11"/>
      <c r="BWQ15" s="11"/>
      <c r="BWR15" s="11"/>
      <c r="BWS15" s="11"/>
      <c r="BWT15" s="11"/>
      <c r="BWU15" s="11"/>
      <c r="BWV15" s="11"/>
      <c r="BWW15" s="11"/>
      <c r="BWX15" s="11"/>
      <c r="BWY15" s="11"/>
      <c r="BWZ15" s="11"/>
      <c r="BXA15" s="11"/>
      <c r="BXB15" s="11"/>
      <c r="BXC15" s="11"/>
      <c r="BXD15" s="11"/>
      <c r="BXE15" s="11"/>
      <c r="BXF15" s="11"/>
      <c r="BXG15" s="11"/>
      <c r="BXH15" s="11"/>
      <c r="BXI15" s="11"/>
      <c r="BXJ15" s="11"/>
      <c r="BXK15" s="11"/>
      <c r="BXL15" s="11"/>
      <c r="BXM15" s="11"/>
      <c r="BXN15" s="11"/>
      <c r="BXO15" s="11"/>
      <c r="BXP15" s="11"/>
      <c r="BXQ15" s="11"/>
      <c r="BXR15" s="11"/>
      <c r="BXS15" s="11"/>
      <c r="BXT15" s="11"/>
      <c r="BXU15" s="11"/>
      <c r="BXV15" s="11"/>
      <c r="BXW15" s="11"/>
      <c r="BXX15" s="11"/>
      <c r="BXY15" s="11"/>
      <c r="BXZ15" s="11"/>
      <c r="BYA15" s="11"/>
      <c r="BYB15" s="11"/>
      <c r="BYC15" s="11"/>
      <c r="BYD15" s="11"/>
      <c r="BYE15" s="11"/>
      <c r="BYF15" s="11"/>
      <c r="BYG15" s="11"/>
      <c r="BYH15" s="11"/>
      <c r="BYI15" s="11"/>
      <c r="BYJ15" s="11"/>
      <c r="BYK15" s="11"/>
      <c r="BYL15" s="11"/>
      <c r="BYM15" s="11"/>
      <c r="BYN15" s="11"/>
      <c r="BYO15" s="11"/>
      <c r="BYP15" s="11"/>
      <c r="BYQ15" s="11"/>
      <c r="BYR15" s="11"/>
      <c r="BYS15" s="11"/>
      <c r="BYT15" s="11"/>
      <c r="BYU15" s="11"/>
      <c r="BYV15" s="11"/>
      <c r="BYW15" s="11"/>
      <c r="BYX15" s="11"/>
      <c r="BYY15" s="11"/>
      <c r="BYZ15" s="11"/>
      <c r="BZA15" s="11"/>
      <c r="BZB15" s="11"/>
      <c r="BZC15" s="11"/>
      <c r="BZD15" s="11"/>
      <c r="BZE15" s="11"/>
      <c r="BZF15" s="11"/>
      <c r="BZG15" s="11"/>
      <c r="BZH15" s="11"/>
      <c r="BZI15" s="11"/>
      <c r="BZJ15" s="11"/>
      <c r="BZK15" s="11"/>
      <c r="BZL15" s="11"/>
      <c r="BZM15" s="11"/>
      <c r="BZN15" s="11"/>
      <c r="BZO15" s="11"/>
      <c r="BZP15" s="11"/>
      <c r="BZQ15" s="11"/>
      <c r="BZR15" s="11"/>
      <c r="BZS15" s="11"/>
      <c r="BZT15" s="11"/>
      <c r="BZU15" s="11"/>
      <c r="BZV15" s="11"/>
      <c r="BZW15" s="11"/>
      <c r="BZX15" s="11"/>
      <c r="BZY15" s="11"/>
      <c r="BZZ15" s="11"/>
      <c r="CAA15" s="11"/>
      <c r="CAB15" s="11"/>
      <c r="CAC15" s="11"/>
      <c r="CAD15" s="11"/>
      <c r="CAE15" s="11"/>
      <c r="CAF15" s="11"/>
      <c r="CAG15" s="11"/>
      <c r="CAH15" s="11"/>
      <c r="CAI15" s="11"/>
      <c r="CAJ15" s="11"/>
      <c r="CAK15" s="11"/>
      <c r="CAL15" s="11"/>
      <c r="CAM15" s="11"/>
      <c r="CAN15" s="11"/>
      <c r="CAO15" s="11"/>
      <c r="CAP15" s="11"/>
      <c r="CAQ15" s="11"/>
      <c r="CAR15" s="11"/>
      <c r="CAS15" s="11"/>
      <c r="CAT15" s="11"/>
      <c r="CAU15" s="11"/>
      <c r="CAV15" s="11"/>
      <c r="CAW15" s="11"/>
      <c r="CAX15" s="11"/>
      <c r="CAY15" s="11"/>
      <c r="CAZ15" s="11"/>
      <c r="CBA15" s="11"/>
      <c r="CBB15" s="11"/>
      <c r="CBC15" s="11"/>
      <c r="CBD15" s="11"/>
      <c r="CBE15" s="11"/>
      <c r="CBF15" s="11"/>
      <c r="CBG15" s="11"/>
      <c r="CBH15" s="11"/>
      <c r="CBI15" s="11"/>
      <c r="CBJ15" s="11"/>
      <c r="CBK15" s="11"/>
      <c r="CBL15" s="11"/>
      <c r="CBM15" s="11"/>
      <c r="CBN15" s="11"/>
      <c r="CBO15" s="11"/>
      <c r="CBP15" s="11"/>
      <c r="CBQ15" s="11"/>
      <c r="CBR15" s="11"/>
      <c r="CBS15" s="11"/>
      <c r="CBT15" s="11"/>
      <c r="CBU15" s="11"/>
      <c r="CBV15" s="11"/>
      <c r="CBW15" s="11"/>
      <c r="CBX15" s="11"/>
      <c r="CBY15" s="11"/>
      <c r="CBZ15" s="11"/>
      <c r="CCA15" s="11"/>
      <c r="CCB15" s="11"/>
      <c r="CCC15" s="11"/>
      <c r="CCD15" s="11"/>
      <c r="CCE15" s="11"/>
      <c r="CCF15" s="11"/>
      <c r="CCG15" s="11"/>
      <c r="CCH15" s="11"/>
      <c r="CCI15" s="11"/>
      <c r="CCJ15" s="11"/>
      <c r="CCK15" s="11"/>
      <c r="CCL15" s="11"/>
      <c r="CCM15" s="11"/>
      <c r="CCN15" s="11"/>
      <c r="CCO15" s="11"/>
      <c r="CCP15" s="11"/>
      <c r="CCQ15" s="11"/>
      <c r="CCR15" s="11"/>
      <c r="CCS15" s="11"/>
      <c r="CCT15" s="11"/>
      <c r="CCU15" s="11"/>
      <c r="CCV15" s="11"/>
      <c r="CCW15" s="11"/>
      <c r="CCX15" s="11"/>
      <c r="CCY15" s="11"/>
      <c r="CCZ15" s="11"/>
      <c r="CDA15" s="11"/>
      <c r="CDB15" s="11"/>
      <c r="CDC15" s="11"/>
      <c r="CDD15" s="11"/>
      <c r="CDE15" s="11"/>
      <c r="CDF15" s="11"/>
      <c r="CDG15" s="11"/>
      <c r="CDH15" s="11"/>
      <c r="CDI15" s="11"/>
      <c r="CDJ15" s="11"/>
      <c r="CDK15" s="11"/>
      <c r="CDL15" s="11"/>
      <c r="CDM15" s="11"/>
      <c r="CDN15" s="11"/>
      <c r="CDO15" s="11"/>
      <c r="CDP15" s="11"/>
      <c r="CDQ15" s="11"/>
      <c r="CDR15" s="11"/>
      <c r="CDS15" s="11"/>
      <c r="CDT15" s="11"/>
      <c r="CDU15" s="11"/>
      <c r="CDV15" s="11"/>
      <c r="CDW15" s="11"/>
      <c r="CDX15" s="11"/>
      <c r="CDY15" s="11"/>
      <c r="CDZ15" s="11"/>
      <c r="CEA15" s="11"/>
      <c r="CEB15" s="11"/>
      <c r="CEC15" s="11"/>
      <c r="CED15" s="11"/>
      <c r="CEE15" s="11"/>
      <c r="CEF15" s="11"/>
      <c r="CEG15" s="11"/>
      <c r="CEH15" s="11"/>
      <c r="CEI15" s="11"/>
      <c r="CEJ15" s="11"/>
      <c r="CEK15" s="11"/>
      <c r="CEL15" s="11"/>
      <c r="CEM15" s="11"/>
      <c r="CEN15" s="11"/>
      <c r="CEO15" s="11"/>
      <c r="CEP15" s="11"/>
      <c r="CEQ15" s="11"/>
      <c r="CER15" s="11"/>
      <c r="CES15" s="11"/>
      <c r="CET15" s="11"/>
      <c r="CEU15" s="11"/>
      <c r="CEV15" s="11"/>
      <c r="CEW15" s="11"/>
      <c r="CEX15" s="11"/>
      <c r="CEY15" s="11"/>
      <c r="CEZ15" s="11"/>
      <c r="CFA15" s="11"/>
      <c r="CFB15" s="11"/>
      <c r="CFC15" s="11"/>
      <c r="CFD15" s="11"/>
      <c r="CFE15" s="11"/>
      <c r="CFF15" s="11"/>
      <c r="CFG15" s="11"/>
      <c r="CFH15" s="11"/>
      <c r="CFI15" s="11"/>
      <c r="CFJ15" s="11"/>
      <c r="CFK15" s="11"/>
      <c r="CFL15" s="11"/>
      <c r="CFM15" s="11"/>
      <c r="CFN15" s="11"/>
      <c r="CFO15" s="11"/>
      <c r="CFP15" s="11"/>
      <c r="CFQ15" s="11"/>
      <c r="CFR15" s="11"/>
      <c r="CFS15" s="11"/>
      <c r="CFT15" s="11"/>
      <c r="CFU15" s="11"/>
      <c r="CFV15" s="11"/>
      <c r="CFW15" s="11"/>
      <c r="CFX15" s="11"/>
      <c r="CFY15" s="11"/>
      <c r="CFZ15" s="11"/>
      <c r="CGA15" s="11"/>
      <c r="CGB15" s="11"/>
      <c r="CGC15" s="11"/>
      <c r="CGD15" s="11"/>
      <c r="CGE15" s="11"/>
      <c r="CGF15" s="11"/>
      <c r="CGG15" s="11"/>
      <c r="CGH15" s="11"/>
      <c r="CGI15" s="11"/>
      <c r="CGJ15" s="11"/>
      <c r="CGK15" s="11"/>
      <c r="CGL15" s="11"/>
      <c r="CGM15" s="11"/>
      <c r="CGN15" s="11"/>
      <c r="CGO15" s="11"/>
      <c r="CGP15" s="11"/>
      <c r="CGQ15" s="11"/>
      <c r="CGR15" s="11"/>
      <c r="CGS15" s="11"/>
      <c r="CGT15" s="11"/>
      <c r="CGU15" s="11"/>
      <c r="CGV15" s="11"/>
      <c r="CGW15" s="11"/>
      <c r="CGX15" s="11"/>
      <c r="CGY15" s="11"/>
      <c r="CGZ15" s="11"/>
      <c r="CHA15" s="11"/>
      <c r="CHB15" s="11"/>
      <c r="CHC15" s="11"/>
      <c r="CHD15" s="11"/>
      <c r="CHE15" s="11"/>
      <c r="CHF15" s="11"/>
      <c r="CHG15" s="11"/>
      <c r="CHH15" s="11"/>
      <c r="CHI15" s="11"/>
      <c r="CHJ15" s="11"/>
      <c r="CHK15" s="11"/>
      <c r="CHL15" s="11"/>
      <c r="CHM15" s="11"/>
      <c r="CHN15" s="11"/>
      <c r="CHO15" s="11"/>
      <c r="CHP15" s="11"/>
      <c r="CHQ15" s="11"/>
      <c r="CHR15" s="11"/>
      <c r="CHS15" s="11"/>
      <c r="CHT15" s="11"/>
      <c r="CHU15" s="11"/>
      <c r="CHV15" s="11"/>
      <c r="CHW15" s="11"/>
      <c r="CHX15" s="11"/>
      <c r="CHY15" s="11"/>
      <c r="CHZ15" s="11"/>
      <c r="CIA15" s="11"/>
      <c r="CIB15" s="11"/>
      <c r="CIC15" s="11"/>
      <c r="CID15" s="11"/>
      <c r="CIE15" s="11"/>
      <c r="CIF15" s="11"/>
      <c r="CIG15" s="11"/>
      <c r="CIH15" s="11"/>
      <c r="CII15" s="11"/>
      <c r="CIJ15" s="11"/>
      <c r="CIK15" s="11"/>
      <c r="CIL15" s="11"/>
      <c r="CIM15" s="11"/>
      <c r="CIN15" s="11"/>
      <c r="CIO15" s="11"/>
      <c r="CIP15" s="11"/>
      <c r="CIQ15" s="11"/>
      <c r="CIR15" s="11"/>
      <c r="CIS15" s="11"/>
      <c r="CIT15" s="11"/>
      <c r="CIU15" s="11"/>
      <c r="CIV15" s="11"/>
      <c r="CIW15" s="11"/>
      <c r="CIX15" s="11"/>
      <c r="CIY15" s="11"/>
      <c r="CIZ15" s="11"/>
      <c r="CJA15" s="11"/>
      <c r="CJB15" s="11"/>
      <c r="CJC15" s="11"/>
      <c r="CJD15" s="11"/>
      <c r="CJE15" s="11"/>
      <c r="CJF15" s="11"/>
      <c r="CJG15" s="11"/>
      <c r="CJH15" s="11"/>
      <c r="CJI15" s="11"/>
      <c r="CJJ15" s="11"/>
      <c r="CJK15" s="11"/>
      <c r="CJL15" s="11"/>
      <c r="CJM15" s="11"/>
      <c r="CJN15" s="11"/>
      <c r="CJO15" s="11"/>
      <c r="CJP15" s="11"/>
      <c r="CJQ15" s="11"/>
      <c r="CJR15" s="11"/>
      <c r="CJS15" s="11"/>
      <c r="CJT15" s="11"/>
      <c r="CJU15" s="11"/>
      <c r="CJV15" s="11"/>
      <c r="CJW15" s="11"/>
      <c r="CJX15" s="11"/>
      <c r="CJY15" s="11"/>
      <c r="CJZ15" s="11"/>
      <c r="CKA15" s="11"/>
      <c r="CKB15" s="11"/>
      <c r="CKC15" s="11"/>
      <c r="CKD15" s="11"/>
      <c r="CKE15" s="11"/>
      <c r="CKF15" s="11"/>
      <c r="CKG15" s="11"/>
      <c r="CKH15" s="11"/>
      <c r="CKI15" s="11"/>
      <c r="CKJ15" s="11"/>
      <c r="CKK15" s="11"/>
      <c r="CKL15" s="11"/>
      <c r="CKM15" s="11"/>
      <c r="CKN15" s="11"/>
      <c r="CKO15" s="11"/>
      <c r="CKP15" s="11"/>
      <c r="CKQ15" s="11"/>
      <c r="CKR15" s="11"/>
      <c r="CKS15" s="11"/>
      <c r="CKT15" s="11"/>
      <c r="CKU15" s="11"/>
      <c r="CKV15" s="11"/>
      <c r="CKW15" s="11"/>
      <c r="CKX15" s="11"/>
      <c r="CKY15" s="11"/>
      <c r="CKZ15" s="11"/>
      <c r="CLA15" s="11"/>
      <c r="CLB15" s="11"/>
      <c r="CLC15" s="11"/>
      <c r="CLD15" s="11"/>
      <c r="CLE15" s="11"/>
      <c r="CLF15" s="11"/>
      <c r="CLG15" s="11"/>
      <c r="CLH15" s="11"/>
      <c r="CLI15" s="11"/>
      <c r="CLJ15" s="11"/>
      <c r="CLK15" s="11"/>
      <c r="CLL15" s="11"/>
      <c r="CLM15" s="11"/>
      <c r="CLN15" s="11"/>
      <c r="CLO15" s="11"/>
      <c r="CLP15" s="11"/>
      <c r="CLQ15" s="11"/>
      <c r="CLR15" s="11"/>
      <c r="CLS15" s="11"/>
      <c r="CLT15" s="11"/>
      <c r="CLU15" s="11"/>
      <c r="CLV15" s="11"/>
      <c r="CLW15" s="11"/>
      <c r="CLX15" s="11"/>
      <c r="CLY15" s="11"/>
      <c r="CLZ15" s="11"/>
      <c r="CMA15" s="11"/>
      <c r="CMB15" s="11"/>
      <c r="CMC15" s="11"/>
      <c r="CMD15" s="11"/>
      <c r="CME15" s="11"/>
      <c r="CMF15" s="11"/>
      <c r="CMG15" s="11"/>
      <c r="CMH15" s="11"/>
      <c r="CMI15" s="11"/>
      <c r="CMJ15" s="11"/>
      <c r="CMK15" s="11"/>
      <c r="CML15" s="11"/>
      <c r="CMM15" s="11"/>
      <c r="CMN15" s="11"/>
      <c r="CMO15" s="11"/>
      <c r="CMP15" s="11"/>
      <c r="CMQ15" s="11"/>
      <c r="CMR15" s="11"/>
      <c r="CMS15" s="11"/>
      <c r="CMT15" s="11"/>
      <c r="CMU15" s="11"/>
      <c r="CMV15" s="11"/>
      <c r="CMW15" s="11"/>
      <c r="CMX15" s="11"/>
      <c r="CMY15" s="11"/>
      <c r="CMZ15" s="11"/>
      <c r="CNA15" s="11"/>
      <c r="CNB15" s="11"/>
      <c r="CNC15" s="11"/>
      <c r="CND15" s="11"/>
      <c r="CNE15" s="11"/>
      <c r="CNF15" s="11"/>
      <c r="CNG15" s="11"/>
      <c r="CNH15" s="11"/>
      <c r="CNI15" s="11"/>
      <c r="CNJ15" s="11"/>
      <c r="CNK15" s="11"/>
      <c r="CNL15" s="11"/>
      <c r="CNM15" s="11"/>
      <c r="CNN15" s="11"/>
      <c r="CNO15" s="11"/>
      <c r="CNP15" s="11"/>
      <c r="CNQ15" s="11"/>
      <c r="CNR15" s="11"/>
      <c r="CNS15" s="11"/>
      <c r="CNT15" s="11"/>
      <c r="CNU15" s="11"/>
      <c r="CNV15" s="11"/>
      <c r="CNW15" s="11"/>
      <c r="CNX15" s="11"/>
      <c r="CNY15" s="11"/>
      <c r="CNZ15" s="11"/>
      <c r="COA15" s="11"/>
      <c r="COB15" s="11"/>
      <c r="COC15" s="11"/>
      <c r="COD15" s="11"/>
      <c r="COE15" s="11"/>
      <c r="COF15" s="11"/>
      <c r="COG15" s="11"/>
      <c r="COH15" s="11"/>
      <c r="COI15" s="11"/>
      <c r="COJ15" s="11"/>
      <c r="COK15" s="11"/>
      <c r="COL15" s="11"/>
      <c r="COM15" s="11"/>
      <c r="CON15" s="11"/>
      <c r="COO15" s="11"/>
      <c r="COP15" s="11"/>
      <c r="COQ15" s="11"/>
      <c r="COR15" s="11"/>
      <c r="COS15" s="11"/>
      <c r="COT15" s="11"/>
      <c r="COU15" s="11"/>
      <c r="COV15" s="11"/>
      <c r="COW15" s="11"/>
      <c r="COX15" s="11"/>
      <c r="COY15" s="11"/>
      <c r="COZ15" s="11"/>
      <c r="CPA15" s="11"/>
      <c r="CPB15" s="11"/>
      <c r="CPC15" s="11"/>
      <c r="CPD15" s="11"/>
      <c r="CPE15" s="11"/>
      <c r="CPF15" s="11"/>
      <c r="CPG15" s="11"/>
      <c r="CPH15" s="11"/>
      <c r="CPI15" s="11"/>
      <c r="CPJ15" s="11"/>
      <c r="CPK15" s="11"/>
      <c r="CPL15" s="11"/>
      <c r="CPM15" s="11"/>
      <c r="CPN15" s="11"/>
      <c r="CPO15" s="11"/>
      <c r="CPP15" s="11"/>
      <c r="CPQ15" s="11"/>
      <c r="CPR15" s="11"/>
      <c r="CPS15" s="11"/>
      <c r="CPT15" s="11"/>
      <c r="CPU15" s="11"/>
      <c r="CPV15" s="11"/>
      <c r="CPW15" s="11"/>
      <c r="CPX15" s="11"/>
      <c r="CPY15" s="11"/>
      <c r="CPZ15" s="11"/>
      <c r="CQA15" s="11"/>
      <c r="CQB15" s="11"/>
      <c r="CQC15" s="11"/>
      <c r="CQD15" s="11"/>
      <c r="CQE15" s="11"/>
      <c r="CQF15" s="11"/>
      <c r="CQG15" s="11"/>
      <c r="CQH15" s="11"/>
      <c r="CQI15" s="11"/>
      <c r="CQJ15" s="11"/>
      <c r="CQK15" s="11"/>
      <c r="CQL15" s="11"/>
      <c r="CQM15" s="11"/>
      <c r="CQN15" s="11"/>
      <c r="CQO15" s="11"/>
      <c r="CQP15" s="11"/>
      <c r="CQQ15" s="11"/>
      <c r="CQR15" s="11"/>
      <c r="CQS15" s="11"/>
      <c r="CQT15" s="11"/>
      <c r="CQU15" s="11"/>
      <c r="CQV15" s="11"/>
      <c r="CQW15" s="11"/>
      <c r="CQX15" s="11"/>
      <c r="CQY15" s="11"/>
      <c r="CQZ15" s="11"/>
      <c r="CRA15" s="11"/>
      <c r="CRB15" s="11"/>
      <c r="CRC15" s="11"/>
      <c r="CRD15" s="11"/>
      <c r="CRE15" s="11"/>
      <c r="CRF15" s="11"/>
      <c r="CRG15" s="11"/>
      <c r="CRH15" s="11"/>
      <c r="CRI15" s="11"/>
      <c r="CRJ15" s="11"/>
      <c r="CRK15" s="11"/>
      <c r="CRL15" s="11"/>
      <c r="CRM15" s="11"/>
      <c r="CRN15" s="11"/>
      <c r="CRO15" s="11"/>
      <c r="CRP15" s="11"/>
      <c r="CRQ15" s="11"/>
      <c r="CRR15" s="11"/>
      <c r="CRS15" s="11"/>
      <c r="CRT15" s="11"/>
      <c r="CRU15" s="11"/>
      <c r="CRV15" s="11"/>
      <c r="CRW15" s="11"/>
      <c r="CRX15" s="11"/>
      <c r="CRY15" s="11"/>
      <c r="CRZ15" s="11"/>
      <c r="CSA15" s="11"/>
      <c r="CSB15" s="11"/>
      <c r="CSC15" s="11"/>
      <c r="CSD15" s="11"/>
      <c r="CSE15" s="11"/>
      <c r="CSF15" s="11"/>
      <c r="CSG15" s="11"/>
      <c r="CSH15" s="11"/>
      <c r="CSI15" s="11"/>
      <c r="CSJ15" s="11"/>
      <c r="CSK15" s="11"/>
      <c r="CSL15" s="11"/>
      <c r="CSM15" s="11"/>
      <c r="CSN15" s="11"/>
      <c r="CSO15" s="11"/>
      <c r="CSP15" s="11"/>
      <c r="CSQ15" s="11"/>
      <c r="CSR15" s="11"/>
      <c r="CSS15" s="11"/>
      <c r="CST15" s="11"/>
      <c r="CSU15" s="11"/>
      <c r="CSV15" s="11"/>
      <c r="CSW15" s="11"/>
      <c r="CSX15" s="11"/>
      <c r="CSY15" s="11"/>
      <c r="CSZ15" s="11"/>
      <c r="CTA15" s="11"/>
      <c r="CTB15" s="11"/>
      <c r="CTC15" s="11"/>
      <c r="CTD15" s="11"/>
      <c r="CTE15" s="11"/>
      <c r="CTF15" s="11"/>
      <c r="CTG15" s="11"/>
      <c r="CTH15" s="11"/>
      <c r="CTI15" s="11"/>
      <c r="CTJ15" s="11"/>
      <c r="CTK15" s="11"/>
      <c r="CTL15" s="11"/>
      <c r="CTM15" s="11"/>
      <c r="CTN15" s="11"/>
      <c r="CTO15" s="11"/>
      <c r="CTP15" s="11"/>
      <c r="CTQ15" s="11"/>
      <c r="CTR15" s="11"/>
      <c r="CTS15" s="11"/>
      <c r="CTT15" s="11"/>
      <c r="CTU15" s="11"/>
      <c r="CTV15" s="11"/>
      <c r="CTW15" s="11"/>
      <c r="CTX15" s="11"/>
      <c r="CTY15" s="11"/>
      <c r="CTZ15" s="11"/>
      <c r="CUA15" s="11"/>
      <c r="CUB15" s="11"/>
      <c r="CUC15" s="11"/>
      <c r="CUD15" s="11"/>
      <c r="CUE15" s="11"/>
      <c r="CUF15" s="11"/>
      <c r="CUG15" s="11"/>
      <c r="CUH15" s="11"/>
      <c r="CUI15" s="11"/>
      <c r="CUJ15" s="11"/>
      <c r="CUK15" s="11"/>
      <c r="CUL15" s="11"/>
      <c r="CUM15" s="11"/>
      <c r="CUN15" s="11"/>
      <c r="CUO15" s="11"/>
      <c r="CUP15" s="11"/>
      <c r="CUQ15" s="11"/>
      <c r="CUR15" s="11"/>
      <c r="CUS15" s="11"/>
      <c r="CUT15" s="11"/>
      <c r="CUU15" s="11"/>
      <c r="CUV15" s="11"/>
      <c r="CUW15" s="11"/>
      <c r="CUX15" s="11"/>
      <c r="CUY15" s="11"/>
      <c r="CUZ15" s="11"/>
      <c r="CVA15" s="11"/>
      <c r="CVB15" s="11"/>
      <c r="CVC15" s="11"/>
      <c r="CVD15" s="11"/>
      <c r="CVE15" s="11"/>
      <c r="CVF15" s="11"/>
      <c r="CVG15" s="11"/>
      <c r="CVH15" s="11"/>
      <c r="CVI15" s="11"/>
      <c r="CVJ15" s="11"/>
      <c r="CVK15" s="11"/>
      <c r="CVL15" s="11"/>
      <c r="CVM15" s="11"/>
      <c r="CVN15" s="11"/>
      <c r="CVO15" s="11"/>
      <c r="CVP15" s="11"/>
      <c r="CVQ15" s="11"/>
      <c r="CVR15" s="11"/>
      <c r="CVS15" s="11"/>
      <c r="CVT15" s="11"/>
      <c r="CVU15" s="11"/>
      <c r="CVV15" s="11"/>
      <c r="CVW15" s="11"/>
      <c r="CVX15" s="11"/>
      <c r="CVY15" s="11"/>
      <c r="CVZ15" s="11"/>
      <c r="CWA15" s="11"/>
      <c r="CWB15" s="11"/>
      <c r="CWC15" s="11"/>
      <c r="CWD15" s="11"/>
      <c r="CWE15" s="11"/>
      <c r="CWF15" s="11"/>
      <c r="CWG15" s="11"/>
      <c r="CWH15" s="11"/>
      <c r="CWI15" s="11"/>
      <c r="CWJ15" s="11"/>
      <c r="CWK15" s="11"/>
      <c r="CWL15" s="11"/>
      <c r="CWM15" s="11"/>
      <c r="CWN15" s="11"/>
      <c r="CWO15" s="11"/>
      <c r="CWP15" s="11"/>
      <c r="CWQ15" s="11"/>
      <c r="CWR15" s="11"/>
      <c r="CWS15" s="11"/>
      <c r="CWT15" s="11"/>
      <c r="CWU15" s="11"/>
      <c r="CWV15" s="11"/>
      <c r="CWW15" s="11"/>
      <c r="CWX15" s="11"/>
      <c r="CWY15" s="11"/>
      <c r="CWZ15" s="11"/>
      <c r="CXA15" s="11"/>
      <c r="CXB15" s="11"/>
      <c r="CXC15" s="11"/>
      <c r="CXD15" s="11"/>
      <c r="CXE15" s="11"/>
      <c r="CXF15" s="11"/>
      <c r="CXG15" s="11"/>
      <c r="CXH15" s="11"/>
      <c r="CXI15" s="11"/>
      <c r="CXJ15" s="11"/>
      <c r="CXK15" s="11"/>
      <c r="CXL15" s="11"/>
      <c r="CXM15" s="11"/>
      <c r="CXN15" s="11"/>
      <c r="CXO15" s="11"/>
      <c r="CXP15" s="11"/>
      <c r="CXQ15" s="11"/>
      <c r="CXR15" s="11"/>
      <c r="CXS15" s="11"/>
      <c r="CXT15" s="11"/>
      <c r="CXU15" s="11"/>
      <c r="CXV15" s="11"/>
      <c r="CXW15" s="11"/>
      <c r="CXX15" s="11"/>
      <c r="CXY15" s="11"/>
      <c r="CXZ15" s="11"/>
      <c r="CYA15" s="11"/>
      <c r="CYB15" s="11"/>
      <c r="CYC15" s="11"/>
      <c r="CYD15" s="11"/>
      <c r="CYE15" s="11"/>
      <c r="CYF15" s="11"/>
      <c r="CYG15" s="11"/>
      <c r="CYH15" s="11"/>
      <c r="CYI15" s="11"/>
      <c r="CYJ15" s="11"/>
      <c r="CYK15" s="11"/>
      <c r="CYL15" s="11"/>
      <c r="CYM15" s="11"/>
      <c r="CYN15" s="11"/>
      <c r="CYO15" s="11"/>
      <c r="CYP15" s="11"/>
      <c r="CYQ15" s="11"/>
      <c r="CYR15" s="11"/>
      <c r="CYS15" s="11"/>
      <c r="CYT15" s="11"/>
      <c r="CYU15" s="11"/>
      <c r="CYV15" s="11"/>
      <c r="CYW15" s="11"/>
      <c r="CYX15" s="11"/>
      <c r="CYY15" s="11"/>
      <c r="CYZ15" s="11"/>
      <c r="CZA15" s="11"/>
      <c r="CZB15" s="11"/>
      <c r="CZC15" s="11"/>
      <c r="CZD15" s="11"/>
      <c r="CZE15" s="11"/>
      <c r="CZF15" s="11"/>
      <c r="CZG15" s="11"/>
      <c r="CZH15" s="11"/>
      <c r="CZI15" s="11"/>
      <c r="CZJ15" s="11"/>
      <c r="CZK15" s="11"/>
      <c r="CZL15" s="11"/>
      <c r="CZM15" s="11"/>
      <c r="CZN15" s="11"/>
      <c r="CZO15" s="11"/>
      <c r="CZP15" s="11"/>
      <c r="CZQ15" s="11"/>
      <c r="CZR15" s="11"/>
      <c r="CZS15" s="11"/>
      <c r="CZT15" s="11"/>
      <c r="CZU15" s="11"/>
      <c r="CZV15" s="11"/>
      <c r="CZW15" s="11"/>
      <c r="CZX15" s="11"/>
      <c r="CZY15" s="11"/>
      <c r="CZZ15" s="11"/>
      <c r="DAA15" s="11"/>
      <c r="DAB15" s="11"/>
      <c r="DAC15" s="11"/>
      <c r="DAD15" s="11"/>
      <c r="DAE15" s="11"/>
      <c r="DAF15" s="11"/>
      <c r="DAG15" s="11"/>
      <c r="DAH15" s="11"/>
      <c r="DAI15" s="11"/>
      <c r="DAJ15" s="11"/>
      <c r="DAK15" s="11"/>
      <c r="DAL15" s="11"/>
      <c r="DAM15" s="11"/>
      <c r="DAN15" s="11"/>
      <c r="DAO15" s="11"/>
      <c r="DAP15" s="11"/>
      <c r="DAQ15" s="11"/>
      <c r="DAR15" s="11"/>
      <c r="DAS15" s="11"/>
      <c r="DAT15" s="11"/>
      <c r="DAU15" s="11"/>
      <c r="DAV15" s="11"/>
      <c r="DAW15" s="11"/>
      <c r="DAX15" s="11"/>
      <c r="DAY15" s="11"/>
      <c r="DAZ15" s="11"/>
      <c r="DBA15" s="11"/>
      <c r="DBB15" s="11"/>
      <c r="DBC15" s="11"/>
      <c r="DBD15" s="11"/>
      <c r="DBE15" s="11"/>
      <c r="DBF15" s="11"/>
      <c r="DBG15" s="11"/>
      <c r="DBH15" s="11"/>
      <c r="DBI15" s="11"/>
      <c r="DBJ15" s="11"/>
      <c r="DBK15" s="11"/>
      <c r="DBL15" s="11"/>
      <c r="DBM15" s="11"/>
      <c r="DBN15" s="11"/>
      <c r="DBO15" s="11"/>
      <c r="DBP15" s="11"/>
      <c r="DBQ15" s="11"/>
      <c r="DBR15" s="11"/>
      <c r="DBS15" s="11"/>
      <c r="DBT15" s="11"/>
      <c r="DBU15" s="11"/>
      <c r="DBV15" s="11"/>
      <c r="DBW15" s="11"/>
      <c r="DBX15" s="11"/>
      <c r="DBY15" s="11"/>
      <c r="DBZ15" s="11"/>
      <c r="DCA15" s="11"/>
      <c r="DCB15" s="11"/>
      <c r="DCC15" s="11"/>
      <c r="DCD15" s="11"/>
      <c r="DCE15" s="11"/>
      <c r="DCF15" s="11"/>
      <c r="DCG15" s="11"/>
      <c r="DCH15" s="11"/>
      <c r="DCI15" s="11"/>
      <c r="DCJ15" s="11"/>
      <c r="DCK15" s="11"/>
      <c r="DCL15" s="11"/>
      <c r="DCM15" s="11"/>
      <c r="DCN15" s="11"/>
      <c r="DCO15" s="11"/>
      <c r="DCP15" s="11"/>
      <c r="DCQ15" s="11"/>
      <c r="DCR15" s="11"/>
      <c r="DCS15" s="11"/>
      <c r="DCT15" s="11"/>
      <c r="DCU15" s="11"/>
      <c r="DCV15" s="11"/>
      <c r="DCW15" s="11"/>
      <c r="DCX15" s="11"/>
      <c r="DCY15" s="11"/>
      <c r="DCZ15" s="11"/>
      <c r="DDA15" s="11"/>
      <c r="DDB15" s="11"/>
      <c r="DDC15" s="11"/>
      <c r="DDD15" s="11"/>
      <c r="DDE15" s="11"/>
      <c r="DDF15" s="11"/>
      <c r="DDG15" s="11"/>
      <c r="DDH15" s="11"/>
      <c r="DDI15" s="11"/>
      <c r="DDJ15" s="11"/>
      <c r="DDK15" s="11"/>
      <c r="DDL15" s="11"/>
      <c r="DDM15" s="11"/>
      <c r="DDN15" s="11"/>
      <c r="DDO15" s="11"/>
      <c r="DDP15" s="11"/>
      <c r="DDQ15" s="11"/>
      <c r="DDR15" s="11"/>
      <c r="DDS15" s="11"/>
      <c r="DDT15" s="11"/>
      <c r="DDU15" s="11"/>
      <c r="DDV15" s="11"/>
      <c r="DDW15" s="11"/>
      <c r="DDX15" s="11"/>
      <c r="DDY15" s="11"/>
      <c r="DDZ15" s="11"/>
      <c r="DEA15" s="11"/>
      <c r="DEB15" s="11"/>
      <c r="DEC15" s="11"/>
      <c r="DED15" s="11"/>
      <c r="DEE15" s="11"/>
      <c r="DEF15" s="11"/>
      <c r="DEG15" s="11"/>
      <c r="DEH15" s="11"/>
      <c r="DEI15" s="11"/>
      <c r="DEJ15" s="11"/>
      <c r="DEK15" s="11"/>
      <c r="DEL15" s="11"/>
      <c r="DEM15" s="11"/>
      <c r="DEN15" s="11"/>
      <c r="DEO15" s="11"/>
      <c r="DEP15" s="11"/>
      <c r="DEQ15" s="11"/>
      <c r="DER15" s="11"/>
      <c r="DES15" s="11"/>
      <c r="DET15" s="11"/>
      <c r="DEU15" s="11"/>
      <c r="DEV15" s="11"/>
      <c r="DEW15" s="11"/>
      <c r="DEX15" s="11"/>
      <c r="DEY15" s="11"/>
      <c r="DEZ15" s="11"/>
      <c r="DFA15" s="11"/>
      <c r="DFB15" s="11"/>
      <c r="DFC15" s="11"/>
      <c r="DFD15" s="11"/>
      <c r="DFE15" s="11"/>
      <c r="DFF15" s="11"/>
      <c r="DFG15" s="11"/>
      <c r="DFH15" s="11"/>
      <c r="DFI15" s="11"/>
      <c r="DFJ15" s="11"/>
      <c r="DFK15" s="11"/>
      <c r="DFL15" s="11"/>
      <c r="DFM15" s="11"/>
      <c r="DFN15" s="11"/>
      <c r="DFO15" s="11"/>
      <c r="DFP15" s="11"/>
      <c r="DFQ15" s="11"/>
      <c r="DFR15" s="11"/>
      <c r="DFS15" s="11"/>
      <c r="DFT15" s="11"/>
      <c r="DFU15" s="11"/>
      <c r="DFV15" s="11"/>
      <c r="DFW15" s="11"/>
      <c r="DFX15" s="11"/>
      <c r="DFY15" s="11"/>
      <c r="DFZ15" s="11"/>
      <c r="DGA15" s="11"/>
      <c r="DGB15" s="11"/>
      <c r="DGC15" s="11"/>
      <c r="DGD15" s="11"/>
      <c r="DGE15" s="11"/>
      <c r="DGF15" s="11"/>
      <c r="DGG15" s="11"/>
      <c r="DGH15" s="11"/>
      <c r="DGI15" s="11"/>
      <c r="DGJ15" s="11"/>
      <c r="DGK15" s="11"/>
      <c r="DGL15" s="11"/>
      <c r="DGM15" s="11"/>
      <c r="DGN15" s="11"/>
      <c r="DGO15" s="11"/>
      <c r="DGP15" s="11"/>
      <c r="DGQ15" s="11"/>
      <c r="DGR15" s="11"/>
      <c r="DGS15" s="11"/>
      <c r="DGT15" s="11"/>
      <c r="DGU15" s="11"/>
      <c r="DGV15" s="11"/>
      <c r="DGW15" s="11"/>
      <c r="DGX15" s="11"/>
      <c r="DGY15" s="11"/>
      <c r="DGZ15" s="11"/>
      <c r="DHA15" s="11"/>
      <c r="DHB15" s="11"/>
      <c r="DHC15" s="11"/>
      <c r="DHD15" s="11"/>
      <c r="DHE15" s="11"/>
      <c r="DHF15" s="11"/>
      <c r="DHG15" s="11"/>
      <c r="DHH15" s="11"/>
      <c r="DHI15" s="11"/>
      <c r="DHJ15" s="11"/>
      <c r="DHK15" s="11"/>
      <c r="DHL15" s="11"/>
      <c r="DHM15" s="11"/>
      <c r="DHN15" s="11"/>
      <c r="DHO15" s="11"/>
      <c r="DHP15" s="11"/>
      <c r="DHQ15" s="11"/>
      <c r="DHR15" s="11"/>
      <c r="DHS15" s="11"/>
      <c r="DHT15" s="11"/>
      <c r="DHU15" s="11"/>
      <c r="DHV15" s="11"/>
      <c r="DHW15" s="11"/>
      <c r="DHX15" s="11"/>
      <c r="DHY15" s="11"/>
      <c r="DHZ15" s="11"/>
      <c r="DIA15" s="11"/>
      <c r="DIB15" s="11"/>
      <c r="DIC15" s="11"/>
      <c r="DID15" s="11"/>
      <c r="DIE15" s="11"/>
      <c r="DIF15" s="11"/>
      <c r="DIG15" s="11"/>
      <c r="DIH15" s="11"/>
      <c r="DII15" s="11"/>
      <c r="DIJ15" s="11"/>
      <c r="DIK15" s="11"/>
      <c r="DIL15" s="11"/>
      <c r="DIM15" s="11"/>
      <c r="DIN15" s="11"/>
      <c r="DIO15" s="11"/>
      <c r="DIP15" s="11"/>
      <c r="DIQ15" s="11"/>
      <c r="DIR15" s="11"/>
      <c r="DIS15" s="11"/>
      <c r="DIT15" s="11"/>
      <c r="DIU15" s="11"/>
      <c r="DIV15" s="11"/>
      <c r="DIW15" s="11"/>
      <c r="DIX15" s="11"/>
      <c r="DIY15" s="11"/>
      <c r="DIZ15" s="11"/>
      <c r="DJA15" s="11"/>
      <c r="DJB15" s="11"/>
      <c r="DJC15" s="11"/>
      <c r="DJD15" s="11"/>
      <c r="DJE15" s="11"/>
      <c r="DJF15" s="11"/>
      <c r="DJG15" s="11"/>
      <c r="DJH15" s="11"/>
      <c r="DJI15" s="11"/>
      <c r="DJJ15" s="11"/>
      <c r="DJK15" s="11"/>
      <c r="DJL15" s="11"/>
      <c r="DJM15" s="11"/>
      <c r="DJN15" s="11"/>
      <c r="DJO15" s="11"/>
      <c r="DJP15" s="11"/>
      <c r="DJQ15" s="11"/>
      <c r="DJR15" s="11"/>
      <c r="DJS15" s="11"/>
      <c r="DJT15" s="11"/>
      <c r="DJU15" s="11"/>
      <c r="DJV15" s="11"/>
      <c r="DJW15" s="11"/>
      <c r="DJX15" s="11"/>
      <c r="DJY15" s="11"/>
      <c r="DJZ15" s="11"/>
      <c r="DKA15" s="11"/>
      <c r="DKB15" s="11"/>
      <c r="DKC15" s="11"/>
      <c r="DKD15" s="11"/>
      <c r="DKE15" s="11"/>
      <c r="DKF15" s="11"/>
      <c r="DKG15" s="11"/>
      <c r="DKH15" s="11"/>
      <c r="DKI15" s="11"/>
      <c r="DKJ15" s="11"/>
      <c r="DKK15" s="11"/>
      <c r="DKL15" s="11"/>
      <c r="DKM15" s="11"/>
      <c r="DKN15" s="11"/>
      <c r="DKO15" s="11"/>
      <c r="DKP15" s="11"/>
      <c r="DKQ15" s="11"/>
      <c r="DKR15" s="11"/>
      <c r="DKS15" s="11"/>
      <c r="DKT15" s="11"/>
      <c r="DKU15" s="11"/>
      <c r="DKV15" s="11"/>
      <c r="DKW15" s="11"/>
      <c r="DKX15" s="11"/>
      <c r="DKY15" s="11"/>
      <c r="DKZ15" s="11"/>
      <c r="DLA15" s="11"/>
      <c r="DLB15" s="11"/>
      <c r="DLC15" s="11"/>
      <c r="DLD15" s="11"/>
      <c r="DLE15" s="11"/>
      <c r="DLF15" s="11"/>
      <c r="DLG15" s="11"/>
      <c r="DLH15" s="11"/>
      <c r="DLI15" s="11"/>
      <c r="DLJ15" s="11"/>
      <c r="DLK15" s="11"/>
      <c r="DLL15" s="11"/>
      <c r="DLM15" s="11"/>
      <c r="DLN15" s="11"/>
      <c r="DLO15" s="11"/>
      <c r="DLP15" s="11"/>
      <c r="DLQ15" s="11"/>
      <c r="DLR15" s="11"/>
      <c r="DLS15" s="11"/>
      <c r="DLT15" s="11"/>
      <c r="DLU15" s="11"/>
      <c r="DLV15" s="11"/>
      <c r="DLW15" s="11"/>
      <c r="DLX15" s="11"/>
      <c r="DLY15" s="11"/>
      <c r="DLZ15" s="11"/>
      <c r="DMA15" s="11"/>
      <c r="DMB15" s="11"/>
      <c r="DMC15" s="11"/>
      <c r="DMD15" s="11"/>
      <c r="DME15" s="11"/>
      <c r="DMF15" s="11"/>
      <c r="DMG15" s="11"/>
      <c r="DMH15" s="11"/>
      <c r="DMI15" s="11"/>
      <c r="DMJ15" s="11"/>
      <c r="DMK15" s="11"/>
      <c r="DML15" s="11"/>
      <c r="DMM15" s="11"/>
      <c r="DMN15" s="11"/>
      <c r="DMO15" s="11"/>
      <c r="DMP15" s="11"/>
      <c r="DMQ15" s="11"/>
      <c r="DMR15" s="11"/>
      <c r="DMS15" s="11"/>
      <c r="DMT15" s="11"/>
      <c r="DMU15" s="11"/>
      <c r="DMV15" s="11"/>
      <c r="DMW15" s="11"/>
      <c r="DMX15" s="11"/>
      <c r="DMY15" s="11"/>
      <c r="DMZ15" s="11"/>
      <c r="DNA15" s="11"/>
      <c r="DNB15" s="11"/>
      <c r="DNC15" s="11"/>
      <c r="DND15" s="11"/>
      <c r="DNE15" s="11"/>
      <c r="DNF15" s="11"/>
      <c r="DNG15" s="11"/>
      <c r="DNH15" s="11"/>
      <c r="DNI15" s="11"/>
      <c r="DNJ15" s="11"/>
      <c r="DNK15" s="11"/>
      <c r="DNL15" s="11"/>
      <c r="DNM15" s="11"/>
      <c r="DNN15" s="11"/>
      <c r="DNO15" s="11"/>
      <c r="DNP15" s="11"/>
      <c r="DNQ15" s="11"/>
      <c r="DNR15" s="11"/>
      <c r="DNS15" s="11"/>
      <c r="DNT15" s="11"/>
      <c r="DNU15" s="11"/>
      <c r="DNV15" s="11"/>
      <c r="DNW15" s="11"/>
      <c r="DNX15" s="11"/>
      <c r="DNY15" s="11"/>
      <c r="DNZ15" s="11"/>
      <c r="DOA15" s="11"/>
      <c r="DOB15" s="11"/>
      <c r="DOC15" s="11"/>
      <c r="DOD15" s="11"/>
      <c r="DOE15" s="11"/>
      <c r="DOF15" s="11"/>
      <c r="DOG15" s="11"/>
      <c r="DOH15" s="11"/>
      <c r="DOI15" s="11"/>
      <c r="DOJ15" s="11"/>
      <c r="DOK15" s="11"/>
      <c r="DOL15" s="11"/>
      <c r="DOM15" s="11"/>
      <c r="DON15" s="11"/>
      <c r="DOO15" s="11"/>
      <c r="DOP15" s="11"/>
      <c r="DOQ15" s="11"/>
      <c r="DOR15" s="11"/>
      <c r="DOS15" s="11"/>
      <c r="DOT15" s="11"/>
      <c r="DOU15" s="11"/>
      <c r="DOV15" s="11"/>
      <c r="DOW15" s="11"/>
      <c r="DOX15" s="11"/>
      <c r="DOY15" s="11"/>
      <c r="DOZ15" s="11"/>
      <c r="DPA15" s="11"/>
      <c r="DPB15" s="11"/>
      <c r="DPC15" s="11"/>
      <c r="DPD15" s="11"/>
      <c r="DPE15" s="11"/>
      <c r="DPF15" s="11"/>
      <c r="DPG15" s="11"/>
      <c r="DPH15" s="11"/>
      <c r="DPI15" s="11"/>
      <c r="DPJ15" s="11"/>
      <c r="DPK15" s="11"/>
      <c r="DPL15" s="11"/>
      <c r="DPM15" s="11"/>
      <c r="DPN15" s="11"/>
      <c r="DPO15" s="11"/>
      <c r="DPP15" s="11"/>
      <c r="DPQ15" s="11"/>
      <c r="DPR15" s="11"/>
      <c r="DPS15" s="11"/>
      <c r="DPT15" s="11"/>
      <c r="DPU15" s="11"/>
      <c r="DPV15" s="11"/>
      <c r="DPW15" s="11"/>
      <c r="DPX15" s="11"/>
      <c r="DPY15" s="11"/>
      <c r="DPZ15" s="11"/>
      <c r="DQA15" s="11"/>
      <c r="DQB15" s="11"/>
      <c r="DQC15" s="11"/>
      <c r="DQD15" s="11"/>
      <c r="DQE15" s="11"/>
      <c r="DQF15" s="11"/>
      <c r="DQG15" s="11"/>
      <c r="DQH15" s="11"/>
      <c r="DQI15" s="11"/>
      <c r="DQJ15" s="11"/>
      <c r="DQK15" s="11"/>
      <c r="DQL15" s="11"/>
      <c r="DQM15" s="11"/>
      <c r="DQN15" s="11"/>
      <c r="DQO15" s="11"/>
      <c r="DQP15" s="11"/>
      <c r="DQQ15" s="11"/>
      <c r="DQR15" s="11"/>
      <c r="DQS15" s="11"/>
      <c r="DQT15" s="11"/>
      <c r="DQU15" s="11"/>
      <c r="DQV15" s="11"/>
      <c r="DQW15" s="11"/>
      <c r="DQX15" s="11"/>
      <c r="DQY15" s="11"/>
      <c r="DQZ15" s="11"/>
      <c r="DRA15" s="11"/>
      <c r="DRB15" s="11"/>
      <c r="DRC15" s="11"/>
      <c r="DRD15" s="11"/>
      <c r="DRE15" s="11"/>
      <c r="DRF15" s="11"/>
      <c r="DRG15" s="11"/>
      <c r="DRH15" s="11"/>
      <c r="DRI15" s="11"/>
      <c r="DRJ15" s="11"/>
      <c r="DRK15" s="11"/>
      <c r="DRL15" s="11"/>
      <c r="DRM15" s="11"/>
      <c r="DRN15" s="11"/>
      <c r="DRO15" s="11"/>
      <c r="DRP15" s="11"/>
      <c r="DRQ15" s="11"/>
      <c r="DRR15" s="11"/>
      <c r="DRS15" s="11"/>
      <c r="DRT15" s="11"/>
      <c r="DRU15" s="11"/>
      <c r="DRV15" s="11"/>
      <c r="DRW15" s="11"/>
      <c r="DRX15" s="11"/>
      <c r="DRY15" s="11"/>
      <c r="DRZ15" s="11"/>
      <c r="DSA15" s="11"/>
      <c r="DSB15" s="11"/>
      <c r="DSC15" s="11"/>
      <c r="DSD15" s="11"/>
      <c r="DSE15" s="11"/>
      <c r="DSF15" s="11"/>
      <c r="DSG15" s="11"/>
      <c r="DSH15" s="11"/>
      <c r="DSI15" s="11"/>
      <c r="DSJ15" s="11"/>
      <c r="DSK15" s="11"/>
      <c r="DSL15" s="11"/>
      <c r="DSM15" s="11"/>
      <c r="DSN15" s="11"/>
      <c r="DSO15" s="11"/>
      <c r="DSP15" s="11"/>
      <c r="DSQ15" s="11"/>
      <c r="DSR15" s="11"/>
      <c r="DSS15" s="11"/>
      <c r="DST15" s="11"/>
      <c r="DSU15" s="11"/>
      <c r="DSV15" s="11"/>
      <c r="DSW15" s="11"/>
      <c r="DSX15" s="11"/>
      <c r="DSY15" s="11"/>
      <c r="DSZ15" s="11"/>
      <c r="DTA15" s="11"/>
      <c r="DTB15" s="11"/>
      <c r="DTC15" s="11"/>
      <c r="DTD15" s="11"/>
      <c r="DTE15" s="11"/>
      <c r="DTF15" s="11"/>
      <c r="DTG15" s="11"/>
      <c r="DTH15" s="11"/>
      <c r="DTI15" s="11"/>
      <c r="DTJ15" s="11"/>
      <c r="DTK15" s="11"/>
      <c r="DTL15" s="11"/>
      <c r="DTM15" s="11"/>
      <c r="DTN15" s="11"/>
      <c r="DTO15" s="11"/>
      <c r="DTP15" s="11"/>
      <c r="DTQ15" s="11"/>
      <c r="DTR15" s="11"/>
      <c r="DTS15" s="11"/>
      <c r="DTT15" s="11"/>
      <c r="DTU15" s="11"/>
      <c r="DTV15" s="11"/>
      <c r="DTW15" s="11"/>
      <c r="DTX15" s="11"/>
      <c r="DTY15" s="11"/>
      <c r="DTZ15" s="11"/>
      <c r="DUA15" s="11"/>
      <c r="DUB15" s="11"/>
      <c r="DUC15" s="11"/>
      <c r="DUD15" s="11"/>
      <c r="DUE15" s="11"/>
      <c r="DUF15" s="11"/>
      <c r="DUG15" s="11"/>
      <c r="DUH15" s="11"/>
      <c r="DUI15" s="11"/>
      <c r="DUJ15" s="11"/>
      <c r="DUK15" s="11"/>
      <c r="DUL15" s="11"/>
      <c r="DUM15" s="11"/>
      <c r="DUN15" s="11"/>
      <c r="DUO15" s="11"/>
      <c r="DUP15" s="11"/>
      <c r="DUQ15" s="11"/>
      <c r="DUR15" s="11"/>
      <c r="DUS15" s="11"/>
      <c r="DUT15" s="11"/>
      <c r="DUU15" s="11"/>
      <c r="DUV15" s="11"/>
      <c r="DUW15" s="11"/>
      <c r="DUX15" s="11"/>
      <c r="DUY15" s="11"/>
      <c r="DUZ15" s="11"/>
      <c r="DVA15" s="11"/>
      <c r="DVB15" s="11"/>
      <c r="DVC15" s="11"/>
      <c r="DVD15" s="11"/>
      <c r="DVE15" s="11"/>
      <c r="DVF15" s="11"/>
      <c r="DVG15" s="11"/>
      <c r="DVH15" s="11"/>
      <c r="DVI15" s="11"/>
      <c r="DVJ15" s="11"/>
      <c r="DVK15" s="11"/>
      <c r="DVL15" s="11"/>
      <c r="DVM15" s="11"/>
      <c r="DVN15" s="11"/>
      <c r="DVO15" s="11"/>
      <c r="DVP15" s="11"/>
      <c r="DVQ15" s="11"/>
      <c r="DVR15" s="11"/>
      <c r="DVS15" s="11"/>
      <c r="DVT15" s="11"/>
      <c r="DVU15" s="11"/>
      <c r="DVV15" s="11"/>
      <c r="DVW15" s="11"/>
      <c r="DVX15" s="11"/>
      <c r="DVY15" s="11"/>
      <c r="DVZ15" s="11"/>
      <c r="DWA15" s="11"/>
      <c r="DWB15" s="11"/>
      <c r="DWC15" s="11"/>
      <c r="DWD15" s="11"/>
      <c r="DWE15" s="11"/>
      <c r="DWF15" s="11"/>
      <c r="DWG15" s="11"/>
      <c r="DWH15" s="11"/>
      <c r="DWI15" s="11"/>
      <c r="DWJ15" s="11"/>
      <c r="DWK15" s="11"/>
      <c r="DWL15" s="11"/>
      <c r="DWM15" s="11"/>
      <c r="DWN15" s="11"/>
      <c r="DWO15" s="11"/>
      <c r="DWP15" s="11"/>
      <c r="DWQ15" s="11"/>
      <c r="DWR15" s="11"/>
      <c r="DWS15" s="11"/>
      <c r="DWT15" s="11"/>
      <c r="DWU15" s="11"/>
      <c r="DWV15" s="11"/>
      <c r="DWW15" s="11"/>
      <c r="DWX15" s="11"/>
      <c r="DWY15" s="11"/>
      <c r="DWZ15" s="11"/>
      <c r="DXA15" s="11"/>
      <c r="DXB15" s="11"/>
      <c r="DXC15" s="11"/>
      <c r="DXD15" s="11"/>
      <c r="DXE15" s="11"/>
      <c r="DXF15" s="11"/>
      <c r="DXG15" s="11"/>
      <c r="DXH15" s="11"/>
      <c r="DXI15" s="11"/>
      <c r="DXJ15" s="11"/>
      <c r="DXK15" s="11"/>
      <c r="DXL15" s="11"/>
      <c r="DXM15" s="11"/>
      <c r="DXN15" s="11"/>
      <c r="DXO15" s="11"/>
      <c r="DXP15" s="11"/>
      <c r="DXQ15" s="11"/>
      <c r="DXR15" s="11"/>
      <c r="DXS15" s="11"/>
      <c r="DXT15" s="11"/>
      <c r="DXU15" s="11"/>
      <c r="DXV15" s="11"/>
      <c r="DXW15" s="11"/>
      <c r="DXX15" s="11"/>
      <c r="DXY15" s="11"/>
      <c r="DXZ15" s="11"/>
      <c r="DYA15" s="11"/>
      <c r="DYB15" s="11"/>
      <c r="DYC15" s="11"/>
      <c r="DYD15" s="11"/>
      <c r="DYE15" s="11"/>
      <c r="DYF15" s="11"/>
      <c r="DYG15" s="11"/>
      <c r="DYH15" s="11"/>
      <c r="DYI15" s="11"/>
      <c r="DYJ15" s="11"/>
      <c r="DYK15" s="11"/>
      <c r="DYL15" s="11"/>
      <c r="DYM15" s="11"/>
      <c r="DYN15" s="11"/>
      <c r="DYO15" s="11"/>
      <c r="DYP15" s="11"/>
      <c r="DYQ15" s="11"/>
      <c r="DYR15" s="11"/>
      <c r="DYS15" s="11"/>
      <c r="DYT15" s="11"/>
      <c r="DYU15" s="11"/>
      <c r="DYV15" s="11"/>
      <c r="DYW15" s="11"/>
      <c r="DYX15" s="11"/>
      <c r="DYY15" s="11"/>
      <c r="DYZ15" s="11"/>
      <c r="DZA15" s="11"/>
      <c r="DZB15" s="11"/>
      <c r="DZC15" s="11"/>
      <c r="DZD15" s="11"/>
      <c r="DZE15" s="11"/>
      <c r="DZF15" s="11"/>
      <c r="DZG15" s="11"/>
      <c r="DZH15" s="11"/>
      <c r="DZI15" s="11"/>
      <c r="DZJ15" s="11"/>
      <c r="DZK15" s="11"/>
      <c r="DZL15" s="11"/>
      <c r="DZM15" s="11"/>
      <c r="DZN15" s="11"/>
      <c r="DZO15" s="11"/>
      <c r="DZP15" s="11"/>
      <c r="DZQ15" s="11"/>
      <c r="DZR15" s="11"/>
      <c r="DZS15" s="11"/>
      <c r="DZT15" s="11"/>
      <c r="DZU15" s="11"/>
      <c r="DZV15" s="11"/>
      <c r="DZW15" s="11"/>
      <c r="DZX15" s="11"/>
      <c r="DZY15" s="11"/>
      <c r="DZZ15" s="11"/>
      <c r="EAA15" s="11"/>
      <c r="EAB15" s="11"/>
      <c r="EAC15" s="11"/>
      <c r="EAD15" s="11"/>
      <c r="EAE15" s="11"/>
      <c r="EAF15" s="11"/>
      <c r="EAG15" s="11"/>
      <c r="EAH15" s="11"/>
      <c r="EAI15" s="11"/>
      <c r="EAJ15" s="11"/>
      <c r="EAK15" s="11"/>
      <c r="EAL15" s="11"/>
      <c r="EAM15" s="11"/>
      <c r="EAN15" s="11"/>
      <c r="EAO15" s="11"/>
      <c r="EAP15" s="11"/>
      <c r="EAQ15" s="11"/>
      <c r="EAR15" s="11"/>
      <c r="EAS15" s="11"/>
      <c r="EAT15" s="11"/>
      <c r="EAU15" s="11"/>
      <c r="EAV15" s="11"/>
      <c r="EAW15" s="11"/>
      <c r="EAX15" s="11"/>
      <c r="EAY15" s="11"/>
      <c r="EAZ15" s="11"/>
      <c r="EBA15" s="11"/>
      <c r="EBB15" s="11"/>
      <c r="EBC15" s="11"/>
      <c r="EBD15" s="11"/>
      <c r="EBE15" s="11"/>
      <c r="EBF15" s="11"/>
      <c r="EBG15" s="11"/>
      <c r="EBH15" s="11"/>
      <c r="EBI15" s="11"/>
      <c r="EBJ15" s="11"/>
      <c r="EBK15" s="11"/>
      <c r="EBL15" s="11"/>
      <c r="EBM15" s="11"/>
      <c r="EBN15" s="11"/>
      <c r="EBO15" s="11"/>
      <c r="EBP15" s="11"/>
      <c r="EBQ15" s="11"/>
      <c r="EBR15" s="11"/>
      <c r="EBS15" s="11"/>
      <c r="EBT15" s="11"/>
      <c r="EBU15" s="11"/>
      <c r="EBV15" s="11"/>
      <c r="EBW15" s="11"/>
      <c r="EBX15" s="11"/>
      <c r="EBY15" s="11"/>
      <c r="EBZ15" s="11"/>
      <c r="ECA15" s="11"/>
      <c r="ECB15" s="11"/>
      <c r="ECC15" s="11"/>
      <c r="ECD15" s="11"/>
      <c r="ECE15" s="11"/>
      <c r="ECF15" s="11"/>
      <c r="ECG15" s="11"/>
      <c r="ECH15" s="11"/>
      <c r="ECI15" s="11"/>
      <c r="ECJ15" s="11"/>
      <c r="ECK15" s="11"/>
      <c r="ECL15" s="11"/>
      <c r="ECM15" s="11"/>
      <c r="ECN15" s="11"/>
      <c r="ECO15" s="11"/>
      <c r="ECP15" s="11"/>
      <c r="ECQ15" s="11"/>
      <c r="ECR15" s="11"/>
      <c r="ECS15" s="11"/>
      <c r="ECT15" s="11"/>
      <c r="ECU15" s="11"/>
      <c r="ECV15" s="11"/>
      <c r="ECW15" s="11"/>
      <c r="ECX15" s="11"/>
      <c r="ECY15" s="11"/>
      <c r="ECZ15" s="11"/>
      <c r="EDA15" s="11"/>
      <c r="EDB15" s="11"/>
      <c r="EDC15" s="11"/>
      <c r="EDD15" s="11"/>
      <c r="EDE15" s="11"/>
      <c r="EDF15" s="11"/>
      <c r="EDG15" s="11"/>
      <c r="EDH15" s="11"/>
      <c r="EDI15" s="11"/>
      <c r="EDJ15" s="11"/>
      <c r="EDK15" s="11"/>
      <c r="EDL15" s="11"/>
      <c r="EDM15" s="11"/>
      <c r="EDN15" s="11"/>
      <c r="EDO15" s="11"/>
      <c r="EDP15" s="11"/>
      <c r="EDQ15" s="11"/>
      <c r="EDR15" s="11"/>
      <c r="EDS15" s="11"/>
      <c r="EDT15" s="11"/>
      <c r="EDU15" s="11"/>
      <c r="EDV15" s="11"/>
      <c r="EDW15" s="11"/>
      <c r="EDX15" s="11"/>
      <c r="EDY15" s="11"/>
      <c r="EDZ15" s="11"/>
      <c r="EEA15" s="11"/>
      <c r="EEB15" s="11"/>
      <c r="EEC15" s="11"/>
      <c r="EED15" s="11"/>
      <c r="EEE15" s="11"/>
      <c r="EEF15" s="11"/>
      <c r="EEG15" s="11"/>
      <c r="EEH15" s="11"/>
      <c r="EEI15" s="11"/>
      <c r="EEJ15" s="11"/>
      <c r="EEK15" s="11"/>
      <c r="EEL15" s="11"/>
      <c r="EEM15" s="11"/>
      <c r="EEN15" s="11"/>
      <c r="EEO15" s="11"/>
      <c r="EEP15" s="11"/>
      <c r="EEQ15" s="11"/>
      <c r="EER15" s="11"/>
      <c r="EES15" s="11"/>
      <c r="EET15" s="11"/>
      <c r="EEU15" s="11"/>
      <c r="EEV15" s="11"/>
      <c r="EEW15" s="11"/>
      <c r="EEX15" s="11"/>
      <c r="EEY15" s="11"/>
      <c r="EEZ15" s="11"/>
      <c r="EFA15" s="11"/>
      <c r="EFB15" s="11"/>
      <c r="EFC15" s="11"/>
      <c r="EFD15" s="11"/>
      <c r="EFE15" s="11"/>
      <c r="EFF15" s="11"/>
      <c r="EFG15" s="11"/>
      <c r="EFH15" s="11"/>
      <c r="EFI15" s="11"/>
      <c r="EFJ15" s="11"/>
      <c r="EFK15" s="11"/>
      <c r="EFL15" s="11"/>
      <c r="EFM15" s="11"/>
      <c r="EFN15" s="11"/>
      <c r="EFO15" s="11"/>
      <c r="EFP15" s="11"/>
      <c r="EFQ15" s="11"/>
      <c r="EFR15" s="11"/>
      <c r="EFS15" s="11"/>
      <c r="EFT15" s="11"/>
      <c r="EFU15" s="11"/>
      <c r="EFV15" s="11"/>
      <c r="EFW15" s="11"/>
      <c r="EFX15" s="11"/>
      <c r="EFY15" s="11"/>
      <c r="EFZ15" s="11"/>
      <c r="EGA15" s="11"/>
      <c r="EGB15" s="11"/>
      <c r="EGC15" s="11"/>
      <c r="EGD15" s="11"/>
      <c r="EGE15" s="11"/>
      <c r="EGF15" s="11"/>
      <c r="EGG15" s="11"/>
      <c r="EGH15" s="11"/>
      <c r="EGI15" s="11"/>
      <c r="EGJ15" s="11"/>
      <c r="EGK15" s="11"/>
      <c r="EGL15" s="11"/>
      <c r="EGM15" s="11"/>
      <c r="EGN15" s="11"/>
      <c r="EGO15" s="11"/>
      <c r="EGP15" s="11"/>
      <c r="EGQ15" s="11"/>
      <c r="EGR15" s="11"/>
      <c r="EGS15" s="11"/>
      <c r="EGT15" s="11"/>
      <c r="EGU15" s="11"/>
      <c r="EGV15" s="11"/>
      <c r="EGW15" s="11"/>
      <c r="EGX15" s="11"/>
      <c r="EGY15" s="11"/>
      <c r="EGZ15" s="11"/>
      <c r="EHA15" s="11"/>
      <c r="EHB15" s="11"/>
      <c r="EHC15" s="11"/>
      <c r="EHD15" s="11"/>
      <c r="EHE15" s="11"/>
      <c r="EHF15" s="11"/>
      <c r="EHG15" s="11"/>
      <c r="EHH15" s="11"/>
      <c r="EHI15" s="11"/>
      <c r="EHJ15" s="11"/>
      <c r="EHK15" s="11"/>
      <c r="EHL15" s="11"/>
      <c r="EHM15" s="11"/>
      <c r="EHN15" s="11"/>
      <c r="EHO15" s="11"/>
      <c r="EHP15" s="11"/>
      <c r="EHQ15" s="11"/>
      <c r="EHR15" s="11"/>
      <c r="EHS15" s="11"/>
      <c r="EHT15" s="11"/>
      <c r="EHU15" s="11"/>
      <c r="EHV15" s="11"/>
      <c r="EHW15" s="11"/>
      <c r="EHX15" s="11"/>
      <c r="EHY15" s="11"/>
      <c r="EHZ15" s="11"/>
      <c r="EIA15" s="11"/>
      <c r="EIB15" s="11"/>
      <c r="EIC15" s="11"/>
      <c r="EID15" s="11"/>
      <c r="EIE15" s="11"/>
      <c r="EIF15" s="11"/>
      <c r="EIG15" s="11"/>
      <c r="EIH15" s="11"/>
      <c r="EII15" s="11"/>
      <c r="EIJ15" s="11"/>
      <c r="EIK15" s="11"/>
      <c r="EIL15" s="11"/>
      <c r="EIM15" s="11"/>
      <c r="EIN15" s="11"/>
      <c r="EIO15" s="11"/>
      <c r="EIP15" s="11"/>
      <c r="EIQ15" s="11"/>
      <c r="EIR15" s="11"/>
      <c r="EIS15" s="11"/>
      <c r="EIT15" s="11"/>
      <c r="EIU15" s="11"/>
      <c r="EIV15" s="11"/>
      <c r="EIW15" s="11"/>
      <c r="EIX15" s="11"/>
      <c r="EIY15" s="11"/>
      <c r="EIZ15" s="11"/>
      <c r="EJA15" s="11"/>
      <c r="EJB15" s="11"/>
      <c r="EJC15" s="11"/>
      <c r="EJD15" s="11"/>
      <c r="EJE15" s="11"/>
      <c r="EJF15" s="11"/>
      <c r="EJG15" s="11"/>
      <c r="EJH15" s="11"/>
      <c r="EJI15" s="11"/>
      <c r="EJJ15" s="11"/>
      <c r="EJK15" s="11"/>
      <c r="EJL15" s="11"/>
      <c r="EJM15" s="11"/>
      <c r="EJN15" s="11"/>
      <c r="EJO15" s="11"/>
      <c r="EJP15" s="11"/>
      <c r="EJQ15" s="11"/>
      <c r="EJR15" s="11"/>
      <c r="EJS15" s="11"/>
      <c r="EJT15" s="11"/>
      <c r="EJU15" s="11"/>
      <c r="EJV15" s="11"/>
      <c r="EJW15" s="11"/>
      <c r="EJX15" s="11"/>
      <c r="EJY15" s="11"/>
      <c r="EJZ15" s="11"/>
      <c r="EKA15" s="11"/>
      <c r="EKB15" s="11"/>
      <c r="EKC15" s="11"/>
      <c r="EKD15" s="11"/>
      <c r="EKE15" s="11"/>
      <c r="EKF15" s="11"/>
      <c r="EKG15" s="11"/>
      <c r="EKH15" s="11"/>
      <c r="EKI15" s="11"/>
      <c r="EKJ15" s="11"/>
      <c r="EKK15" s="11"/>
      <c r="EKL15" s="11"/>
      <c r="EKM15" s="11"/>
      <c r="EKN15" s="11"/>
      <c r="EKO15" s="11"/>
      <c r="EKP15" s="11"/>
      <c r="EKQ15" s="11"/>
      <c r="EKR15" s="11"/>
      <c r="EKS15" s="11"/>
      <c r="EKT15" s="11"/>
      <c r="EKU15" s="11"/>
      <c r="EKV15" s="11"/>
      <c r="EKW15" s="11"/>
      <c r="EKX15" s="11"/>
      <c r="EKY15" s="11"/>
      <c r="EKZ15" s="11"/>
      <c r="ELA15" s="11"/>
      <c r="ELB15" s="11"/>
      <c r="ELC15" s="11"/>
      <c r="ELD15" s="11"/>
      <c r="ELE15" s="11"/>
      <c r="ELF15" s="11"/>
      <c r="ELG15" s="11"/>
      <c r="ELH15" s="11"/>
      <c r="ELI15" s="11"/>
      <c r="ELJ15" s="11"/>
      <c r="ELK15" s="11"/>
      <c r="ELL15" s="11"/>
      <c r="ELM15" s="11"/>
      <c r="ELN15" s="11"/>
      <c r="ELO15" s="11"/>
      <c r="ELP15" s="11"/>
      <c r="ELQ15" s="11"/>
      <c r="ELR15" s="11"/>
      <c r="ELS15" s="11"/>
      <c r="ELT15" s="11"/>
      <c r="ELU15" s="11"/>
      <c r="ELV15" s="11"/>
      <c r="ELW15" s="11"/>
      <c r="ELX15" s="11"/>
      <c r="ELY15" s="11"/>
      <c r="ELZ15" s="11"/>
      <c r="EMA15" s="11"/>
      <c r="EMB15" s="11"/>
      <c r="EMC15" s="11"/>
      <c r="EMD15" s="11"/>
      <c r="EME15" s="11"/>
      <c r="EMF15" s="11"/>
      <c r="EMG15" s="11"/>
      <c r="EMH15" s="11"/>
      <c r="EMI15" s="11"/>
      <c r="EMJ15" s="11"/>
      <c r="EMK15" s="11"/>
      <c r="EML15" s="11"/>
      <c r="EMM15" s="11"/>
      <c r="EMN15" s="11"/>
      <c r="EMO15" s="11"/>
      <c r="EMP15" s="11"/>
      <c r="EMQ15" s="11"/>
      <c r="EMR15" s="11"/>
      <c r="EMS15" s="11"/>
      <c r="EMT15" s="11"/>
      <c r="EMU15" s="11"/>
      <c r="EMV15" s="11"/>
      <c r="EMW15" s="11"/>
      <c r="EMX15" s="11"/>
      <c r="EMY15" s="11"/>
      <c r="EMZ15" s="11"/>
      <c r="ENA15" s="11"/>
      <c r="ENB15" s="11"/>
      <c r="ENC15" s="11"/>
      <c r="END15" s="11"/>
      <c r="ENE15" s="11"/>
      <c r="ENF15" s="11"/>
      <c r="ENG15" s="11"/>
      <c r="ENH15" s="11"/>
      <c r="ENI15" s="11"/>
      <c r="ENJ15" s="11"/>
      <c r="ENK15" s="11"/>
      <c r="ENL15" s="11"/>
      <c r="ENM15" s="11"/>
      <c r="ENN15" s="11"/>
      <c r="ENO15" s="11"/>
      <c r="ENP15" s="11"/>
      <c r="ENQ15" s="11"/>
      <c r="ENR15" s="11"/>
      <c r="ENS15" s="11"/>
      <c r="ENT15" s="11"/>
      <c r="ENU15" s="11"/>
      <c r="ENV15" s="11"/>
      <c r="ENW15" s="11"/>
      <c r="ENX15" s="11"/>
      <c r="ENY15" s="11"/>
      <c r="ENZ15" s="11"/>
      <c r="EOA15" s="11"/>
      <c r="EOB15" s="11"/>
      <c r="EOC15" s="11"/>
      <c r="EOD15" s="11"/>
      <c r="EOE15" s="11"/>
      <c r="EOF15" s="11"/>
      <c r="EOG15" s="11"/>
      <c r="EOH15" s="11"/>
      <c r="EOI15" s="11"/>
      <c r="EOJ15" s="11"/>
      <c r="EOK15" s="11"/>
      <c r="EOL15" s="11"/>
      <c r="EOM15" s="11"/>
      <c r="EON15" s="11"/>
      <c r="EOO15" s="11"/>
      <c r="EOP15" s="11"/>
      <c r="EOQ15" s="11"/>
      <c r="EOR15" s="11"/>
      <c r="EOS15" s="11"/>
      <c r="EOT15" s="11"/>
      <c r="EOU15" s="11"/>
      <c r="EOV15" s="11"/>
      <c r="EOW15" s="11"/>
      <c r="EOX15" s="11"/>
      <c r="EOY15" s="11"/>
      <c r="EOZ15" s="11"/>
      <c r="EPA15" s="11"/>
      <c r="EPB15" s="11"/>
      <c r="EPC15" s="11"/>
      <c r="EPD15" s="11"/>
      <c r="EPE15" s="11"/>
      <c r="EPF15" s="11"/>
      <c r="EPG15" s="11"/>
      <c r="EPH15" s="11"/>
      <c r="EPI15" s="11"/>
      <c r="EPJ15" s="11"/>
      <c r="EPK15" s="11"/>
      <c r="EPL15" s="11"/>
      <c r="EPM15" s="11"/>
      <c r="EPN15" s="11"/>
      <c r="EPO15" s="11"/>
      <c r="EPP15" s="11"/>
      <c r="EPQ15" s="11"/>
      <c r="EPR15" s="11"/>
      <c r="EPS15" s="11"/>
      <c r="EPT15" s="11"/>
      <c r="EPU15" s="11"/>
      <c r="EPV15" s="11"/>
      <c r="EPW15" s="11"/>
      <c r="EPX15" s="11"/>
      <c r="EPY15" s="11"/>
      <c r="EPZ15" s="11"/>
      <c r="EQA15" s="11"/>
      <c r="EQB15" s="11"/>
      <c r="EQC15" s="11"/>
      <c r="EQD15" s="11"/>
      <c r="EQE15" s="11"/>
      <c r="EQF15" s="11"/>
      <c r="EQG15" s="11"/>
      <c r="EQH15" s="11"/>
      <c r="EQI15" s="11"/>
      <c r="EQJ15" s="11"/>
      <c r="EQK15" s="11"/>
      <c r="EQL15" s="11"/>
      <c r="EQM15" s="11"/>
      <c r="EQN15" s="11"/>
      <c r="EQO15" s="11"/>
      <c r="EQP15" s="11"/>
      <c r="EQQ15" s="11"/>
      <c r="EQR15" s="11"/>
      <c r="EQS15" s="11"/>
      <c r="EQT15" s="11"/>
      <c r="EQU15" s="11"/>
      <c r="EQV15" s="11"/>
      <c r="EQW15" s="11"/>
      <c r="EQX15" s="11"/>
      <c r="EQY15" s="11"/>
      <c r="EQZ15" s="11"/>
      <c r="ERA15" s="11"/>
      <c r="ERB15" s="11"/>
      <c r="ERC15" s="11"/>
      <c r="ERD15" s="11"/>
      <c r="ERE15" s="11"/>
      <c r="ERF15" s="11"/>
      <c r="ERG15" s="11"/>
      <c r="ERH15" s="11"/>
      <c r="ERI15" s="11"/>
      <c r="ERJ15" s="11"/>
      <c r="ERK15" s="11"/>
      <c r="ERL15" s="11"/>
      <c r="ERM15" s="11"/>
      <c r="ERN15" s="11"/>
      <c r="ERO15" s="11"/>
      <c r="ERP15" s="11"/>
      <c r="ERQ15" s="11"/>
      <c r="ERR15" s="11"/>
      <c r="ERS15" s="11"/>
      <c r="ERT15" s="11"/>
      <c r="ERU15" s="11"/>
      <c r="ERV15" s="11"/>
      <c r="ERW15" s="11"/>
      <c r="ERX15" s="11"/>
      <c r="ERY15" s="11"/>
      <c r="ERZ15" s="11"/>
      <c r="ESA15" s="11"/>
      <c r="ESB15" s="11"/>
      <c r="ESC15" s="11"/>
      <c r="ESD15" s="11"/>
      <c r="ESE15" s="11"/>
      <c r="ESF15" s="11"/>
      <c r="ESG15" s="11"/>
      <c r="ESH15" s="11"/>
      <c r="ESI15" s="11"/>
      <c r="ESJ15" s="11"/>
      <c r="ESK15" s="11"/>
      <c r="ESL15" s="11"/>
      <c r="ESM15" s="11"/>
      <c r="ESN15" s="11"/>
      <c r="ESO15" s="11"/>
      <c r="ESP15" s="11"/>
      <c r="ESQ15" s="11"/>
      <c r="ESR15" s="11"/>
      <c r="ESS15" s="11"/>
      <c r="EST15" s="11"/>
      <c r="ESU15" s="11"/>
      <c r="ESV15" s="11"/>
      <c r="ESW15" s="11"/>
      <c r="ESX15" s="11"/>
      <c r="ESY15" s="11"/>
      <c r="ESZ15" s="11"/>
      <c r="ETA15" s="11"/>
      <c r="ETB15" s="11"/>
      <c r="ETC15" s="11"/>
      <c r="ETD15" s="11"/>
      <c r="ETE15" s="11"/>
      <c r="ETF15" s="11"/>
      <c r="ETG15" s="11"/>
      <c r="ETH15" s="11"/>
      <c r="ETI15" s="11"/>
      <c r="ETJ15" s="11"/>
      <c r="ETK15" s="11"/>
      <c r="ETL15" s="11"/>
      <c r="ETM15" s="11"/>
      <c r="ETN15" s="11"/>
      <c r="ETO15" s="11"/>
      <c r="ETP15" s="11"/>
      <c r="ETQ15" s="11"/>
      <c r="ETR15" s="11"/>
      <c r="ETS15" s="11"/>
      <c r="ETT15" s="11"/>
      <c r="ETU15" s="11"/>
      <c r="ETV15" s="11"/>
      <c r="ETW15" s="11"/>
      <c r="ETX15" s="11"/>
      <c r="ETY15" s="11"/>
      <c r="ETZ15" s="11"/>
      <c r="EUA15" s="11"/>
      <c r="EUB15" s="11"/>
      <c r="EUC15" s="11"/>
      <c r="EUD15" s="11"/>
      <c r="EUE15" s="11"/>
      <c r="EUF15" s="11"/>
      <c r="EUG15" s="11"/>
      <c r="EUH15" s="11"/>
      <c r="EUI15" s="11"/>
      <c r="EUJ15" s="11"/>
      <c r="EUK15" s="11"/>
      <c r="EUL15" s="11"/>
      <c r="EUM15" s="11"/>
      <c r="EUN15" s="11"/>
      <c r="EUO15" s="11"/>
      <c r="EUP15" s="11"/>
      <c r="EUQ15" s="11"/>
      <c r="EUR15" s="11"/>
      <c r="EUS15" s="11"/>
      <c r="EUT15" s="11"/>
      <c r="EUU15" s="11"/>
      <c r="EUV15" s="11"/>
      <c r="EUW15" s="11"/>
      <c r="EUX15" s="11"/>
      <c r="EUY15" s="11"/>
      <c r="EUZ15" s="11"/>
      <c r="EVA15" s="11"/>
      <c r="EVB15" s="11"/>
      <c r="EVC15" s="11"/>
      <c r="EVD15" s="11"/>
      <c r="EVE15" s="11"/>
      <c r="EVF15" s="11"/>
      <c r="EVG15" s="11"/>
      <c r="EVH15" s="11"/>
      <c r="EVI15" s="11"/>
      <c r="EVJ15" s="11"/>
      <c r="EVK15" s="11"/>
      <c r="EVL15" s="11"/>
      <c r="EVM15" s="11"/>
      <c r="EVN15" s="11"/>
      <c r="EVO15" s="11"/>
      <c r="EVP15" s="11"/>
      <c r="EVQ15" s="11"/>
      <c r="EVR15" s="11"/>
      <c r="EVS15" s="11"/>
      <c r="EVT15" s="11"/>
      <c r="EVU15" s="11"/>
      <c r="EVV15" s="11"/>
      <c r="EVW15" s="11"/>
      <c r="EVX15" s="11"/>
      <c r="EVY15" s="11"/>
      <c r="EVZ15" s="11"/>
      <c r="EWA15" s="11"/>
      <c r="EWB15" s="11"/>
      <c r="EWC15" s="11"/>
      <c r="EWD15" s="11"/>
      <c r="EWE15" s="11"/>
      <c r="EWF15" s="11"/>
      <c r="EWG15" s="11"/>
      <c r="EWH15" s="11"/>
      <c r="EWI15" s="11"/>
      <c r="EWJ15" s="11"/>
      <c r="EWK15" s="11"/>
      <c r="EWL15" s="11"/>
      <c r="EWM15" s="11"/>
      <c r="EWN15" s="11"/>
      <c r="EWO15" s="11"/>
      <c r="EWP15" s="11"/>
      <c r="EWQ15" s="11"/>
      <c r="EWR15" s="11"/>
      <c r="EWS15" s="11"/>
      <c r="EWT15" s="11"/>
      <c r="EWU15" s="11"/>
      <c r="EWV15" s="11"/>
      <c r="EWW15" s="11"/>
      <c r="EWX15" s="11"/>
      <c r="EWY15" s="11"/>
      <c r="EWZ15" s="11"/>
      <c r="EXA15" s="11"/>
      <c r="EXB15" s="11"/>
      <c r="EXC15" s="11"/>
      <c r="EXD15" s="11"/>
      <c r="EXE15" s="11"/>
      <c r="EXF15" s="11"/>
      <c r="EXG15" s="11"/>
      <c r="EXH15" s="11"/>
      <c r="EXI15" s="11"/>
      <c r="EXJ15" s="11"/>
      <c r="EXK15" s="11"/>
      <c r="EXL15" s="11"/>
      <c r="EXM15" s="11"/>
      <c r="EXN15" s="11"/>
      <c r="EXO15" s="11"/>
      <c r="EXP15" s="11"/>
      <c r="EXQ15" s="11"/>
      <c r="EXR15" s="11"/>
      <c r="EXS15" s="11"/>
      <c r="EXT15" s="11"/>
      <c r="EXU15" s="11"/>
      <c r="EXV15" s="11"/>
      <c r="EXW15" s="11"/>
      <c r="EXX15" s="11"/>
      <c r="EXY15" s="11"/>
      <c r="EXZ15" s="11"/>
      <c r="EYA15" s="11"/>
      <c r="EYB15" s="11"/>
      <c r="EYC15" s="11"/>
      <c r="EYD15" s="11"/>
      <c r="EYE15" s="11"/>
      <c r="EYF15" s="11"/>
      <c r="EYG15" s="11"/>
      <c r="EYH15" s="11"/>
      <c r="EYI15" s="11"/>
      <c r="EYJ15" s="11"/>
      <c r="EYK15" s="11"/>
      <c r="EYL15" s="11"/>
      <c r="EYM15" s="11"/>
      <c r="EYN15" s="11"/>
      <c r="EYO15" s="11"/>
      <c r="EYP15" s="11"/>
      <c r="EYQ15" s="11"/>
      <c r="EYR15" s="11"/>
      <c r="EYS15" s="11"/>
      <c r="EYT15" s="11"/>
      <c r="EYU15" s="11"/>
      <c r="EYV15" s="11"/>
      <c r="EYW15" s="11"/>
      <c r="EYX15" s="11"/>
      <c r="EYY15" s="11"/>
      <c r="EYZ15" s="11"/>
      <c r="EZA15" s="11"/>
      <c r="EZB15" s="11"/>
      <c r="EZC15" s="11"/>
      <c r="EZD15" s="11"/>
      <c r="EZE15" s="11"/>
      <c r="EZF15" s="11"/>
      <c r="EZG15" s="11"/>
      <c r="EZH15" s="11"/>
      <c r="EZI15" s="11"/>
      <c r="EZJ15" s="11"/>
      <c r="EZK15" s="11"/>
      <c r="EZL15" s="11"/>
      <c r="EZM15" s="11"/>
      <c r="EZN15" s="11"/>
      <c r="EZO15" s="11"/>
      <c r="EZP15" s="11"/>
      <c r="EZQ15" s="11"/>
      <c r="EZR15" s="11"/>
      <c r="EZS15" s="11"/>
      <c r="EZT15" s="11"/>
      <c r="EZU15" s="11"/>
      <c r="EZV15" s="11"/>
      <c r="EZW15" s="11"/>
      <c r="EZX15" s="11"/>
      <c r="EZY15" s="11"/>
      <c r="EZZ15" s="11"/>
      <c r="FAA15" s="11"/>
      <c r="FAB15" s="11"/>
      <c r="FAC15" s="11"/>
      <c r="FAD15" s="11"/>
      <c r="FAE15" s="11"/>
      <c r="FAF15" s="11"/>
      <c r="FAG15" s="11"/>
      <c r="FAH15" s="11"/>
      <c r="FAI15" s="11"/>
      <c r="FAJ15" s="11"/>
      <c r="FAK15" s="11"/>
      <c r="FAL15" s="11"/>
      <c r="FAM15" s="11"/>
      <c r="FAN15" s="11"/>
      <c r="FAO15" s="11"/>
      <c r="FAP15" s="11"/>
      <c r="FAQ15" s="11"/>
      <c r="FAR15" s="11"/>
      <c r="FAS15" s="11"/>
      <c r="FAT15" s="11"/>
      <c r="FAU15" s="11"/>
      <c r="FAV15" s="11"/>
      <c r="FAW15" s="11"/>
      <c r="FAX15" s="11"/>
      <c r="FAY15" s="11"/>
      <c r="FAZ15" s="11"/>
      <c r="FBA15" s="11"/>
      <c r="FBB15" s="11"/>
      <c r="FBC15" s="11"/>
      <c r="FBD15" s="11"/>
      <c r="FBE15" s="11"/>
      <c r="FBF15" s="11"/>
      <c r="FBG15" s="11"/>
      <c r="FBH15" s="11"/>
      <c r="FBI15" s="11"/>
      <c r="FBJ15" s="11"/>
      <c r="FBK15" s="11"/>
      <c r="FBL15" s="11"/>
      <c r="FBM15" s="11"/>
      <c r="FBN15" s="11"/>
      <c r="FBO15" s="11"/>
      <c r="FBP15" s="11"/>
      <c r="FBQ15" s="11"/>
      <c r="FBR15" s="11"/>
      <c r="FBS15" s="11"/>
      <c r="FBT15" s="11"/>
      <c r="FBU15" s="11"/>
      <c r="FBV15" s="11"/>
      <c r="FBW15" s="11"/>
      <c r="FBX15" s="11"/>
      <c r="FBY15" s="11"/>
      <c r="FBZ15" s="11"/>
      <c r="FCA15" s="11"/>
      <c r="FCB15" s="11"/>
      <c r="FCC15" s="11"/>
      <c r="FCD15" s="11"/>
      <c r="FCE15" s="11"/>
      <c r="FCF15" s="11"/>
      <c r="FCG15" s="11"/>
      <c r="FCH15" s="11"/>
      <c r="FCI15" s="11"/>
      <c r="FCJ15" s="11"/>
      <c r="FCK15" s="11"/>
      <c r="FCL15" s="11"/>
      <c r="FCM15" s="11"/>
      <c r="FCN15" s="11"/>
      <c r="FCO15" s="11"/>
      <c r="FCP15" s="11"/>
      <c r="FCQ15" s="11"/>
      <c r="FCR15" s="11"/>
      <c r="FCS15" s="11"/>
      <c r="FCT15" s="11"/>
      <c r="FCU15" s="11"/>
      <c r="FCV15" s="11"/>
      <c r="FCW15" s="11"/>
      <c r="FCX15" s="11"/>
      <c r="FCY15" s="11"/>
      <c r="FCZ15" s="11"/>
      <c r="FDA15" s="11"/>
      <c r="FDB15" s="11"/>
      <c r="FDC15" s="11"/>
      <c r="FDD15" s="11"/>
      <c r="FDE15" s="11"/>
      <c r="FDF15" s="11"/>
      <c r="FDG15" s="11"/>
      <c r="FDH15" s="11"/>
      <c r="FDI15" s="11"/>
      <c r="FDJ15" s="11"/>
      <c r="FDK15" s="11"/>
      <c r="FDL15" s="11"/>
      <c r="FDM15" s="11"/>
      <c r="FDN15" s="11"/>
      <c r="FDO15" s="11"/>
      <c r="FDP15" s="11"/>
      <c r="FDQ15" s="11"/>
      <c r="FDR15" s="11"/>
      <c r="FDS15" s="11"/>
      <c r="FDT15" s="11"/>
      <c r="FDU15" s="11"/>
      <c r="FDV15" s="11"/>
      <c r="FDW15" s="11"/>
      <c r="FDX15" s="11"/>
      <c r="FDY15" s="11"/>
      <c r="FDZ15" s="11"/>
      <c r="FEA15" s="11"/>
      <c r="FEB15" s="11"/>
      <c r="FEC15" s="11"/>
      <c r="FED15" s="11"/>
      <c r="FEE15" s="11"/>
      <c r="FEF15" s="11"/>
      <c r="FEG15" s="11"/>
      <c r="FEH15" s="11"/>
      <c r="FEI15" s="11"/>
      <c r="FEJ15" s="11"/>
      <c r="FEK15" s="11"/>
      <c r="FEL15" s="11"/>
      <c r="FEM15" s="11"/>
      <c r="FEN15" s="11"/>
      <c r="FEO15" s="11"/>
      <c r="FEP15" s="11"/>
      <c r="FEQ15" s="11"/>
      <c r="FER15" s="11"/>
      <c r="FES15" s="11"/>
      <c r="FET15" s="11"/>
      <c r="FEU15" s="11"/>
      <c r="FEV15" s="11"/>
      <c r="FEW15" s="11"/>
      <c r="FEX15" s="11"/>
      <c r="FEY15" s="11"/>
      <c r="FEZ15" s="11"/>
      <c r="FFA15" s="11"/>
      <c r="FFB15" s="11"/>
      <c r="FFC15" s="11"/>
      <c r="FFD15" s="11"/>
      <c r="FFE15" s="11"/>
      <c r="FFF15" s="11"/>
      <c r="FFG15" s="11"/>
      <c r="FFH15" s="11"/>
      <c r="FFI15" s="11"/>
      <c r="FFJ15" s="11"/>
      <c r="FFK15" s="11"/>
      <c r="FFL15" s="11"/>
      <c r="FFM15" s="11"/>
      <c r="FFN15" s="11"/>
      <c r="FFO15" s="11"/>
      <c r="FFP15" s="11"/>
      <c r="FFQ15" s="11"/>
      <c r="FFR15" s="11"/>
      <c r="FFS15" s="11"/>
      <c r="FFT15" s="11"/>
      <c r="FFU15" s="11"/>
      <c r="FFV15" s="11"/>
      <c r="FFW15" s="11"/>
      <c r="FFX15" s="11"/>
      <c r="FFY15" s="11"/>
      <c r="FFZ15" s="11"/>
      <c r="FGA15" s="11"/>
      <c r="FGB15" s="11"/>
      <c r="FGC15" s="11"/>
      <c r="FGD15" s="11"/>
      <c r="FGE15" s="11"/>
      <c r="FGF15" s="11"/>
      <c r="FGG15" s="11"/>
      <c r="FGH15" s="11"/>
      <c r="FGI15" s="11"/>
      <c r="FGJ15" s="11"/>
      <c r="FGK15" s="11"/>
      <c r="FGL15" s="11"/>
      <c r="FGM15" s="11"/>
      <c r="FGN15" s="11"/>
      <c r="FGO15" s="11"/>
      <c r="FGP15" s="11"/>
      <c r="FGQ15" s="11"/>
      <c r="FGR15" s="11"/>
      <c r="FGS15" s="11"/>
      <c r="FGT15" s="11"/>
      <c r="FGU15" s="11"/>
      <c r="FGV15" s="11"/>
      <c r="FGW15" s="11"/>
      <c r="FGX15" s="11"/>
      <c r="FGY15" s="11"/>
      <c r="FGZ15" s="11"/>
      <c r="FHA15" s="11"/>
      <c r="FHB15" s="11"/>
      <c r="FHC15" s="11"/>
      <c r="FHD15" s="11"/>
      <c r="FHE15" s="11"/>
      <c r="FHF15" s="11"/>
      <c r="FHG15" s="11"/>
      <c r="FHH15" s="11"/>
      <c r="FHI15" s="11"/>
      <c r="FHJ15" s="11"/>
      <c r="FHK15" s="11"/>
      <c r="FHL15" s="11"/>
      <c r="FHM15" s="11"/>
      <c r="FHN15" s="11"/>
      <c r="FHO15" s="11"/>
      <c r="FHP15" s="11"/>
      <c r="FHQ15" s="11"/>
      <c r="FHR15" s="11"/>
      <c r="FHS15" s="11"/>
      <c r="FHT15" s="11"/>
      <c r="FHU15" s="11"/>
      <c r="FHV15" s="11"/>
      <c r="FHW15" s="11"/>
      <c r="FHX15" s="11"/>
      <c r="FHY15" s="11"/>
      <c r="FHZ15" s="11"/>
      <c r="FIA15" s="11"/>
      <c r="FIB15" s="11"/>
      <c r="FIC15" s="11"/>
      <c r="FID15" s="11"/>
      <c r="FIE15" s="11"/>
      <c r="FIF15" s="11"/>
      <c r="FIG15" s="11"/>
      <c r="FIH15" s="11"/>
      <c r="FII15" s="11"/>
      <c r="FIJ15" s="11"/>
      <c r="FIK15" s="11"/>
      <c r="FIL15" s="11"/>
      <c r="FIM15" s="11"/>
      <c r="FIN15" s="11"/>
      <c r="FIO15" s="11"/>
      <c r="FIP15" s="11"/>
      <c r="FIQ15" s="11"/>
      <c r="FIR15" s="11"/>
      <c r="FIS15" s="11"/>
      <c r="FIT15" s="11"/>
      <c r="FIU15" s="11"/>
      <c r="FIV15" s="11"/>
      <c r="FIW15" s="11"/>
      <c r="FIX15" s="11"/>
      <c r="FIY15" s="11"/>
      <c r="FIZ15" s="11"/>
      <c r="FJA15" s="11"/>
      <c r="FJB15" s="11"/>
      <c r="FJC15" s="11"/>
      <c r="FJD15" s="11"/>
      <c r="FJE15" s="11"/>
      <c r="FJF15" s="11"/>
      <c r="FJG15" s="11"/>
      <c r="FJH15" s="11"/>
      <c r="FJI15" s="11"/>
      <c r="FJJ15" s="11"/>
      <c r="FJK15" s="11"/>
      <c r="FJL15" s="11"/>
      <c r="FJM15" s="11"/>
      <c r="FJN15" s="11"/>
      <c r="FJO15" s="11"/>
      <c r="FJP15" s="11"/>
      <c r="FJQ15" s="11"/>
      <c r="FJR15" s="11"/>
      <c r="FJS15" s="11"/>
      <c r="FJT15" s="11"/>
      <c r="FJU15" s="11"/>
      <c r="FJV15" s="11"/>
      <c r="FJW15" s="11"/>
      <c r="FJX15" s="11"/>
      <c r="FJY15" s="11"/>
      <c r="FJZ15" s="11"/>
      <c r="FKA15" s="11"/>
      <c r="FKB15" s="11"/>
      <c r="FKC15" s="11"/>
      <c r="FKD15" s="11"/>
      <c r="FKE15" s="11"/>
      <c r="FKF15" s="11"/>
      <c r="FKG15" s="11"/>
      <c r="FKH15" s="11"/>
      <c r="FKI15" s="11"/>
      <c r="FKJ15" s="11"/>
      <c r="FKK15" s="11"/>
      <c r="FKL15" s="11"/>
      <c r="FKM15" s="11"/>
      <c r="FKN15" s="11"/>
      <c r="FKO15" s="11"/>
      <c r="FKP15" s="11"/>
      <c r="FKQ15" s="11"/>
      <c r="FKR15" s="11"/>
      <c r="FKS15" s="11"/>
      <c r="FKT15" s="11"/>
      <c r="FKU15" s="11"/>
      <c r="FKV15" s="11"/>
      <c r="FKW15" s="11"/>
      <c r="FKX15" s="11"/>
      <c r="FKY15" s="11"/>
      <c r="FKZ15" s="11"/>
      <c r="FLA15" s="11"/>
      <c r="FLB15" s="11"/>
      <c r="FLC15" s="11"/>
      <c r="FLD15" s="11"/>
      <c r="FLE15" s="11"/>
      <c r="FLF15" s="11"/>
      <c r="FLG15" s="11"/>
      <c r="FLH15" s="11"/>
      <c r="FLI15" s="11"/>
      <c r="FLJ15" s="11"/>
      <c r="FLK15" s="11"/>
      <c r="FLL15" s="11"/>
      <c r="FLM15" s="11"/>
      <c r="FLN15" s="11"/>
      <c r="FLO15" s="11"/>
      <c r="FLP15" s="11"/>
      <c r="FLQ15" s="11"/>
      <c r="FLR15" s="11"/>
      <c r="FLS15" s="11"/>
      <c r="FLT15" s="11"/>
      <c r="FLU15" s="11"/>
      <c r="FLV15" s="11"/>
      <c r="FLW15" s="11"/>
      <c r="FLX15" s="11"/>
      <c r="FLY15" s="11"/>
      <c r="FLZ15" s="11"/>
      <c r="FMA15" s="11"/>
      <c r="FMB15" s="11"/>
      <c r="FMC15" s="11"/>
      <c r="FMD15" s="11"/>
      <c r="FME15" s="11"/>
      <c r="FMF15" s="11"/>
      <c r="FMG15" s="11"/>
      <c r="FMH15" s="11"/>
      <c r="FMI15" s="11"/>
      <c r="FMJ15" s="11"/>
      <c r="FMK15" s="11"/>
      <c r="FML15" s="11"/>
      <c r="FMM15" s="11"/>
      <c r="FMN15" s="11"/>
      <c r="FMO15" s="11"/>
      <c r="FMP15" s="11"/>
      <c r="FMQ15" s="11"/>
      <c r="FMR15" s="11"/>
      <c r="FMS15" s="11"/>
      <c r="FMT15" s="11"/>
      <c r="FMU15" s="11"/>
      <c r="FMV15" s="11"/>
      <c r="FMW15" s="11"/>
      <c r="FMX15" s="11"/>
      <c r="FMY15" s="11"/>
      <c r="FMZ15" s="11"/>
      <c r="FNA15" s="11"/>
      <c r="FNB15" s="11"/>
      <c r="FNC15" s="11"/>
      <c r="FND15" s="11"/>
      <c r="FNE15" s="11"/>
      <c r="FNF15" s="11"/>
      <c r="FNG15" s="11"/>
      <c r="FNH15" s="11"/>
      <c r="FNI15" s="11"/>
      <c r="FNJ15" s="11"/>
      <c r="FNK15" s="11"/>
      <c r="FNL15" s="11"/>
      <c r="FNM15" s="11"/>
      <c r="FNN15" s="11"/>
      <c r="FNO15" s="11"/>
      <c r="FNP15" s="11"/>
      <c r="FNQ15" s="11"/>
      <c r="FNR15" s="11"/>
      <c r="FNS15" s="11"/>
      <c r="FNT15" s="11"/>
      <c r="FNU15" s="11"/>
      <c r="FNV15" s="11"/>
      <c r="FNW15" s="11"/>
      <c r="FNX15" s="11"/>
      <c r="FNY15" s="11"/>
      <c r="FNZ15" s="11"/>
      <c r="FOA15" s="11"/>
      <c r="FOB15" s="11"/>
      <c r="FOC15" s="11"/>
      <c r="FOD15" s="11"/>
      <c r="FOE15" s="11"/>
      <c r="FOF15" s="11"/>
      <c r="FOG15" s="11"/>
      <c r="FOH15" s="11"/>
      <c r="FOI15" s="11"/>
      <c r="FOJ15" s="11"/>
      <c r="FOK15" s="11"/>
      <c r="FOL15" s="11"/>
      <c r="FOM15" s="11"/>
      <c r="FON15" s="11"/>
      <c r="FOO15" s="11"/>
      <c r="FOP15" s="11"/>
      <c r="FOQ15" s="11"/>
      <c r="FOR15" s="11"/>
      <c r="FOS15" s="11"/>
      <c r="FOT15" s="11"/>
      <c r="FOU15" s="11"/>
      <c r="FOV15" s="11"/>
      <c r="FOW15" s="11"/>
      <c r="FOX15" s="11"/>
      <c r="FOY15" s="11"/>
      <c r="FOZ15" s="11"/>
      <c r="FPA15" s="11"/>
      <c r="FPB15" s="11"/>
      <c r="FPC15" s="11"/>
      <c r="FPD15" s="11"/>
      <c r="FPE15" s="11"/>
      <c r="FPF15" s="11"/>
      <c r="FPG15" s="11"/>
      <c r="FPH15" s="11"/>
      <c r="FPI15" s="11"/>
      <c r="FPJ15" s="11"/>
      <c r="FPK15" s="11"/>
      <c r="FPL15" s="11"/>
      <c r="FPM15" s="11"/>
      <c r="FPN15" s="11"/>
      <c r="FPO15" s="11"/>
      <c r="FPP15" s="11"/>
      <c r="FPQ15" s="11"/>
      <c r="FPR15" s="11"/>
      <c r="FPS15" s="11"/>
      <c r="FPT15" s="11"/>
      <c r="FPU15" s="11"/>
      <c r="FPV15" s="11"/>
      <c r="FPW15" s="11"/>
      <c r="FPX15" s="11"/>
      <c r="FPY15" s="11"/>
      <c r="FPZ15" s="11"/>
      <c r="FQA15" s="11"/>
      <c r="FQB15" s="11"/>
      <c r="FQC15" s="11"/>
      <c r="FQD15" s="11"/>
      <c r="FQE15" s="11"/>
      <c r="FQF15" s="11"/>
      <c r="FQG15" s="11"/>
      <c r="FQH15" s="11"/>
      <c r="FQI15" s="11"/>
      <c r="FQJ15" s="11"/>
      <c r="FQK15" s="11"/>
      <c r="FQL15" s="11"/>
      <c r="FQM15" s="11"/>
      <c r="FQN15" s="11"/>
      <c r="FQO15" s="11"/>
      <c r="FQP15" s="11"/>
      <c r="FQQ15" s="11"/>
      <c r="FQR15" s="11"/>
      <c r="FQS15" s="11"/>
      <c r="FQT15" s="11"/>
      <c r="FQU15" s="11"/>
      <c r="FQV15" s="11"/>
      <c r="FQW15" s="11"/>
      <c r="FQX15" s="11"/>
      <c r="FQY15" s="11"/>
      <c r="FQZ15" s="11"/>
      <c r="FRA15" s="11"/>
      <c r="FRB15" s="11"/>
      <c r="FRC15" s="11"/>
      <c r="FRD15" s="11"/>
      <c r="FRE15" s="11"/>
      <c r="FRF15" s="11"/>
      <c r="FRG15" s="11"/>
      <c r="FRH15" s="11"/>
      <c r="FRI15" s="11"/>
      <c r="FRJ15" s="11"/>
      <c r="FRK15" s="11"/>
      <c r="FRL15" s="11"/>
      <c r="FRM15" s="11"/>
      <c r="FRN15" s="11"/>
      <c r="FRO15" s="11"/>
      <c r="FRP15" s="11"/>
      <c r="FRQ15" s="11"/>
      <c r="FRR15" s="11"/>
      <c r="FRS15" s="11"/>
      <c r="FRT15" s="11"/>
      <c r="FRU15" s="11"/>
      <c r="FRV15" s="11"/>
      <c r="FRW15" s="11"/>
      <c r="FRX15" s="11"/>
      <c r="FRY15" s="11"/>
      <c r="FRZ15" s="11"/>
      <c r="FSA15" s="11"/>
      <c r="FSB15" s="11"/>
      <c r="FSC15" s="11"/>
      <c r="FSD15" s="11"/>
      <c r="FSE15" s="11"/>
      <c r="FSF15" s="11"/>
      <c r="FSG15" s="11"/>
      <c r="FSH15" s="11"/>
      <c r="FSI15" s="11"/>
      <c r="FSJ15" s="11"/>
      <c r="FSK15" s="11"/>
      <c r="FSL15" s="11"/>
      <c r="FSM15" s="11"/>
      <c r="FSN15" s="11"/>
      <c r="FSO15" s="11"/>
      <c r="FSP15" s="11"/>
      <c r="FSQ15" s="11"/>
      <c r="FSR15" s="11"/>
      <c r="FSS15" s="11"/>
      <c r="FST15" s="11"/>
      <c r="FSU15" s="11"/>
      <c r="FSV15" s="11"/>
      <c r="FSW15" s="11"/>
      <c r="FSX15" s="11"/>
      <c r="FSY15" s="11"/>
      <c r="FSZ15" s="11"/>
      <c r="FTA15" s="11"/>
      <c r="FTB15" s="11"/>
      <c r="FTC15" s="11"/>
      <c r="FTD15" s="11"/>
      <c r="FTE15" s="11"/>
      <c r="FTF15" s="11"/>
      <c r="FTG15" s="11"/>
      <c r="FTH15" s="11"/>
      <c r="FTI15" s="11"/>
      <c r="FTJ15" s="11"/>
      <c r="FTK15" s="11"/>
      <c r="FTL15" s="11"/>
      <c r="FTM15" s="11"/>
      <c r="FTN15" s="11"/>
      <c r="FTO15" s="11"/>
      <c r="FTP15" s="11"/>
      <c r="FTQ15" s="11"/>
      <c r="FTR15" s="11"/>
      <c r="FTS15" s="11"/>
      <c r="FTT15" s="11"/>
      <c r="FTU15" s="11"/>
      <c r="FTV15" s="11"/>
      <c r="FTW15" s="11"/>
      <c r="FTX15" s="11"/>
      <c r="FTY15" s="11"/>
      <c r="FTZ15" s="11"/>
      <c r="FUA15" s="11"/>
      <c r="FUB15" s="11"/>
      <c r="FUC15" s="11"/>
      <c r="FUD15" s="11"/>
      <c r="FUE15" s="11"/>
      <c r="FUF15" s="11"/>
      <c r="FUG15" s="11"/>
      <c r="FUH15" s="11"/>
      <c r="FUI15" s="11"/>
      <c r="FUJ15" s="11"/>
      <c r="FUK15" s="11"/>
      <c r="FUL15" s="11"/>
      <c r="FUM15" s="11"/>
      <c r="FUN15" s="11"/>
      <c r="FUO15" s="11"/>
      <c r="FUP15" s="11"/>
      <c r="FUQ15" s="11"/>
      <c r="FUR15" s="11"/>
      <c r="FUS15" s="11"/>
      <c r="FUT15" s="11"/>
      <c r="FUU15" s="11"/>
      <c r="FUV15" s="11"/>
      <c r="FUW15" s="11"/>
      <c r="FUX15" s="11"/>
      <c r="FUY15" s="11"/>
      <c r="FUZ15" s="11"/>
      <c r="FVA15" s="11"/>
      <c r="FVB15" s="11"/>
      <c r="FVC15" s="11"/>
      <c r="FVD15" s="11"/>
      <c r="FVE15" s="11"/>
      <c r="FVF15" s="11"/>
      <c r="FVG15" s="11"/>
      <c r="FVH15" s="11"/>
      <c r="FVI15" s="11"/>
      <c r="FVJ15" s="11"/>
      <c r="FVK15" s="11"/>
      <c r="FVL15" s="11"/>
      <c r="FVM15" s="11"/>
      <c r="FVN15" s="11"/>
      <c r="FVO15" s="11"/>
      <c r="FVP15" s="11"/>
      <c r="FVQ15" s="11"/>
      <c r="FVR15" s="11"/>
      <c r="FVS15" s="11"/>
      <c r="FVT15" s="11"/>
      <c r="FVU15" s="11"/>
      <c r="FVV15" s="11"/>
      <c r="FVW15" s="11"/>
      <c r="FVX15" s="11"/>
      <c r="FVY15" s="11"/>
      <c r="FVZ15" s="11"/>
      <c r="FWA15" s="11"/>
      <c r="FWB15" s="11"/>
      <c r="FWC15" s="11"/>
      <c r="FWD15" s="11"/>
      <c r="FWE15" s="11"/>
      <c r="FWF15" s="11"/>
      <c r="FWG15" s="11"/>
      <c r="FWH15" s="11"/>
      <c r="FWI15" s="11"/>
      <c r="FWJ15" s="11"/>
      <c r="FWK15" s="11"/>
      <c r="FWL15" s="11"/>
      <c r="FWM15" s="11"/>
      <c r="FWN15" s="11"/>
      <c r="FWO15" s="11"/>
      <c r="FWP15" s="11"/>
      <c r="FWQ15" s="11"/>
      <c r="FWR15" s="11"/>
      <c r="FWS15" s="11"/>
      <c r="FWT15" s="11"/>
      <c r="FWU15" s="11"/>
      <c r="FWV15" s="11"/>
      <c r="FWW15" s="11"/>
      <c r="FWX15" s="11"/>
      <c r="FWY15" s="11"/>
      <c r="FWZ15" s="11"/>
      <c r="FXA15" s="11"/>
      <c r="FXB15" s="11"/>
      <c r="FXC15" s="11"/>
      <c r="FXD15" s="11"/>
      <c r="FXE15" s="11"/>
      <c r="FXF15" s="11"/>
      <c r="FXG15" s="11"/>
      <c r="FXH15" s="11"/>
      <c r="FXI15" s="11"/>
      <c r="FXJ15" s="11"/>
      <c r="FXK15" s="11"/>
      <c r="FXL15" s="11"/>
      <c r="FXM15" s="11"/>
      <c r="FXN15" s="11"/>
      <c r="FXO15" s="11"/>
      <c r="FXP15" s="11"/>
      <c r="FXQ15" s="11"/>
      <c r="FXR15" s="11"/>
      <c r="FXS15" s="11"/>
      <c r="FXT15" s="11"/>
      <c r="FXU15" s="11"/>
      <c r="FXV15" s="11"/>
      <c r="FXW15" s="11"/>
      <c r="FXX15" s="11"/>
      <c r="FXY15" s="11"/>
      <c r="FXZ15" s="11"/>
      <c r="FYA15" s="11"/>
      <c r="FYB15" s="11"/>
      <c r="FYC15" s="11"/>
      <c r="FYD15" s="11"/>
      <c r="FYE15" s="11"/>
      <c r="FYF15" s="11"/>
      <c r="FYG15" s="11"/>
      <c r="FYH15" s="11"/>
      <c r="FYI15" s="11"/>
      <c r="FYJ15" s="11"/>
      <c r="FYK15" s="11"/>
      <c r="FYL15" s="11"/>
      <c r="FYM15" s="11"/>
      <c r="FYN15" s="11"/>
      <c r="FYO15" s="11"/>
      <c r="FYP15" s="11"/>
      <c r="FYQ15" s="11"/>
      <c r="FYR15" s="11"/>
      <c r="FYS15" s="11"/>
      <c r="FYT15" s="11"/>
      <c r="FYU15" s="11"/>
      <c r="FYV15" s="11"/>
      <c r="FYW15" s="11"/>
      <c r="FYX15" s="11"/>
      <c r="FYY15" s="11"/>
      <c r="FYZ15" s="11"/>
      <c r="FZA15" s="11"/>
      <c r="FZB15" s="11"/>
      <c r="FZC15" s="11"/>
      <c r="FZD15" s="11"/>
      <c r="FZE15" s="11"/>
      <c r="FZF15" s="11"/>
      <c r="FZG15" s="11"/>
      <c r="FZH15" s="11"/>
      <c r="FZI15" s="11"/>
      <c r="FZJ15" s="11"/>
      <c r="FZK15" s="11"/>
      <c r="FZL15" s="11"/>
      <c r="FZM15" s="11"/>
      <c r="FZN15" s="11"/>
      <c r="FZO15" s="11"/>
      <c r="FZP15" s="11"/>
      <c r="FZQ15" s="11"/>
      <c r="FZR15" s="11"/>
      <c r="FZS15" s="11"/>
      <c r="FZT15" s="11"/>
      <c r="FZU15" s="11"/>
      <c r="FZV15" s="11"/>
      <c r="FZW15" s="11"/>
      <c r="FZX15" s="11"/>
      <c r="FZY15" s="11"/>
      <c r="FZZ15" s="11"/>
      <c r="GAA15" s="11"/>
      <c r="GAB15" s="11"/>
      <c r="GAC15" s="11"/>
      <c r="GAD15" s="11"/>
      <c r="GAE15" s="11"/>
      <c r="GAF15" s="11"/>
      <c r="GAG15" s="11"/>
      <c r="GAH15" s="11"/>
      <c r="GAI15" s="11"/>
      <c r="GAJ15" s="11"/>
      <c r="GAK15" s="11"/>
      <c r="GAL15" s="11"/>
      <c r="GAM15" s="11"/>
      <c r="GAN15" s="11"/>
      <c r="GAO15" s="11"/>
      <c r="GAP15" s="11"/>
      <c r="GAQ15" s="11"/>
      <c r="GAR15" s="11"/>
      <c r="GAS15" s="11"/>
      <c r="GAT15" s="11"/>
      <c r="GAU15" s="11"/>
      <c r="GAV15" s="11"/>
      <c r="GAW15" s="11"/>
      <c r="GAX15" s="11"/>
      <c r="GAY15" s="11"/>
      <c r="GAZ15" s="11"/>
      <c r="GBA15" s="11"/>
      <c r="GBB15" s="11"/>
      <c r="GBC15" s="11"/>
      <c r="GBD15" s="11"/>
      <c r="GBE15" s="11"/>
      <c r="GBF15" s="11"/>
      <c r="GBG15" s="11"/>
      <c r="GBH15" s="11"/>
      <c r="GBI15" s="11"/>
      <c r="GBJ15" s="11"/>
      <c r="GBK15" s="11"/>
      <c r="GBL15" s="11"/>
      <c r="GBM15" s="11"/>
      <c r="GBN15" s="11"/>
      <c r="GBO15" s="11"/>
      <c r="GBP15" s="11"/>
      <c r="GBQ15" s="11"/>
      <c r="GBR15" s="11"/>
      <c r="GBS15" s="11"/>
      <c r="GBT15" s="11"/>
      <c r="GBU15" s="11"/>
      <c r="GBV15" s="11"/>
      <c r="GBW15" s="11"/>
      <c r="GBX15" s="11"/>
      <c r="GBY15" s="11"/>
      <c r="GBZ15" s="11"/>
      <c r="GCA15" s="11"/>
      <c r="GCB15" s="11"/>
      <c r="GCC15" s="11"/>
      <c r="GCD15" s="11"/>
      <c r="GCE15" s="11"/>
      <c r="GCF15" s="11"/>
      <c r="GCG15" s="11"/>
      <c r="GCH15" s="11"/>
      <c r="GCI15" s="11"/>
      <c r="GCJ15" s="11"/>
      <c r="GCK15" s="11"/>
      <c r="GCL15" s="11"/>
      <c r="GCM15" s="11"/>
      <c r="GCN15" s="11"/>
      <c r="GCO15" s="11"/>
      <c r="GCP15" s="11"/>
      <c r="GCQ15" s="11"/>
      <c r="GCR15" s="11"/>
      <c r="GCS15" s="11"/>
      <c r="GCT15" s="11"/>
      <c r="GCU15" s="11"/>
      <c r="GCV15" s="11"/>
      <c r="GCW15" s="11"/>
      <c r="GCX15" s="11"/>
      <c r="GCY15" s="11"/>
      <c r="GCZ15" s="11"/>
      <c r="GDA15" s="11"/>
      <c r="GDB15" s="11"/>
      <c r="GDC15" s="11"/>
      <c r="GDD15" s="11"/>
      <c r="GDE15" s="11"/>
      <c r="GDF15" s="11"/>
      <c r="GDG15" s="11"/>
      <c r="GDH15" s="11"/>
      <c r="GDI15" s="11"/>
      <c r="GDJ15" s="11"/>
      <c r="GDK15" s="11"/>
      <c r="GDL15" s="11"/>
      <c r="GDM15" s="11"/>
      <c r="GDN15" s="11"/>
      <c r="GDO15" s="11"/>
      <c r="GDP15" s="11"/>
      <c r="GDQ15" s="11"/>
      <c r="GDR15" s="11"/>
      <c r="GDS15" s="11"/>
      <c r="GDT15" s="11"/>
      <c r="GDU15" s="11"/>
      <c r="GDV15" s="11"/>
      <c r="GDW15" s="11"/>
      <c r="GDX15" s="11"/>
      <c r="GDY15" s="11"/>
      <c r="GDZ15" s="11"/>
      <c r="GEA15" s="11"/>
      <c r="GEB15" s="11"/>
      <c r="GEC15" s="11"/>
      <c r="GED15" s="11"/>
      <c r="GEE15" s="11"/>
      <c r="GEF15" s="11"/>
      <c r="GEG15" s="11"/>
      <c r="GEH15" s="11"/>
      <c r="GEI15" s="11"/>
      <c r="GEJ15" s="11"/>
      <c r="GEK15" s="11"/>
      <c r="GEL15" s="11"/>
      <c r="GEM15" s="11"/>
      <c r="GEN15" s="11"/>
      <c r="GEO15" s="11"/>
      <c r="GEP15" s="11"/>
      <c r="GEQ15" s="11"/>
      <c r="GER15" s="11"/>
      <c r="GES15" s="11"/>
      <c r="GET15" s="11"/>
      <c r="GEU15" s="11"/>
      <c r="GEV15" s="11"/>
      <c r="GEW15" s="11"/>
      <c r="GEX15" s="11"/>
      <c r="GEY15" s="11"/>
      <c r="GEZ15" s="11"/>
      <c r="GFA15" s="11"/>
      <c r="GFB15" s="11"/>
      <c r="GFC15" s="11"/>
      <c r="GFD15" s="11"/>
      <c r="GFE15" s="11"/>
      <c r="GFF15" s="11"/>
      <c r="GFG15" s="11"/>
      <c r="GFH15" s="11"/>
      <c r="GFI15" s="11"/>
      <c r="GFJ15" s="11"/>
      <c r="GFK15" s="11"/>
      <c r="GFL15" s="11"/>
      <c r="GFM15" s="11"/>
      <c r="GFN15" s="11"/>
      <c r="GFO15" s="11"/>
      <c r="GFP15" s="11"/>
      <c r="GFQ15" s="11"/>
      <c r="GFR15" s="11"/>
      <c r="GFS15" s="11"/>
      <c r="GFT15" s="11"/>
      <c r="GFU15" s="11"/>
      <c r="GFV15" s="11"/>
      <c r="GFW15" s="11"/>
      <c r="GFX15" s="11"/>
      <c r="GFY15" s="11"/>
      <c r="GFZ15" s="11"/>
      <c r="GGA15" s="11"/>
      <c r="GGB15" s="11"/>
      <c r="GGC15" s="11"/>
      <c r="GGD15" s="11"/>
      <c r="GGE15" s="11"/>
      <c r="GGF15" s="11"/>
      <c r="GGG15" s="11"/>
      <c r="GGH15" s="11"/>
      <c r="GGI15" s="11"/>
      <c r="GGJ15" s="11"/>
      <c r="GGK15" s="11"/>
      <c r="GGL15" s="11"/>
      <c r="GGM15" s="11"/>
      <c r="GGN15" s="11"/>
      <c r="GGO15" s="11"/>
      <c r="GGP15" s="11"/>
      <c r="GGQ15" s="11"/>
      <c r="GGR15" s="11"/>
      <c r="GGS15" s="11"/>
      <c r="GGT15" s="11"/>
      <c r="GGU15" s="11"/>
      <c r="GGV15" s="11"/>
      <c r="GGW15" s="11"/>
      <c r="GGX15" s="11"/>
      <c r="GGY15" s="11"/>
      <c r="GGZ15" s="11"/>
      <c r="GHA15" s="11"/>
      <c r="GHB15" s="11"/>
      <c r="GHC15" s="11"/>
      <c r="GHD15" s="11"/>
      <c r="GHE15" s="11"/>
      <c r="GHF15" s="11"/>
      <c r="GHG15" s="11"/>
      <c r="GHH15" s="11"/>
      <c r="GHI15" s="11"/>
      <c r="GHJ15" s="11"/>
      <c r="GHK15" s="11"/>
      <c r="GHL15" s="11"/>
      <c r="GHM15" s="11"/>
      <c r="GHN15" s="11"/>
      <c r="GHO15" s="11"/>
      <c r="GHP15" s="11"/>
      <c r="GHQ15" s="11"/>
      <c r="GHR15" s="11"/>
      <c r="GHS15" s="11"/>
      <c r="GHT15" s="11"/>
      <c r="GHU15" s="11"/>
      <c r="GHV15" s="11"/>
      <c r="GHW15" s="11"/>
      <c r="GHX15" s="11"/>
      <c r="GHY15" s="11"/>
      <c r="GHZ15" s="11"/>
      <c r="GIA15" s="11"/>
      <c r="GIB15" s="11"/>
      <c r="GIC15" s="11"/>
      <c r="GID15" s="11"/>
      <c r="GIE15" s="11"/>
      <c r="GIF15" s="11"/>
      <c r="GIG15" s="11"/>
      <c r="GIH15" s="11"/>
      <c r="GII15" s="11"/>
      <c r="GIJ15" s="11"/>
      <c r="GIK15" s="11"/>
      <c r="GIL15" s="11"/>
      <c r="GIM15" s="11"/>
      <c r="GIN15" s="11"/>
      <c r="GIO15" s="11"/>
      <c r="GIP15" s="11"/>
      <c r="GIQ15" s="11"/>
      <c r="GIR15" s="11"/>
      <c r="GIS15" s="11"/>
      <c r="GIT15" s="11"/>
      <c r="GIU15" s="11"/>
      <c r="GIV15" s="11"/>
      <c r="GIW15" s="11"/>
      <c r="GIX15" s="11"/>
      <c r="GIY15" s="11"/>
      <c r="GIZ15" s="11"/>
      <c r="GJA15" s="11"/>
      <c r="GJB15" s="11"/>
      <c r="GJC15" s="11"/>
      <c r="GJD15" s="11"/>
      <c r="GJE15" s="11"/>
      <c r="GJF15" s="11"/>
      <c r="GJG15" s="11"/>
      <c r="GJH15" s="11"/>
      <c r="GJI15" s="11"/>
      <c r="GJJ15" s="11"/>
      <c r="GJK15" s="11"/>
      <c r="GJL15" s="11"/>
      <c r="GJM15" s="11"/>
      <c r="GJN15" s="11"/>
      <c r="GJO15" s="11"/>
      <c r="GJP15" s="11"/>
      <c r="GJQ15" s="11"/>
      <c r="GJR15" s="11"/>
      <c r="GJS15" s="11"/>
      <c r="GJT15" s="11"/>
      <c r="GJU15" s="11"/>
      <c r="GJV15" s="11"/>
      <c r="GJW15" s="11"/>
      <c r="GJX15" s="11"/>
      <c r="GJY15" s="11"/>
      <c r="GJZ15" s="11"/>
      <c r="GKA15" s="11"/>
      <c r="GKB15" s="11"/>
      <c r="GKC15" s="11"/>
      <c r="GKD15" s="11"/>
      <c r="GKE15" s="11"/>
      <c r="GKF15" s="11"/>
      <c r="GKG15" s="11"/>
      <c r="GKH15" s="11"/>
      <c r="GKI15" s="11"/>
      <c r="GKJ15" s="11"/>
      <c r="GKK15" s="11"/>
      <c r="GKL15" s="11"/>
      <c r="GKM15" s="11"/>
      <c r="GKN15" s="11"/>
      <c r="GKO15" s="11"/>
      <c r="GKP15" s="11"/>
      <c r="GKQ15" s="11"/>
      <c r="GKR15" s="11"/>
      <c r="GKS15" s="11"/>
      <c r="GKT15" s="11"/>
      <c r="GKU15" s="11"/>
      <c r="GKV15" s="11"/>
      <c r="GKW15" s="11"/>
      <c r="GKX15" s="11"/>
      <c r="GKY15" s="11"/>
      <c r="GKZ15" s="11"/>
      <c r="GLA15" s="11"/>
      <c r="GLB15" s="11"/>
      <c r="GLC15" s="11"/>
      <c r="GLD15" s="11"/>
      <c r="GLE15" s="11"/>
      <c r="GLF15" s="11"/>
      <c r="GLG15" s="11"/>
      <c r="GLH15" s="11"/>
      <c r="GLI15" s="11"/>
      <c r="GLJ15" s="11"/>
      <c r="GLK15" s="11"/>
      <c r="GLL15" s="11"/>
      <c r="GLM15" s="11"/>
      <c r="GLN15" s="11"/>
      <c r="GLO15" s="11"/>
      <c r="GLP15" s="11"/>
      <c r="GLQ15" s="11"/>
      <c r="GLR15" s="11"/>
      <c r="GLS15" s="11"/>
      <c r="GLT15" s="11"/>
      <c r="GLU15" s="11"/>
      <c r="GLV15" s="11"/>
      <c r="GLW15" s="11"/>
      <c r="GLX15" s="11"/>
      <c r="GLY15" s="11"/>
      <c r="GLZ15" s="11"/>
      <c r="GMA15" s="11"/>
      <c r="GMB15" s="11"/>
      <c r="GMC15" s="11"/>
      <c r="GMD15" s="11"/>
      <c r="GME15" s="11"/>
      <c r="GMF15" s="11"/>
      <c r="GMG15" s="11"/>
      <c r="GMH15" s="11"/>
      <c r="GMI15" s="11"/>
      <c r="GMJ15" s="11"/>
      <c r="GMK15" s="11"/>
      <c r="GML15" s="11"/>
      <c r="GMM15" s="11"/>
      <c r="GMN15" s="11"/>
      <c r="GMO15" s="11"/>
      <c r="GMP15" s="11"/>
      <c r="GMQ15" s="11"/>
      <c r="GMR15" s="11"/>
      <c r="GMS15" s="11"/>
      <c r="GMT15" s="11"/>
      <c r="GMU15" s="11"/>
      <c r="GMV15" s="11"/>
      <c r="GMW15" s="11"/>
      <c r="GMX15" s="11"/>
      <c r="GMY15" s="11"/>
      <c r="GMZ15" s="11"/>
      <c r="GNA15" s="11"/>
      <c r="GNB15" s="11"/>
      <c r="GNC15" s="11"/>
      <c r="GND15" s="11"/>
      <c r="GNE15" s="11"/>
      <c r="GNF15" s="11"/>
      <c r="GNG15" s="11"/>
      <c r="GNH15" s="11"/>
      <c r="GNI15" s="11"/>
      <c r="GNJ15" s="11"/>
      <c r="GNK15" s="11"/>
      <c r="GNL15" s="11"/>
      <c r="GNM15" s="11"/>
      <c r="GNN15" s="11"/>
      <c r="GNO15" s="11"/>
      <c r="GNP15" s="11"/>
      <c r="GNQ15" s="11"/>
      <c r="GNR15" s="11"/>
      <c r="GNS15" s="11"/>
      <c r="GNT15" s="11"/>
      <c r="GNU15" s="11"/>
      <c r="GNV15" s="11"/>
      <c r="GNW15" s="11"/>
      <c r="GNX15" s="11"/>
      <c r="GNY15" s="11"/>
      <c r="GNZ15" s="11"/>
      <c r="GOA15" s="11"/>
      <c r="GOB15" s="11"/>
      <c r="GOC15" s="11"/>
      <c r="GOD15" s="11"/>
      <c r="GOE15" s="11"/>
      <c r="GOF15" s="11"/>
      <c r="GOG15" s="11"/>
      <c r="GOH15" s="11"/>
      <c r="GOI15" s="11"/>
      <c r="GOJ15" s="11"/>
      <c r="GOK15" s="11"/>
      <c r="GOL15" s="11"/>
      <c r="GOM15" s="11"/>
      <c r="GON15" s="11"/>
      <c r="GOO15" s="11"/>
      <c r="GOP15" s="11"/>
      <c r="GOQ15" s="11"/>
      <c r="GOR15" s="11"/>
      <c r="GOS15" s="11"/>
      <c r="GOT15" s="11"/>
      <c r="GOU15" s="11"/>
      <c r="GOV15" s="11"/>
      <c r="GOW15" s="11"/>
      <c r="GOX15" s="11"/>
      <c r="GOY15" s="11"/>
      <c r="GOZ15" s="11"/>
      <c r="GPA15" s="11"/>
      <c r="GPB15" s="11"/>
      <c r="GPC15" s="11"/>
      <c r="GPD15" s="11"/>
      <c r="GPE15" s="11"/>
      <c r="GPF15" s="11"/>
      <c r="GPG15" s="11"/>
      <c r="GPH15" s="11"/>
      <c r="GPI15" s="11"/>
      <c r="GPJ15" s="11"/>
      <c r="GPK15" s="11"/>
      <c r="GPL15" s="11"/>
      <c r="GPM15" s="11"/>
      <c r="GPN15" s="11"/>
      <c r="GPO15" s="11"/>
      <c r="GPP15" s="11"/>
      <c r="GPQ15" s="11"/>
      <c r="GPR15" s="11"/>
      <c r="GPS15" s="11"/>
      <c r="GPT15" s="11"/>
      <c r="GPU15" s="11"/>
      <c r="GPV15" s="11"/>
      <c r="GPW15" s="11"/>
      <c r="GPX15" s="11"/>
      <c r="GPY15" s="11"/>
      <c r="GPZ15" s="11"/>
      <c r="GQA15" s="11"/>
      <c r="GQB15" s="11"/>
      <c r="GQC15" s="11"/>
      <c r="GQD15" s="11"/>
      <c r="GQE15" s="11"/>
      <c r="GQF15" s="11"/>
      <c r="GQG15" s="11"/>
      <c r="GQH15" s="11"/>
      <c r="GQI15" s="11"/>
      <c r="GQJ15" s="11"/>
      <c r="GQK15" s="11"/>
      <c r="GQL15" s="11"/>
      <c r="GQM15" s="11"/>
      <c r="GQN15" s="11"/>
      <c r="GQO15" s="11"/>
      <c r="GQP15" s="11"/>
      <c r="GQQ15" s="11"/>
      <c r="GQR15" s="11"/>
      <c r="GQS15" s="11"/>
      <c r="GQT15" s="11"/>
      <c r="GQU15" s="11"/>
      <c r="GQV15" s="11"/>
      <c r="GQW15" s="11"/>
      <c r="GQX15" s="11"/>
      <c r="GQY15" s="11"/>
      <c r="GQZ15" s="11"/>
      <c r="GRA15" s="11"/>
      <c r="GRB15" s="11"/>
      <c r="GRC15" s="11"/>
      <c r="GRD15" s="11"/>
      <c r="GRE15" s="11"/>
      <c r="GRF15" s="11"/>
      <c r="GRG15" s="11"/>
      <c r="GRH15" s="11"/>
      <c r="GRI15" s="11"/>
      <c r="GRJ15" s="11"/>
      <c r="GRK15" s="11"/>
      <c r="GRL15" s="11"/>
      <c r="GRM15" s="11"/>
      <c r="GRN15" s="11"/>
      <c r="GRO15" s="11"/>
      <c r="GRP15" s="11"/>
      <c r="GRQ15" s="11"/>
      <c r="GRR15" s="11"/>
      <c r="GRS15" s="11"/>
      <c r="GRT15" s="11"/>
      <c r="GRU15" s="11"/>
      <c r="GRV15" s="11"/>
      <c r="GRW15" s="11"/>
      <c r="GRX15" s="11"/>
      <c r="GRY15" s="11"/>
      <c r="GRZ15" s="11"/>
      <c r="GSA15" s="11"/>
      <c r="GSB15" s="11"/>
      <c r="GSC15" s="11"/>
      <c r="GSD15" s="11"/>
      <c r="GSE15" s="11"/>
      <c r="GSF15" s="11"/>
      <c r="GSG15" s="11"/>
      <c r="GSH15" s="11"/>
      <c r="GSI15" s="11"/>
      <c r="GSJ15" s="11"/>
      <c r="GSK15" s="11"/>
      <c r="GSL15" s="11"/>
      <c r="GSM15" s="11"/>
      <c r="GSN15" s="11"/>
      <c r="GSO15" s="11"/>
      <c r="GSP15" s="11"/>
      <c r="GSQ15" s="11"/>
      <c r="GSR15" s="11"/>
      <c r="GSS15" s="11"/>
      <c r="GST15" s="11"/>
      <c r="GSU15" s="11"/>
      <c r="GSV15" s="11"/>
      <c r="GSW15" s="11"/>
      <c r="GSX15" s="11"/>
      <c r="GSY15" s="11"/>
      <c r="GSZ15" s="11"/>
      <c r="GTA15" s="11"/>
      <c r="GTB15" s="11"/>
      <c r="GTC15" s="11"/>
      <c r="GTD15" s="11"/>
      <c r="GTE15" s="11"/>
      <c r="GTF15" s="11"/>
      <c r="GTG15" s="11"/>
      <c r="GTH15" s="11"/>
      <c r="GTI15" s="11"/>
      <c r="GTJ15" s="11"/>
      <c r="GTK15" s="11"/>
      <c r="GTL15" s="11"/>
      <c r="GTM15" s="11"/>
      <c r="GTN15" s="11"/>
      <c r="GTO15" s="11"/>
      <c r="GTP15" s="11"/>
      <c r="GTQ15" s="11"/>
      <c r="GTR15" s="11"/>
      <c r="GTS15" s="11"/>
      <c r="GTT15" s="11"/>
      <c r="GTU15" s="11"/>
      <c r="GTV15" s="11"/>
      <c r="GTW15" s="11"/>
      <c r="GTX15" s="11"/>
      <c r="GTY15" s="11"/>
      <c r="GTZ15" s="11"/>
      <c r="GUA15" s="11"/>
      <c r="GUB15" s="11"/>
      <c r="GUC15" s="11"/>
      <c r="GUD15" s="11"/>
      <c r="GUE15" s="11"/>
      <c r="GUF15" s="11"/>
      <c r="GUG15" s="11"/>
      <c r="GUH15" s="11"/>
      <c r="GUI15" s="11"/>
      <c r="GUJ15" s="11"/>
      <c r="GUK15" s="11"/>
      <c r="GUL15" s="11"/>
      <c r="GUM15" s="11"/>
      <c r="GUN15" s="11"/>
      <c r="GUO15" s="11"/>
      <c r="GUP15" s="11"/>
      <c r="GUQ15" s="11"/>
      <c r="GUR15" s="11"/>
      <c r="GUS15" s="11"/>
      <c r="GUT15" s="11"/>
      <c r="GUU15" s="11"/>
      <c r="GUV15" s="11"/>
      <c r="GUW15" s="11"/>
      <c r="GUX15" s="11"/>
      <c r="GUY15" s="11"/>
      <c r="GUZ15" s="11"/>
      <c r="GVA15" s="11"/>
      <c r="GVB15" s="11"/>
      <c r="GVC15" s="11"/>
      <c r="GVD15" s="11"/>
      <c r="GVE15" s="11"/>
      <c r="GVF15" s="11"/>
      <c r="GVG15" s="11"/>
      <c r="GVH15" s="11"/>
      <c r="GVI15" s="11"/>
      <c r="GVJ15" s="11"/>
      <c r="GVK15" s="11"/>
      <c r="GVL15" s="11"/>
      <c r="GVM15" s="11"/>
      <c r="GVN15" s="11"/>
      <c r="GVO15" s="11"/>
      <c r="GVP15" s="11"/>
      <c r="GVQ15" s="11"/>
      <c r="GVR15" s="11"/>
      <c r="GVS15" s="11"/>
      <c r="GVT15" s="11"/>
      <c r="GVU15" s="11"/>
      <c r="GVV15" s="11"/>
      <c r="GVW15" s="11"/>
      <c r="GVX15" s="11"/>
      <c r="GVY15" s="11"/>
      <c r="GVZ15" s="11"/>
      <c r="GWA15" s="11"/>
      <c r="GWB15" s="11"/>
      <c r="GWC15" s="11"/>
      <c r="GWD15" s="11"/>
      <c r="GWE15" s="11"/>
      <c r="GWF15" s="11"/>
      <c r="GWG15" s="11"/>
      <c r="GWH15" s="11"/>
      <c r="GWI15" s="11"/>
      <c r="GWJ15" s="11"/>
      <c r="GWK15" s="11"/>
      <c r="GWL15" s="11"/>
      <c r="GWM15" s="11"/>
      <c r="GWN15" s="11"/>
      <c r="GWO15" s="11"/>
      <c r="GWP15" s="11"/>
      <c r="GWQ15" s="11"/>
      <c r="GWR15" s="11"/>
      <c r="GWS15" s="11"/>
      <c r="GWT15" s="11"/>
      <c r="GWU15" s="11"/>
      <c r="GWV15" s="11"/>
      <c r="GWW15" s="11"/>
      <c r="GWX15" s="11"/>
      <c r="GWY15" s="11"/>
      <c r="GWZ15" s="11"/>
      <c r="GXA15" s="11"/>
      <c r="GXB15" s="11"/>
      <c r="GXC15" s="11"/>
      <c r="GXD15" s="11"/>
      <c r="GXE15" s="11"/>
      <c r="GXF15" s="11"/>
      <c r="GXG15" s="11"/>
      <c r="GXH15" s="11"/>
      <c r="GXI15" s="11"/>
      <c r="GXJ15" s="11"/>
      <c r="GXK15" s="11"/>
      <c r="GXL15" s="11"/>
      <c r="GXM15" s="11"/>
      <c r="GXN15" s="11"/>
      <c r="GXO15" s="11"/>
      <c r="GXP15" s="11"/>
      <c r="GXQ15" s="11"/>
      <c r="GXR15" s="11"/>
      <c r="GXS15" s="11"/>
      <c r="GXT15" s="11"/>
      <c r="GXU15" s="11"/>
      <c r="GXV15" s="11"/>
      <c r="GXW15" s="11"/>
      <c r="GXX15" s="11"/>
      <c r="GXY15" s="11"/>
      <c r="GXZ15" s="11"/>
      <c r="GYA15" s="11"/>
      <c r="GYB15" s="11"/>
      <c r="GYC15" s="11"/>
      <c r="GYD15" s="11"/>
      <c r="GYE15" s="11"/>
      <c r="GYF15" s="11"/>
      <c r="GYG15" s="11"/>
      <c r="GYH15" s="11"/>
      <c r="GYI15" s="11"/>
      <c r="GYJ15" s="11"/>
      <c r="GYK15" s="11"/>
      <c r="GYL15" s="11"/>
      <c r="GYM15" s="11"/>
      <c r="GYN15" s="11"/>
      <c r="GYO15" s="11"/>
      <c r="GYP15" s="11"/>
      <c r="GYQ15" s="11"/>
      <c r="GYR15" s="11"/>
      <c r="GYS15" s="11"/>
      <c r="GYT15" s="11"/>
      <c r="GYU15" s="11"/>
      <c r="GYV15" s="11"/>
      <c r="GYW15" s="11"/>
      <c r="GYX15" s="11"/>
      <c r="GYY15" s="11"/>
      <c r="GYZ15" s="11"/>
      <c r="GZA15" s="11"/>
      <c r="GZB15" s="11"/>
      <c r="GZC15" s="11"/>
      <c r="GZD15" s="11"/>
      <c r="GZE15" s="11"/>
      <c r="GZF15" s="11"/>
      <c r="GZG15" s="11"/>
      <c r="GZH15" s="11"/>
      <c r="GZI15" s="11"/>
      <c r="GZJ15" s="11"/>
      <c r="GZK15" s="11"/>
      <c r="GZL15" s="11"/>
      <c r="GZM15" s="11"/>
      <c r="GZN15" s="11"/>
      <c r="GZO15" s="11"/>
      <c r="GZP15" s="11"/>
      <c r="GZQ15" s="11"/>
      <c r="GZR15" s="11"/>
      <c r="GZS15" s="11"/>
      <c r="GZT15" s="11"/>
      <c r="GZU15" s="11"/>
      <c r="GZV15" s="11"/>
      <c r="GZW15" s="11"/>
      <c r="GZX15" s="11"/>
      <c r="GZY15" s="11"/>
      <c r="GZZ15" s="11"/>
      <c r="HAA15" s="11"/>
      <c r="HAB15" s="11"/>
      <c r="HAC15" s="11"/>
      <c r="HAD15" s="11"/>
      <c r="HAE15" s="11"/>
      <c r="HAF15" s="11"/>
      <c r="HAG15" s="11"/>
      <c r="HAH15" s="11"/>
      <c r="HAI15" s="11"/>
      <c r="HAJ15" s="11"/>
      <c r="HAK15" s="11"/>
      <c r="HAL15" s="11"/>
      <c r="HAM15" s="11"/>
      <c r="HAN15" s="11"/>
      <c r="HAO15" s="11"/>
      <c r="HAP15" s="11"/>
      <c r="HAQ15" s="11"/>
      <c r="HAR15" s="11"/>
      <c r="HAS15" s="11"/>
      <c r="HAT15" s="11"/>
      <c r="HAU15" s="11"/>
      <c r="HAV15" s="11"/>
      <c r="HAW15" s="11"/>
      <c r="HAX15" s="11"/>
      <c r="HAY15" s="11"/>
      <c r="HAZ15" s="11"/>
      <c r="HBA15" s="11"/>
      <c r="HBB15" s="11"/>
      <c r="HBC15" s="11"/>
      <c r="HBD15" s="11"/>
      <c r="HBE15" s="11"/>
      <c r="HBF15" s="11"/>
      <c r="HBG15" s="11"/>
      <c r="HBH15" s="11"/>
      <c r="HBI15" s="11"/>
      <c r="HBJ15" s="11"/>
      <c r="HBK15" s="11"/>
      <c r="HBL15" s="11"/>
      <c r="HBM15" s="11"/>
      <c r="HBN15" s="11"/>
      <c r="HBO15" s="11"/>
      <c r="HBP15" s="11"/>
      <c r="HBQ15" s="11"/>
      <c r="HBR15" s="11"/>
      <c r="HBS15" s="11"/>
      <c r="HBT15" s="11"/>
      <c r="HBU15" s="11"/>
      <c r="HBV15" s="11"/>
      <c r="HBW15" s="11"/>
      <c r="HBX15" s="11"/>
      <c r="HBY15" s="11"/>
      <c r="HBZ15" s="11"/>
      <c r="HCA15" s="11"/>
      <c r="HCB15" s="11"/>
      <c r="HCC15" s="11"/>
      <c r="HCD15" s="11"/>
      <c r="HCE15" s="11"/>
      <c r="HCF15" s="11"/>
      <c r="HCG15" s="11"/>
      <c r="HCH15" s="11"/>
      <c r="HCI15" s="11"/>
      <c r="HCJ15" s="11"/>
      <c r="HCK15" s="11"/>
      <c r="HCL15" s="11"/>
      <c r="HCM15" s="11"/>
      <c r="HCN15" s="11"/>
      <c r="HCO15" s="11"/>
      <c r="HCP15" s="11"/>
      <c r="HCQ15" s="11"/>
      <c r="HCR15" s="11"/>
      <c r="HCS15" s="11"/>
      <c r="HCT15" s="11"/>
      <c r="HCU15" s="11"/>
      <c r="HCV15" s="11"/>
      <c r="HCW15" s="11"/>
      <c r="HCX15" s="11"/>
      <c r="HCY15" s="11"/>
      <c r="HCZ15" s="11"/>
      <c r="HDA15" s="11"/>
      <c r="HDB15" s="11"/>
      <c r="HDC15" s="11"/>
      <c r="HDD15" s="11"/>
      <c r="HDE15" s="11"/>
      <c r="HDF15" s="11"/>
      <c r="HDG15" s="11"/>
      <c r="HDH15" s="11"/>
      <c r="HDI15" s="11"/>
      <c r="HDJ15" s="11"/>
      <c r="HDK15" s="11"/>
      <c r="HDL15" s="11"/>
      <c r="HDM15" s="11"/>
      <c r="HDN15" s="11"/>
      <c r="HDO15" s="11"/>
      <c r="HDP15" s="11"/>
      <c r="HDQ15" s="11"/>
      <c r="HDR15" s="11"/>
      <c r="HDS15" s="11"/>
      <c r="HDT15" s="11"/>
      <c r="HDU15" s="11"/>
      <c r="HDV15" s="11"/>
      <c r="HDW15" s="11"/>
      <c r="HDX15" s="11"/>
      <c r="HDY15" s="11"/>
      <c r="HDZ15" s="11"/>
      <c r="HEA15" s="11"/>
      <c r="HEB15" s="11"/>
      <c r="HEC15" s="11"/>
      <c r="HED15" s="11"/>
      <c r="HEE15" s="11"/>
      <c r="HEF15" s="11"/>
      <c r="HEG15" s="11"/>
      <c r="HEH15" s="11"/>
      <c r="HEI15" s="11"/>
      <c r="HEJ15" s="11"/>
      <c r="HEK15" s="11"/>
      <c r="HEL15" s="11"/>
      <c r="HEM15" s="11"/>
      <c r="HEN15" s="11"/>
      <c r="HEO15" s="11"/>
      <c r="HEP15" s="11"/>
      <c r="HEQ15" s="11"/>
      <c r="HER15" s="11"/>
      <c r="HES15" s="11"/>
      <c r="HET15" s="11"/>
      <c r="HEU15" s="11"/>
      <c r="HEV15" s="11"/>
      <c r="HEW15" s="11"/>
      <c r="HEX15" s="11"/>
      <c r="HEY15" s="11"/>
      <c r="HEZ15" s="11"/>
      <c r="HFA15" s="11"/>
      <c r="HFB15" s="11"/>
      <c r="HFC15" s="11"/>
      <c r="HFD15" s="11"/>
      <c r="HFE15" s="11"/>
      <c r="HFF15" s="11"/>
      <c r="HFG15" s="11"/>
      <c r="HFH15" s="11"/>
      <c r="HFI15" s="11"/>
      <c r="HFJ15" s="11"/>
      <c r="HFK15" s="11"/>
      <c r="HFL15" s="11"/>
      <c r="HFM15" s="11"/>
      <c r="HFN15" s="11"/>
      <c r="HFO15" s="11"/>
      <c r="HFP15" s="11"/>
      <c r="HFQ15" s="11"/>
      <c r="HFR15" s="11"/>
      <c r="HFS15" s="11"/>
      <c r="HFT15" s="11"/>
      <c r="HFU15" s="11"/>
      <c r="HFV15" s="11"/>
      <c r="HFW15" s="11"/>
      <c r="HFX15" s="11"/>
      <c r="HFY15" s="11"/>
      <c r="HFZ15" s="11"/>
      <c r="HGA15" s="11"/>
      <c r="HGB15" s="11"/>
      <c r="HGC15" s="11"/>
      <c r="HGD15" s="11"/>
      <c r="HGE15" s="11"/>
      <c r="HGF15" s="11"/>
      <c r="HGG15" s="11"/>
      <c r="HGH15" s="11"/>
      <c r="HGI15" s="11"/>
      <c r="HGJ15" s="11"/>
      <c r="HGK15" s="11"/>
      <c r="HGL15" s="11"/>
      <c r="HGM15" s="11"/>
      <c r="HGN15" s="11"/>
      <c r="HGO15" s="11"/>
      <c r="HGP15" s="11"/>
      <c r="HGQ15" s="11"/>
      <c r="HGR15" s="11"/>
      <c r="HGS15" s="11"/>
      <c r="HGT15" s="11"/>
      <c r="HGU15" s="11"/>
      <c r="HGV15" s="11"/>
      <c r="HGW15" s="11"/>
      <c r="HGX15" s="11"/>
      <c r="HGY15" s="11"/>
      <c r="HGZ15" s="11"/>
      <c r="HHA15" s="11"/>
      <c r="HHB15" s="11"/>
      <c r="HHC15" s="11"/>
      <c r="HHD15" s="11"/>
      <c r="HHE15" s="11"/>
      <c r="HHF15" s="11"/>
      <c r="HHG15" s="11"/>
      <c r="HHH15" s="11"/>
      <c r="HHI15" s="11"/>
      <c r="HHJ15" s="11"/>
      <c r="HHK15" s="11"/>
      <c r="HHL15" s="11"/>
      <c r="HHM15" s="11"/>
      <c r="HHN15" s="11"/>
      <c r="HHO15" s="11"/>
      <c r="HHP15" s="11"/>
      <c r="HHQ15" s="11"/>
      <c r="HHR15" s="11"/>
      <c r="HHS15" s="11"/>
      <c r="HHT15" s="11"/>
      <c r="HHU15" s="11"/>
      <c r="HHV15" s="11"/>
      <c r="HHW15" s="11"/>
      <c r="HHX15" s="11"/>
      <c r="HHY15" s="11"/>
      <c r="HHZ15" s="11"/>
      <c r="HIA15" s="11"/>
      <c r="HIB15" s="11"/>
      <c r="HIC15" s="11"/>
      <c r="HID15" s="11"/>
      <c r="HIE15" s="11"/>
      <c r="HIF15" s="11"/>
      <c r="HIG15" s="11"/>
      <c r="HIH15" s="11"/>
      <c r="HII15" s="11"/>
      <c r="HIJ15" s="11"/>
      <c r="HIK15" s="11"/>
      <c r="HIL15" s="11"/>
      <c r="HIM15" s="11"/>
      <c r="HIN15" s="11"/>
      <c r="HIO15" s="11"/>
      <c r="HIP15" s="11"/>
      <c r="HIQ15" s="11"/>
      <c r="HIR15" s="11"/>
      <c r="HIS15" s="11"/>
      <c r="HIT15" s="11"/>
      <c r="HIU15" s="11"/>
      <c r="HIV15" s="11"/>
      <c r="HIW15" s="11"/>
      <c r="HIX15" s="11"/>
      <c r="HIY15" s="11"/>
      <c r="HIZ15" s="11"/>
      <c r="HJA15" s="11"/>
      <c r="HJB15" s="11"/>
      <c r="HJC15" s="11"/>
      <c r="HJD15" s="11"/>
      <c r="HJE15" s="11"/>
      <c r="HJF15" s="11"/>
      <c r="HJG15" s="11"/>
      <c r="HJH15" s="11"/>
      <c r="HJI15" s="11"/>
      <c r="HJJ15" s="11"/>
      <c r="HJK15" s="11"/>
      <c r="HJL15" s="11"/>
      <c r="HJM15" s="11"/>
      <c r="HJN15" s="11"/>
      <c r="HJO15" s="11"/>
      <c r="HJP15" s="11"/>
      <c r="HJQ15" s="11"/>
      <c r="HJR15" s="11"/>
      <c r="HJS15" s="11"/>
      <c r="HJT15" s="11"/>
      <c r="HJU15" s="11"/>
      <c r="HJV15" s="11"/>
      <c r="HJW15" s="11"/>
      <c r="HJX15" s="11"/>
      <c r="HJY15" s="11"/>
      <c r="HJZ15" s="11"/>
      <c r="HKA15" s="11"/>
      <c r="HKB15" s="11"/>
      <c r="HKC15" s="11"/>
      <c r="HKD15" s="11"/>
      <c r="HKE15" s="11"/>
      <c r="HKF15" s="11"/>
      <c r="HKG15" s="11"/>
      <c r="HKH15" s="11"/>
      <c r="HKI15" s="11"/>
      <c r="HKJ15" s="11"/>
      <c r="HKK15" s="11"/>
      <c r="HKL15" s="11"/>
      <c r="HKM15" s="11"/>
      <c r="HKN15" s="11"/>
      <c r="HKO15" s="11"/>
      <c r="HKP15" s="11"/>
      <c r="HKQ15" s="11"/>
      <c r="HKR15" s="11"/>
      <c r="HKS15" s="11"/>
      <c r="HKT15" s="11"/>
      <c r="HKU15" s="11"/>
      <c r="HKV15" s="11"/>
      <c r="HKW15" s="11"/>
      <c r="HKX15" s="11"/>
      <c r="HKY15" s="11"/>
      <c r="HKZ15" s="11"/>
      <c r="HLA15" s="11"/>
      <c r="HLB15" s="11"/>
      <c r="HLC15" s="11"/>
      <c r="HLD15" s="11"/>
      <c r="HLE15" s="11"/>
      <c r="HLF15" s="11"/>
      <c r="HLG15" s="11"/>
      <c r="HLH15" s="11"/>
      <c r="HLI15" s="11"/>
      <c r="HLJ15" s="11"/>
      <c r="HLK15" s="11"/>
      <c r="HLL15" s="11"/>
      <c r="HLM15" s="11"/>
      <c r="HLN15" s="11"/>
      <c r="HLO15" s="11"/>
      <c r="HLP15" s="11"/>
      <c r="HLQ15" s="11"/>
      <c r="HLR15" s="11"/>
      <c r="HLS15" s="11"/>
      <c r="HLT15" s="11"/>
      <c r="HLU15" s="11"/>
      <c r="HLV15" s="11"/>
      <c r="HLW15" s="11"/>
      <c r="HLX15" s="11"/>
      <c r="HLY15" s="11"/>
      <c r="HLZ15" s="11"/>
      <c r="HMA15" s="11"/>
      <c r="HMB15" s="11"/>
      <c r="HMC15" s="11"/>
      <c r="HMD15" s="11"/>
      <c r="HME15" s="11"/>
      <c r="HMF15" s="11"/>
      <c r="HMG15" s="11"/>
      <c r="HMH15" s="11"/>
      <c r="HMI15" s="11"/>
      <c r="HMJ15" s="11"/>
      <c r="HMK15" s="11"/>
      <c r="HML15" s="11"/>
      <c r="HMM15" s="11"/>
      <c r="HMN15" s="11"/>
      <c r="HMO15" s="11"/>
      <c r="HMP15" s="11"/>
      <c r="HMQ15" s="11"/>
      <c r="HMR15" s="11"/>
      <c r="HMS15" s="11"/>
      <c r="HMT15" s="11"/>
      <c r="HMU15" s="11"/>
      <c r="HMV15" s="11"/>
      <c r="HMW15" s="11"/>
      <c r="HMX15" s="11"/>
      <c r="HMY15" s="11"/>
      <c r="HMZ15" s="11"/>
      <c r="HNA15" s="11"/>
      <c r="HNB15" s="11"/>
      <c r="HNC15" s="11"/>
      <c r="HND15" s="11"/>
      <c r="HNE15" s="11"/>
      <c r="HNF15" s="11"/>
      <c r="HNG15" s="11"/>
      <c r="HNH15" s="11"/>
      <c r="HNI15" s="11"/>
      <c r="HNJ15" s="11"/>
      <c r="HNK15" s="11"/>
      <c r="HNL15" s="11"/>
      <c r="HNM15" s="11"/>
      <c r="HNN15" s="11"/>
      <c r="HNO15" s="11"/>
      <c r="HNP15" s="11"/>
      <c r="HNQ15" s="11"/>
      <c r="HNR15" s="11"/>
      <c r="HNS15" s="11"/>
      <c r="HNT15" s="11"/>
      <c r="HNU15" s="11"/>
      <c r="HNV15" s="11"/>
      <c r="HNW15" s="11"/>
      <c r="HNX15" s="11"/>
      <c r="HNY15" s="11"/>
      <c r="HNZ15" s="11"/>
      <c r="HOA15" s="11"/>
      <c r="HOB15" s="11"/>
      <c r="HOC15" s="11"/>
      <c r="HOD15" s="11"/>
      <c r="HOE15" s="11"/>
      <c r="HOF15" s="11"/>
      <c r="HOG15" s="11"/>
      <c r="HOH15" s="11"/>
      <c r="HOI15" s="11"/>
      <c r="HOJ15" s="11"/>
      <c r="HOK15" s="11"/>
      <c r="HOL15" s="11"/>
      <c r="HOM15" s="11"/>
      <c r="HON15" s="11"/>
      <c r="HOO15" s="11"/>
      <c r="HOP15" s="11"/>
      <c r="HOQ15" s="11"/>
      <c r="HOR15" s="11"/>
      <c r="HOS15" s="11"/>
      <c r="HOT15" s="11"/>
      <c r="HOU15" s="11"/>
      <c r="HOV15" s="11"/>
      <c r="HOW15" s="11"/>
      <c r="HOX15" s="11"/>
      <c r="HOY15" s="11"/>
      <c r="HOZ15" s="11"/>
      <c r="HPA15" s="11"/>
      <c r="HPB15" s="11"/>
      <c r="HPC15" s="11"/>
      <c r="HPD15" s="11"/>
      <c r="HPE15" s="11"/>
      <c r="HPF15" s="11"/>
      <c r="HPG15" s="11"/>
      <c r="HPH15" s="11"/>
      <c r="HPI15" s="11"/>
      <c r="HPJ15" s="11"/>
      <c r="HPK15" s="11"/>
      <c r="HPL15" s="11"/>
      <c r="HPM15" s="11"/>
      <c r="HPN15" s="11"/>
      <c r="HPO15" s="11"/>
      <c r="HPP15" s="11"/>
      <c r="HPQ15" s="11"/>
      <c r="HPR15" s="11"/>
      <c r="HPS15" s="11"/>
      <c r="HPT15" s="11"/>
      <c r="HPU15" s="11"/>
      <c r="HPV15" s="11"/>
      <c r="HPW15" s="11"/>
      <c r="HPX15" s="11"/>
      <c r="HPY15" s="11"/>
      <c r="HPZ15" s="11"/>
      <c r="HQA15" s="11"/>
      <c r="HQB15" s="11"/>
      <c r="HQC15" s="11"/>
      <c r="HQD15" s="11"/>
      <c r="HQE15" s="11"/>
      <c r="HQF15" s="11"/>
      <c r="HQG15" s="11"/>
      <c r="HQH15" s="11"/>
      <c r="HQI15" s="11"/>
      <c r="HQJ15" s="11"/>
      <c r="HQK15" s="11"/>
      <c r="HQL15" s="11"/>
      <c r="HQM15" s="11"/>
      <c r="HQN15" s="11"/>
      <c r="HQO15" s="11"/>
      <c r="HQP15" s="11"/>
      <c r="HQQ15" s="11"/>
      <c r="HQR15" s="11"/>
      <c r="HQS15" s="11"/>
      <c r="HQT15" s="11"/>
      <c r="HQU15" s="11"/>
      <c r="HQV15" s="11"/>
      <c r="HQW15" s="11"/>
      <c r="HQX15" s="11"/>
      <c r="HQY15" s="11"/>
      <c r="HQZ15" s="11"/>
      <c r="HRA15" s="11"/>
      <c r="HRB15" s="11"/>
      <c r="HRC15" s="11"/>
      <c r="HRD15" s="11"/>
      <c r="HRE15" s="11"/>
      <c r="HRF15" s="11"/>
      <c r="HRG15" s="11"/>
      <c r="HRH15" s="11"/>
      <c r="HRI15" s="11"/>
      <c r="HRJ15" s="11"/>
      <c r="HRK15" s="11"/>
      <c r="HRL15" s="11"/>
      <c r="HRM15" s="11"/>
      <c r="HRN15" s="11"/>
      <c r="HRO15" s="11"/>
      <c r="HRP15" s="11"/>
      <c r="HRQ15" s="11"/>
      <c r="HRR15" s="11"/>
      <c r="HRS15" s="11"/>
      <c r="HRT15" s="11"/>
      <c r="HRU15" s="11"/>
      <c r="HRV15" s="11"/>
      <c r="HRW15" s="11"/>
      <c r="HRX15" s="11"/>
      <c r="HRY15" s="11"/>
      <c r="HRZ15" s="11"/>
      <c r="HSA15" s="11"/>
      <c r="HSB15" s="11"/>
      <c r="HSC15" s="11"/>
      <c r="HSD15" s="11"/>
      <c r="HSE15" s="11"/>
      <c r="HSF15" s="11"/>
      <c r="HSG15" s="11"/>
      <c r="HSH15" s="11"/>
      <c r="HSI15" s="11"/>
      <c r="HSJ15" s="11"/>
      <c r="HSK15" s="11"/>
      <c r="HSL15" s="11"/>
      <c r="HSM15" s="11"/>
      <c r="HSN15" s="11"/>
      <c r="HSO15" s="11"/>
      <c r="HSP15" s="11"/>
      <c r="HSQ15" s="11"/>
      <c r="HSR15" s="11"/>
      <c r="HSS15" s="11"/>
      <c r="HST15" s="11"/>
      <c r="HSU15" s="11"/>
      <c r="HSV15" s="11"/>
      <c r="HSW15" s="11"/>
      <c r="HSX15" s="11"/>
      <c r="HSY15" s="11"/>
      <c r="HSZ15" s="11"/>
      <c r="HTA15" s="11"/>
      <c r="HTB15" s="11"/>
      <c r="HTC15" s="11"/>
      <c r="HTD15" s="11"/>
      <c r="HTE15" s="11"/>
      <c r="HTF15" s="11"/>
      <c r="HTG15" s="11"/>
      <c r="HTH15" s="11"/>
      <c r="HTI15" s="11"/>
      <c r="HTJ15" s="11"/>
      <c r="HTK15" s="11"/>
      <c r="HTL15" s="11"/>
      <c r="HTM15" s="11"/>
      <c r="HTN15" s="11"/>
      <c r="HTO15" s="11"/>
      <c r="HTP15" s="11"/>
      <c r="HTQ15" s="11"/>
      <c r="HTR15" s="11"/>
      <c r="HTS15" s="11"/>
      <c r="HTT15" s="11"/>
      <c r="HTU15" s="11"/>
      <c r="HTV15" s="11"/>
      <c r="HTW15" s="11"/>
      <c r="HTX15" s="11"/>
      <c r="HTY15" s="11"/>
      <c r="HTZ15" s="11"/>
      <c r="HUA15" s="11"/>
      <c r="HUB15" s="11"/>
      <c r="HUC15" s="11"/>
      <c r="HUD15" s="11"/>
      <c r="HUE15" s="11"/>
      <c r="HUF15" s="11"/>
      <c r="HUG15" s="11"/>
      <c r="HUH15" s="11"/>
      <c r="HUI15" s="11"/>
      <c r="HUJ15" s="11"/>
      <c r="HUK15" s="11"/>
      <c r="HUL15" s="11"/>
      <c r="HUM15" s="11"/>
      <c r="HUN15" s="11"/>
      <c r="HUO15" s="11"/>
      <c r="HUP15" s="11"/>
      <c r="HUQ15" s="11"/>
      <c r="HUR15" s="11"/>
      <c r="HUS15" s="11"/>
      <c r="HUT15" s="11"/>
      <c r="HUU15" s="11"/>
      <c r="HUV15" s="11"/>
      <c r="HUW15" s="11"/>
      <c r="HUX15" s="11"/>
      <c r="HUY15" s="11"/>
      <c r="HUZ15" s="11"/>
      <c r="HVA15" s="11"/>
      <c r="HVB15" s="11"/>
      <c r="HVC15" s="11"/>
      <c r="HVD15" s="11"/>
      <c r="HVE15" s="11"/>
      <c r="HVF15" s="11"/>
      <c r="HVG15" s="11"/>
      <c r="HVH15" s="11"/>
      <c r="HVI15" s="11"/>
      <c r="HVJ15" s="11"/>
      <c r="HVK15" s="11"/>
      <c r="HVL15" s="11"/>
      <c r="HVM15" s="11"/>
      <c r="HVN15" s="11"/>
      <c r="HVO15" s="11"/>
      <c r="HVP15" s="11"/>
      <c r="HVQ15" s="11"/>
      <c r="HVR15" s="11"/>
      <c r="HVS15" s="11"/>
      <c r="HVT15" s="11"/>
      <c r="HVU15" s="11"/>
      <c r="HVV15" s="11"/>
      <c r="HVW15" s="11"/>
      <c r="HVX15" s="11"/>
      <c r="HVY15" s="11"/>
      <c r="HVZ15" s="11"/>
      <c r="HWA15" s="11"/>
      <c r="HWB15" s="11"/>
      <c r="HWC15" s="11"/>
      <c r="HWD15" s="11"/>
      <c r="HWE15" s="11"/>
      <c r="HWF15" s="11"/>
      <c r="HWG15" s="11"/>
      <c r="HWH15" s="11"/>
      <c r="HWI15" s="11"/>
      <c r="HWJ15" s="11"/>
      <c r="HWK15" s="11"/>
      <c r="HWL15" s="11"/>
      <c r="HWM15" s="11"/>
      <c r="HWN15" s="11"/>
      <c r="HWO15" s="11"/>
      <c r="HWP15" s="11"/>
      <c r="HWQ15" s="11"/>
      <c r="HWR15" s="11"/>
      <c r="HWS15" s="11"/>
      <c r="HWT15" s="11"/>
      <c r="HWU15" s="11"/>
      <c r="HWV15" s="11"/>
      <c r="HWW15" s="11"/>
      <c r="HWX15" s="11"/>
      <c r="HWY15" s="11"/>
      <c r="HWZ15" s="11"/>
      <c r="HXA15" s="11"/>
      <c r="HXB15" s="11"/>
      <c r="HXC15" s="11"/>
      <c r="HXD15" s="11"/>
      <c r="HXE15" s="11"/>
      <c r="HXF15" s="11"/>
      <c r="HXG15" s="11"/>
      <c r="HXH15" s="11"/>
      <c r="HXI15" s="11"/>
      <c r="HXJ15" s="11"/>
      <c r="HXK15" s="11"/>
      <c r="HXL15" s="11"/>
      <c r="HXM15" s="11"/>
      <c r="HXN15" s="11"/>
      <c r="HXO15" s="11"/>
      <c r="HXP15" s="11"/>
      <c r="HXQ15" s="11"/>
      <c r="HXR15" s="11"/>
      <c r="HXS15" s="11"/>
      <c r="HXT15" s="11"/>
      <c r="HXU15" s="11"/>
      <c r="HXV15" s="11"/>
      <c r="HXW15" s="11"/>
      <c r="HXX15" s="11"/>
      <c r="HXY15" s="11"/>
      <c r="HXZ15" s="11"/>
      <c r="HYA15" s="11"/>
      <c r="HYB15" s="11"/>
      <c r="HYC15" s="11"/>
      <c r="HYD15" s="11"/>
      <c r="HYE15" s="11"/>
      <c r="HYF15" s="11"/>
      <c r="HYG15" s="11"/>
      <c r="HYH15" s="11"/>
      <c r="HYI15" s="11"/>
      <c r="HYJ15" s="11"/>
      <c r="HYK15" s="11"/>
      <c r="HYL15" s="11"/>
      <c r="HYM15" s="11"/>
      <c r="HYN15" s="11"/>
      <c r="HYO15" s="11"/>
      <c r="HYP15" s="11"/>
      <c r="HYQ15" s="11"/>
      <c r="HYR15" s="11"/>
      <c r="HYS15" s="11"/>
      <c r="HYT15" s="11"/>
      <c r="HYU15" s="11"/>
      <c r="HYV15" s="11"/>
      <c r="HYW15" s="11"/>
      <c r="HYX15" s="11"/>
      <c r="HYY15" s="11"/>
      <c r="HYZ15" s="11"/>
      <c r="HZA15" s="11"/>
      <c r="HZB15" s="11"/>
      <c r="HZC15" s="11"/>
      <c r="HZD15" s="11"/>
      <c r="HZE15" s="11"/>
      <c r="HZF15" s="11"/>
      <c r="HZG15" s="11"/>
      <c r="HZH15" s="11"/>
      <c r="HZI15" s="11"/>
      <c r="HZJ15" s="11"/>
      <c r="HZK15" s="11"/>
      <c r="HZL15" s="11"/>
      <c r="HZM15" s="11"/>
      <c r="HZN15" s="11"/>
      <c r="HZO15" s="11"/>
      <c r="HZP15" s="11"/>
      <c r="HZQ15" s="11"/>
      <c r="HZR15" s="11"/>
      <c r="HZS15" s="11"/>
      <c r="HZT15" s="11"/>
      <c r="HZU15" s="11"/>
      <c r="HZV15" s="11"/>
      <c r="HZW15" s="11"/>
      <c r="HZX15" s="11"/>
      <c r="HZY15" s="11"/>
      <c r="HZZ15" s="11"/>
      <c r="IAA15" s="11"/>
      <c r="IAB15" s="11"/>
      <c r="IAC15" s="11"/>
      <c r="IAD15" s="11"/>
      <c r="IAE15" s="11"/>
      <c r="IAF15" s="11"/>
      <c r="IAG15" s="11"/>
      <c r="IAH15" s="11"/>
      <c r="IAI15" s="11"/>
      <c r="IAJ15" s="11"/>
      <c r="IAK15" s="11"/>
      <c r="IAL15" s="11"/>
      <c r="IAM15" s="11"/>
      <c r="IAN15" s="11"/>
      <c r="IAO15" s="11"/>
      <c r="IAP15" s="11"/>
      <c r="IAQ15" s="11"/>
      <c r="IAR15" s="11"/>
      <c r="IAS15" s="11"/>
      <c r="IAT15" s="11"/>
      <c r="IAU15" s="11"/>
      <c r="IAV15" s="11"/>
      <c r="IAW15" s="11"/>
      <c r="IAX15" s="11"/>
      <c r="IAY15" s="11"/>
      <c r="IAZ15" s="11"/>
      <c r="IBA15" s="11"/>
      <c r="IBB15" s="11"/>
      <c r="IBC15" s="11"/>
      <c r="IBD15" s="11"/>
      <c r="IBE15" s="11"/>
      <c r="IBF15" s="11"/>
      <c r="IBG15" s="11"/>
      <c r="IBH15" s="11"/>
      <c r="IBI15" s="11"/>
      <c r="IBJ15" s="11"/>
      <c r="IBK15" s="11"/>
      <c r="IBL15" s="11"/>
      <c r="IBM15" s="11"/>
      <c r="IBN15" s="11"/>
      <c r="IBO15" s="11"/>
      <c r="IBP15" s="11"/>
      <c r="IBQ15" s="11"/>
      <c r="IBR15" s="11"/>
      <c r="IBS15" s="11"/>
      <c r="IBT15" s="11"/>
      <c r="IBU15" s="11"/>
      <c r="IBV15" s="11"/>
      <c r="IBW15" s="11"/>
      <c r="IBX15" s="11"/>
      <c r="IBY15" s="11"/>
      <c r="IBZ15" s="11"/>
      <c r="ICA15" s="11"/>
      <c r="ICB15" s="11"/>
      <c r="ICC15" s="11"/>
      <c r="ICD15" s="11"/>
      <c r="ICE15" s="11"/>
      <c r="ICF15" s="11"/>
      <c r="ICG15" s="11"/>
      <c r="ICH15" s="11"/>
      <c r="ICI15" s="11"/>
      <c r="ICJ15" s="11"/>
      <c r="ICK15" s="11"/>
      <c r="ICL15" s="11"/>
      <c r="ICM15" s="11"/>
      <c r="ICN15" s="11"/>
      <c r="ICO15" s="11"/>
      <c r="ICP15" s="11"/>
      <c r="ICQ15" s="11"/>
      <c r="ICR15" s="11"/>
      <c r="ICS15" s="11"/>
      <c r="ICT15" s="11"/>
      <c r="ICU15" s="11"/>
      <c r="ICV15" s="11"/>
      <c r="ICW15" s="11"/>
      <c r="ICX15" s="11"/>
      <c r="ICY15" s="11"/>
      <c r="ICZ15" s="11"/>
      <c r="IDA15" s="11"/>
      <c r="IDB15" s="11"/>
      <c r="IDC15" s="11"/>
      <c r="IDD15" s="11"/>
      <c r="IDE15" s="11"/>
      <c r="IDF15" s="11"/>
      <c r="IDG15" s="11"/>
      <c r="IDH15" s="11"/>
      <c r="IDI15" s="11"/>
      <c r="IDJ15" s="11"/>
      <c r="IDK15" s="11"/>
      <c r="IDL15" s="11"/>
      <c r="IDM15" s="11"/>
      <c r="IDN15" s="11"/>
      <c r="IDO15" s="11"/>
      <c r="IDP15" s="11"/>
      <c r="IDQ15" s="11"/>
      <c r="IDR15" s="11"/>
      <c r="IDS15" s="11"/>
      <c r="IDT15" s="11"/>
      <c r="IDU15" s="11"/>
      <c r="IDV15" s="11"/>
      <c r="IDW15" s="11"/>
      <c r="IDX15" s="11"/>
      <c r="IDY15" s="11"/>
      <c r="IDZ15" s="11"/>
      <c r="IEA15" s="11"/>
      <c r="IEB15" s="11"/>
      <c r="IEC15" s="11"/>
      <c r="IED15" s="11"/>
      <c r="IEE15" s="11"/>
      <c r="IEF15" s="11"/>
      <c r="IEG15" s="11"/>
      <c r="IEH15" s="11"/>
      <c r="IEI15" s="11"/>
      <c r="IEJ15" s="11"/>
      <c r="IEK15" s="11"/>
      <c r="IEL15" s="11"/>
      <c r="IEM15" s="11"/>
      <c r="IEN15" s="11"/>
      <c r="IEO15" s="11"/>
      <c r="IEP15" s="11"/>
      <c r="IEQ15" s="11"/>
      <c r="IER15" s="11"/>
      <c r="IES15" s="11"/>
      <c r="IET15" s="11"/>
      <c r="IEU15" s="11"/>
      <c r="IEV15" s="11"/>
      <c r="IEW15" s="11"/>
      <c r="IEX15" s="11"/>
      <c r="IEY15" s="11"/>
      <c r="IEZ15" s="11"/>
      <c r="IFA15" s="11"/>
      <c r="IFB15" s="11"/>
      <c r="IFC15" s="11"/>
      <c r="IFD15" s="11"/>
      <c r="IFE15" s="11"/>
      <c r="IFF15" s="11"/>
      <c r="IFG15" s="11"/>
      <c r="IFH15" s="11"/>
      <c r="IFI15" s="11"/>
      <c r="IFJ15" s="11"/>
      <c r="IFK15" s="11"/>
      <c r="IFL15" s="11"/>
      <c r="IFM15" s="11"/>
      <c r="IFN15" s="11"/>
      <c r="IFO15" s="11"/>
      <c r="IFP15" s="11"/>
      <c r="IFQ15" s="11"/>
      <c r="IFR15" s="11"/>
      <c r="IFS15" s="11"/>
      <c r="IFT15" s="11"/>
      <c r="IFU15" s="11"/>
      <c r="IFV15" s="11"/>
      <c r="IFW15" s="11"/>
      <c r="IFX15" s="11"/>
      <c r="IFY15" s="11"/>
      <c r="IFZ15" s="11"/>
      <c r="IGA15" s="11"/>
      <c r="IGB15" s="11"/>
      <c r="IGC15" s="11"/>
      <c r="IGD15" s="11"/>
      <c r="IGE15" s="11"/>
      <c r="IGF15" s="11"/>
      <c r="IGG15" s="11"/>
      <c r="IGH15" s="11"/>
      <c r="IGI15" s="11"/>
      <c r="IGJ15" s="11"/>
      <c r="IGK15" s="11"/>
      <c r="IGL15" s="11"/>
      <c r="IGM15" s="11"/>
      <c r="IGN15" s="11"/>
      <c r="IGO15" s="11"/>
      <c r="IGP15" s="11"/>
      <c r="IGQ15" s="11"/>
      <c r="IGR15" s="11"/>
      <c r="IGS15" s="11"/>
      <c r="IGT15" s="11"/>
      <c r="IGU15" s="11"/>
      <c r="IGV15" s="11"/>
      <c r="IGW15" s="11"/>
      <c r="IGX15" s="11"/>
      <c r="IGY15" s="11"/>
      <c r="IGZ15" s="11"/>
      <c r="IHA15" s="11"/>
      <c r="IHB15" s="11"/>
      <c r="IHC15" s="11"/>
      <c r="IHD15" s="11"/>
      <c r="IHE15" s="11"/>
      <c r="IHF15" s="11"/>
      <c r="IHG15" s="11"/>
      <c r="IHH15" s="11"/>
      <c r="IHI15" s="11"/>
      <c r="IHJ15" s="11"/>
      <c r="IHK15" s="11"/>
      <c r="IHL15" s="11"/>
      <c r="IHM15" s="11"/>
      <c r="IHN15" s="11"/>
      <c r="IHO15" s="11"/>
      <c r="IHP15" s="11"/>
      <c r="IHQ15" s="11"/>
      <c r="IHR15" s="11"/>
      <c r="IHS15" s="11"/>
      <c r="IHT15" s="11"/>
      <c r="IHU15" s="11"/>
      <c r="IHV15" s="11"/>
      <c r="IHW15" s="11"/>
      <c r="IHX15" s="11"/>
      <c r="IHY15" s="11"/>
      <c r="IHZ15" s="11"/>
      <c r="IIA15" s="11"/>
      <c r="IIB15" s="11"/>
      <c r="IIC15" s="11"/>
      <c r="IID15" s="11"/>
      <c r="IIE15" s="11"/>
      <c r="IIF15" s="11"/>
      <c r="IIG15" s="11"/>
      <c r="IIH15" s="11"/>
      <c r="III15" s="11"/>
      <c r="IIJ15" s="11"/>
      <c r="IIK15" s="11"/>
      <c r="IIL15" s="11"/>
      <c r="IIM15" s="11"/>
      <c r="IIN15" s="11"/>
      <c r="IIO15" s="11"/>
      <c r="IIP15" s="11"/>
      <c r="IIQ15" s="11"/>
      <c r="IIR15" s="11"/>
      <c r="IIS15" s="11"/>
      <c r="IIT15" s="11"/>
      <c r="IIU15" s="11"/>
      <c r="IIV15" s="11"/>
      <c r="IIW15" s="11"/>
      <c r="IIX15" s="11"/>
      <c r="IIY15" s="11"/>
      <c r="IIZ15" s="11"/>
      <c r="IJA15" s="11"/>
      <c r="IJB15" s="11"/>
      <c r="IJC15" s="11"/>
      <c r="IJD15" s="11"/>
      <c r="IJE15" s="11"/>
      <c r="IJF15" s="11"/>
      <c r="IJG15" s="11"/>
      <c r="IJH15" s="11"/>
      <c r="IJI15" s="11"/>
      <c r="IJJ15" s="11"/>
      <c r="IJK15" s="11"/>
      <c r="IJL15" s="11"/>
      <c r="IJM15" s="11"/>
      <c r="IJN15" s="11"/>
      <c r="IJO15" s="11"/>
      <c r="IJP15" s="11"/>
      <c r="IJQ15" s="11"/>
      <c r="IJR15" s="11"/>
      <c r="IJS15" s="11"/>
      <c r="IJT15" s="11"/>
      <c r="IJU15" s="11"/>
      <c r="IJV15" s="11"/>
      <c r="IJW15" s="11"/>
      <c r="IJX15" s="11"/>
      <c r="IJY15" s="11"/>
      <c r="IJZ15" s="11"/>
      <c r="IKA15" s="11"/>
      <c r="IKB15" s="11"/>
      <c r="IKC15" s="11"/>
      <c r="IKD15" s="11"/>
      <c r="IKE15" s="11"/>
      <c r="IKF15" s="11"/>
      <c r="IKG15" s="11"/>
      <c r="IKH15" s="11"/>
      <c r="IKI15" s="11"/>
      <c r="IKJ15" s="11"/>
      <c r="IKK15" s="11"/>
      <c r="IKL15" s="11"/>
      <c r="IKM15" s="11"/>
      <c r="IKN15" s="11"/>
      <c r="IKO15" s="11"/>
      <c r="IKP15" s="11"/>
      <c r="IKQ15" s="11"/>
      <c r="IKR15" s="11"/>
      <c r="IKS15" s="11"/>
      <c r="IKT15" s="11"/>
      <c r="IKU15" s="11"/>
      <c r="IKV15" s="11"/>
      <c r="IKW15" s="11"/>
      <c r="IKX15" s="11"/>
      <c r="IKY15" s="11"/>
      <c r="IKZ15" s="11"/>
      <c r="ILA15" s="11"/>
      <c r="ILB15" s="11"/>
      <c r="ILC15" s="11"/>
      <c r="ILD15" s="11"/>
      <c r="ILE15" s="11"/>
      <c r="ILF15" s="11"/>
      <c r="ILG15" s="11"/>
      <c r="ILH15" s="11"/>
      <c r="ILI15" s="11"/>
      <c r="ILJ15" s="11"/>
      <c r="ILK15" s="11"/>
      <c r="ILL15" s="11"/>
      <c r="ILM15" s="11"/>
      <c r="ILN15" s="11"/>
      <c r="ILO15" s="11"/>
      <c r="ILP15" s="11"/>
      <c r="ILQ15" s="11"/>
      <c r="ILR15" s="11"/>
      <c r="ILS15" s="11"/>
      <c r="ILT15" s="11"/>
      <c r="ILU15" s="11"/>
      <c r="ILV15" s="11"/>
      <c r="ILW15" s="11"/>
      <c r="ILX15" s="11"/>
      <c r="ILY15" s="11"/>
      <c r="ILZ15" s="11"/>
      <c r="IMA15" s="11"/>
      <c r="IMB15" s="11"/>
      <c r="IMC15" s="11"/>
      <c r="IMD15" s="11"/>
      <c r="IME15" s="11"/>
      <c r="IMF15" s="11"/>
      <c r="IMG15" s="11"/>
      <c r="IMH15" s="11"/>
      <c r="IMI15" s="11"/>
      <c r="IMJ15" s="11"/>
      <c r="IMK15" s="11"/>
      <c r="IML15" s="11"/>
      <c r="IMM15" s="11"/>
      <c r="IMN15" s="11"/>
      <c r="IMO15" s="11"/>
      <c r="IMP15" s="11"/>
      <c r="IMQ15" s="11"/>
      <c r="IMR15" s="11"/>
      <c r="IMS15" s="11"/>
      <c r="IMT15" s="11"/>
      <c r="IMU15" s="11"/>
      <c r="IMV15" s="11"/>
      <c r="IMW15" s="11"/>
      <c r="IMX15" s="11"/>
      <c r="IMY15" s="11"/>
      <c r="IMZ15" s="11"/>
      <c r="INA15" s="11"/>
      <c r="INB15" s="11"/>
      <c r="INC15" s="11"/>
      <c r="IND15" s="11"/>
      <c r="INE15" s="11"/>
      <c r="INF15" s="11"/>
      <c r="ING15" s="11"/>
      <c r="INH15" s="11"/>
      <c r="INI15" s="11"/>
      <c r="INJ15" s="11"/>
      <c r="INK15" s="11"/>
      <c r="INL15" s="11"/>
      <c r="INM15" s="11"/>
      <c r="INN15" s="11"/>
      <c r="INO15" s="11"/>
      <c r="INP15" s="11"/>
      <c r="INQ15" s="11"/>
      <c r="INR15" s="11"/>
      <c r="INS15" s="11"/>
      <c r="INT15" s="11"/>
      <c r="INU15" s="11"/>
      <c r="INV15" s="11"/>
      <c r="INW15" s="11"/>
      <c r="INX15" s="11"/>
      <c r="INY15" s="11"/>
      <c r="INZ15" s="11"/>
      <c r="IOA15" s="11"/>
      <c r="IOB15" s="11"/>
      <c r="IOC15" s="11"/>
      <c r="IOD15" s="11"/>
      <c r="IOE15" s="11"/>
      <c r="IOF15" s="11"/>
      <c r="IOG15" s="11"/>
      <c r="IOH15" s="11"/>
      <c r="IOI15" s="11"/>
      <c r="IOJ15" s="11"/>
      <c r="IOK15" s="11"/>
      <c r="IOL15" s="11"/>
      <c r="IOM15" s="11"/>
      <c r="ION15" s="11"/>
      <c r="IOO15" s="11"/>
      <c r="IOP15" s="11"/>
      <c r="IOQ15" s="11"/>
      <c r="IOR15" s="11"/>
      <c r="IOS15" s="11"/>
      <c r="IOT15" s="11"/>
      <c r="IOU15" s="11"/>
      <c r="IOV15" s="11"/>
      <c r="IOW15" s="11"/>
      <c r="IOX15" s="11"/>
      <c r="IOY15" s="11"/>
      <c r="IOZ15" s="11"/>
      <c r="IPA15" s="11"/>
      <c r="IPB15" s="11"/>
      <c r="IPC15" s="11"/>
      <c r="IPD15" s="11"/>
      <c r="IPE15" s="11"/>
      <c r="IPF15" s="11"/>
      <c r="IPG15" s="11"/>
      <c r="IPH15" s="11"/>
      <c r="IPI15" s="11"/>
      <c r="IPJ15" s="11"/>
      <c r="IPK15" s="11"/>
      <c r="IPL15" s="11"/>
      <c r="IPM15" s="11"/>
      <c r="IPN15" s="11"/>
      <c r="IPO15" s="11"/>
      <c r="IPP15" s="11"/>
      <c r="IPQ15" s="11"/>
      <c r="IPR15" s="11"/>
      <c r="IPS15" s="11"/>
      <c r="IPT15" s="11"/>
      <c r="IPU15" s="11"/>
      <c r="IPV15" s="11"/>
      <c r="IPW15" s="11"/>
      <c r="IPX15" s="11"/>
      <c r="IPY15" s="11"/>
      <c r="IPZ15" s="11"/>
      <c r="IQA15" s="11"/>
      <c r="IQB15" s="11"/>
      <c r="IQC15" s="11"/>
      <c r="IQD15" s="11"/>
      <c r="IQE15" s="11"/>
      <c r="IQF15" s="11"/>
      <c r="IQG15" s="11"/>
      <c r="IQH15" s="11"/>
      <c r="IQI15" s="11"/>
      <c r="IQJ15" s="11"/>
      <c r="IQK15" s="11"/>
      <c r="IQL15" s="11"/>
      <c r="IQM15" s="11"/>
      <c r="IQN15" s="11"/>
      <c r="IQO15" s="11"/>
      <c r="IQP15" s="11"/>
      <c r="IQQ15" s="11"/>
      <c r="IQR15" s="11"/>
      <c r="IQS15" s="11"/>
      <c r="IQT15" s="11"/>
      <c r="IQU15" s="11"/>
      <c r="IQV15" s="11"/>
      <c r="IQW15" s="11"/>
      <c r="IQX15" s="11"/>
      <c r="IQY15" s="11"/>
      <c r="IQZ15" s="11"/>
      <c r="IRA15" s="11"/>
      <c r="IRB15" s="11"/>
      <c r="IRC15" s="11"/>
      <c r="IRD15" s="11"/>
      <c r="IRE15" s="11"/>
      <c r="IRF15" s="11"/>
      <c r="IRG15" s="11"/>
      <c r="IRH15" s="11"/>
      <c r="IRI15" s="11"/>
      <c r="IRJ15" s="11"/>
      <c r="IRK15" s="11"/>
      <c r="IRL15" s="11"/>
      <c r="IRM15" s="11"/>
      <c r="IRN15" s="11"/>
      <c r="IRO15" s="11"/>
      <c r="IRP15" s="11"/>
      <c r="IRQ15" s="11"/>
      <c r="IRR15" s="11"/>
      <c r="IRS15" s="11"/>
      <c r="IRT15" s="11"/>
      <c r="IRU15" s="11"/>
      <c r="IRV15" s="11"/>
      <c r="IRW15" s="11"/>
      <c r="IRX15" s="11"/>
      <c r="IRY15" s="11"/>
      <c r="IRZ15" s="11"/>
      <c r="ISA15" s="11"/>
      <c r="ISB15" s="11"/>
      <c r="ISC15" s="11"/>
      <c r="ISD15" s="11"/>
      <c r="ISE15" s="11"/>
      <c r="ISF15" s="11"/>
      <c r="ISG15" s="11"/>
      <c r="ISH15" s="11"/>
      <c r="ISI15" s="11"/>
      <c r="ISJ15" s="11"/>
      <c r="ISK15" s="11"/>
      <c r="ISL15" s="11"/>
      <c r="ISM15" s="11"/>
      <c r="ISN15" s="11"/>
      <c r="ISO15" s="11"/>
      <c r="ISP15" s="11"/>
      <c r="ISQ15" s="11"/>
      <c r="ISR15" s="11"/>
      <c r="ISS15" s="11"/>
      <c r="IST15" s="11"/>
      <c r="ISU15" s="11"/>
      <c r="ISV15" s="11"/>
      <c r="ISW15" s="11"/>
      <c r="ISX15" s="11"/>
      <c r="ISY15" s="11"/>
      <c r="ISZ15" s="11"/>
      <c r="ITA15" s="11"/>
      <c r="ITB15" s="11"/>
      <c r="ITC15" s="11"/>
      <c r="ITD15" s="11"/>
      <c r="ITE15" s="11"/>
      <c r="ITF15" s="11"/>
      <c r="ITG15" s="11"/>
      <c r="ITH15" s="11"/>
      <c r="ITI15" s="11"/>
      <c r="ITJ15" s="11"/>
      <c r="ITK15" s="11"/>
      <c r="ITL15" s="11"/>
      <c r="ITM15" s="11"/>
      <c r="ITN15" s="11"/>
      <c r="ITO15" s="11"/>
      <c r="ITP15" s="11"/>
      <c r="ITQ15" s="11"/>
      <c r="ITR15" s="11"/>
      <c r="ITS15" s="11"/>
      <c r="ITT15" s="11"/>
      <c r="ITU15" s="11"/>
      <c r="ITV15" s="11"/>
      <c r="ITW15" s="11"/>
      <c r="ITX15" s="11"/>
      <c r="ITY15" s="11"/>
      <c r="ITZ15" s="11"/>
      <c r="IUA15" s="11"/>
      <c r="IUB15" s="11"/>
      <c r="IUC15" s="11"/>
      <c r="IUD15" s="11"/>
      <c r="IUE15" s="11"/>
      <c r="IUF15" s="11"/>
      <c r="IUG15" s="11"/>
      <c r="IUH15" s="11"/>
      <c r="IUI15" s="11"/>
      <c r="IUJ15" s="11"/>
      <c r="IUK15" s="11"/>
      <c r="IUL15" s="11"/>
      <c r="IUM15" s="11"/>
      <c r="IUN15" s="11"/>
      <c r="IUO15" s="11"/>
      <c r="IUP15" s="11"/>
      <c r="IUQ15" s="11"/>
      <c r="IUR15" s="11"/>
      <c r="IUS15" s="11"/>
      <c r="IUT15" s="11"/>
      <c r="IUU15" s="11"/>
      <c r="IUV15" s="11"/>
      <c r="IUW15" s="11"/>
      <c r="IUX15" s="11"/>
      <c r="IUY15" s="11"/>
      <c r="IUZ15" s="11"/>
      <c r="IVA15" s="11"/>
      <c r="IVB15" s="11"/>
      <c r="IVC15" s="11"/>
      <c r="IVD15" s="11"/>
      <c r="IVE15" s="11"/>
      <c r="IVF15" s="11"/>
      <c r="IVG15" s="11"/>
      <c r="IVH15" s="11"/>
      <c r="IVI15" s="11"/>
      <c r="IVJ15" s="11"/>
      <c r="IVK15" s="11"/>
      <c r="IVL15" s="11"/>
      <c r="IVM15" s="11"/>
      <c r="IVN15" s="11"/>
      <c r="IVO15" s="11"/>
      <c r="IVP15" s="11"/>
      <c r="IVQ15" s="11"/>
      <c r="IVR15" s="11"/>
      <c r="IVS15" s="11"/>
      <c r="IVT15" s="11"/>
      <c r="IVU15" s="11"/>
      <c r="IVV15" s="11"/>
      <c r="IVW15" s="11"/>
      <c r="IVX15" s="11"/>
      <c r="IVY15" s="11"/>
      <c r="IVZ15" s="11"/>
      <c r="IWA15" s="11"/>
      <c r="IWB15" s="11"/>
      <c r="IWC15" s="11"/>
      <c r="IWD15" s="11"/>
      <c r="IWE15" s="11"/>
      <c r="IWF15" s="11"/>
      <c r="IWG15" s="11"/>
      <c r="IWH15" s="11"/>
      <c r="IWI15" s="11"/>
      <c r="IWJ15" s="11"/>
      <c r="IWK15" s="11"/>
      <c r="IWL15" s="11"/>
      <c r="IWM15" s="11"/>
      <c r="IWN15" s="11"/>
      <c r="IWO15" s="11"/>
      <c r="IWP15" s="11"/>
      <c r="IWQ15" s="11"/>
      <c r="IWR15" s="11"/>
      <c r="IWS15" s="11"/>
      <c r="IWT15" s="11"/>
      <c r="IWU15" s="11"/>
      <c r="IWV15" s="11"/>
      <c r="IWW15" s="11"/>
      <c r="IWX15" s="11"/>
      <c r="IWY15" s="11"/>
      <c r="IWZ15" s="11"/>
      <c r="IXA15" s="11"/>
      <c r="IXB15" s="11"/>
      <c r="IXC15" s="11"/>
      <c r="IXD15" s="11"/>
      <c r="IXE15" s="11"/>
      <c r="IXF15" s="11"/>
      <c r="IXG15" s="11"/>
      <c r="IXH15" s="11"/>
      <c r="IXI15" s="11"/>
      <c r="IXJ15" s="11"/>
      <c r="IXK15" s="11"/>
      <c r="IXL15" s="11"/>
      <c r="IXM15" s="11"/>
      <c r="IXN15" s="11"/>
      <c r="IXO15" s="11"/>
      <c r="IXP15" s="11"/>
      <c r="IXQ15" s="11"/>
      <c r="IXR15" s="11"/>
      <c r="IXS15" s="11"/>
      <c r="IXT15" s="11"/>
      <c r="IXU15" s="11"/>
      <c r="IXV15" s="11"/>
      <c r="IXW15" s="11"/>
      <c r="IXX15" s="11"/>
      <c r="IXY15" s="11"/>
      <c r="IXZ15" s="11"/>
      <c r="IYA15" s="11"/>
      <c r="IYB15" s="11"/>
      <c r="IYC15" s="11"/>
      <c r="IYD15" s="11"/>
      <c r="IYE15" s="11"/>
      <c r="IYF15" s="11"/>
      <c r="IYG15" s="11"/>
      <c r="IYH15" s="11"/>
      <c r="IYI15" s="11"/>
      <c r="IYJ15" s="11"/>
      <c r="IYK15" s="11"/>
      <c r="IYL15" s="11"/>
      <c r="IYM15" s="11"/>
      <c r="IYN15" s="11"/>
      <c r="IYO15" s="11"/>
      <c r="IYP15" s="11"/>
      <c r="IYQ15" s="11"/>
      <c r="IYR15" s="11"/>
      <c r="IYS15" s="11"/>
      <c r="IYT15" s="11"/>
      <c r="IYU15" s="11"/>
      <c r="IYV15" s="11"/>
      <c r="IYW15" s="11"/>
      <c r="IYX15" s="11"/>
      <c r="IYY15" s="11"/>
      <c r="IYZ15" s="11"/>
      <c r="IZA15" s="11"/>
      <c r="IZB15" s="11"/>
      <c r="IZC15" s="11"/>
      <c r="IZD15" s="11"/>
      <c r="IZE15" s="11"/>
      <c r="IZF15" s="11"/>
      <c r="IZG15" s="11"/>
      <c r="IZH15" s="11"/>
      <c r="IZI15" s="11"/>
      <c r="IZJ15" s="11"/>
      <c r="IZK15" s="11"/>
      <c r="IZL15" s="11"/>
      <c r="IZM15" s="11"/>
      <c r="IZN15" s="11"/>
      <c r="IZO15" s="11"/>
      <c r="IZP15" s="11"/>
      <c r="IZQ15" s="11"/>
      <c r="IZR15" s="11"/>
      <c r="IZS15" s="11"/>
      <c r="IZT15" s="11"/>
      <c r="IZU15" s="11"/>
      <c r="IZV15" s="11"/>
      <c r="IZW15" s="11"/>
      <c r="IZX15" s="11"/>
      <c r="IZY15" s="11"/>
      <c r="IZZ15" s="11"/>
      <c r="JAA15" s="11"/>
      <c r="JAB15" s="11"/>
      <c r="JAC15" s="11"/>
      <c r="JAD15" s="11"/>
      <c r="JAE15" s="11"/>
      <c r="JAF15" s="11"/>
      <c r="JAG15" s="11"/>
      <c r="JAH15" s="11"/>
      <c r="JAI15" s="11"/>
      <c r="JAJ15" s="11"/>
      <c r="JAK15" s="11"/>
      <c r="JAL15" s="11"/>
      <c r="JAM15" s="11"/>
      <c r="JAN15" s="11"/>
      <c r="JAO15" s="11"/>
      <c r="JAP15" s="11"/>
      <c r="JAQ15" s="11"/>
      <c r="JAR15" s="11"/>
      <c r="JAS15" s="11"/>
      <c r="JAT15" s="11"/>
      <c r="JAU15" s="11"/>
      <c r="JAV15" s="11"/>
      <c r="JAW15" s="11"/>
      <c r="JAX15" s="11"/>
      <c r="JAY15" s="11"/>
      <c r="JAZ15" s="11"/>
      <c r="JBA15" s="11"/>
      <c r="JBB15" s="11"/>
      <c r="JBC15" s="11"/>
      <c r="JBD15" s="11"/>
      <c r="JBE15" s="11"/>
      <c r="JBF15" s="11"/>
      <c r="JBG15" s="11"/>
      <c r="JBH15" s="11"/>
      <c r="JBI15" s="11"/>
      <c r="JBJ15" s="11"/>
      <c r="JBK15" s="11"/>
      <c r="JBL15" s="11"/>
      <c r="JBM15" s="11"/>
      <c r="JBN15" s="11"/>
      <c r="JBO15" s="11"/>
      <c r="JBP15" s="11"/>
      <c r="JBQ15" s="11"/>
      <c r="JBR15" s="11"/>
      <c r="JBS15" s="11"/>
      <c r="JBT15" s="11"/>
      <c r="JBU15" s="11"/>
      <c r="JBV15" s="11"/>
      <c r="JBW15" s="11"/>
      <c r="JBX15" s="11"/>
      <c r="JBY15" s="11"/>
      <c r="JBZ15" s="11"/>
      <c r="JCA15" s="11"/>
      <c r="JCB15" s="11"/>
      <c r="JCC15" s="11"/>
      <c r="JCD15" s="11"/>
      <c r="JCE15" s="11"/>
      <c r="JCF15" s="11"/>
      <c r="JCG15" s="11"/>
      <c r="JCH15" s="11"/>
      <c r="JCI15" s="11"/>
      <c r="JCJ15" s="11"/>
      <c r="JCK15" s="11"/>
      <c r="JCL15" s="11"/>
      <c r="JCM15" s="11"/>
      <c r="JCN15" s="11"/>
      <c r="JCO15" s="11"/>
      <c r="JCP15" s="11"/>
      <c r="JCQ15" s="11"/>
      <c r="JCR15" s="11"/>
      <c r="JCS15" s="11"/>
      <c r="JCT15" s="11"/>
      <c r="JCU15" s="11"/>
      <c r="JCV15" s="11"/>
      <c r="JCW15" s="11"/>
      <c r="JCX15" s="11"/>
      <c r="JCY15" s="11"/>
      <c r="JCZ15" s="11"/>
      <c r="JDA15" s="11"/>
      <c r="JDB15" s="11"/>
      <c r="JDC15" s="11"/>
      <c r="JDD15" s="11"/>
      <c r="JDE15" s="11"/>
      <c r="JDF15" s="11"/>
      <c r="JDG15" s="11"/>
      <c r="JDH15" s="11"/>
      <c r="JDI15" s="11"/>
      <c r="JDJ15" s="11"/>
      <c r="JDK15" s="11"/>
      <c r="JDL15" s="11"/>
      <c r="JDM15" s="11"/>
      <c r="JDN15" s="11"/>
      <c r="JDO15" s="11"/>
      <c r="JDP15" s="11"/>
      <c r="JDQ15" s="11"/>
      <c r="JDR15" s="11"/>
      <c r="JDS15" s="11"/>
      <c r="JDT15" s="11"/>
      <c r="JDU15" s="11"/>
      <c r="JDV15" s="11"/>
      <c r="JDW15" s="11"/>
      <c r="JDX15" s="11"/>
      <c r="JDY15" s="11"/>
      <c r="JDZ15" s="11"/>
      <c r="JEA15" s="11"/>
      <c r="JEB15" s="11"/>
      <c r="JEC15" s="11"/>
      <c r="JED15" s="11"/>
      <c r="JEE15" s="11"/>
      <c r="JEF15" s="11"/>
      <c r="JEG15" s="11"/>
      <c r="JEH15" s="11"/>
      <c r="JEI15" s="11"/>
      <c r="JEJ15" s="11"/>
      <c r="JEK15" s="11"/>
      <c r="JEL15" s="11"/>
      <c r="JEM15" s="11"/>
      <c r="JEN15" s="11"/>
      <c r="JEO15" s="11"/>
      <c r="JEP15" s="11"/>
      <c r="JEQ15" s="11"/>
      <c r="JER15" s="11"/>
      <c r="JES15" s="11"/>
      <c r="JET15" s="11"/>
      <c r="JEU15" s="11"/>
      <c r="JEV15" s="11"/>
      <c r="JEW15" s="11"/>
      <c r="JEX15" s="11"/>
      <c r="JEY15" s="11"/>
      <c r="JEZ15" s="11"/>
      <c r="JFA15" s="11"/>
      <c r="JFB15" s="11"/>
      <c r="JFC15" s="11"/>
      <c r="JFD15" s="11"/>
      <c r="JFE15" s="11"/>
      <c r="JFF15" s="11"/>
      <c r="JFG15" s="11"/>
      <c r="JFH15" s="11"/>
      <c r="JFI15" s="11"/>
      <c r="JFJ15" s="11"/>
      <c r="JFK15" s="11"/>
      <c r="JFL15" s="11"/>
      <c r="JFM15" s="11"/>
      <c r="JFN15" s="11"/>
      <c r="JFO15" s="11"/>
      <c r="JFP15" s="11"/>
      <c r="JFQ15" s="11"/>
      <c r="JFR15" s="11"/>
      <c r="JFS15" s="11"/>
      <c r="JFT15" s="11"/>
      <c r="JFU15" s="11"/>
      <c r="JFV15" s="11"/>
      <c r="JFW15" s="11"/>
      <c r="JFX15" s="11"/>
      <c r="JFY15" s="11"/>
      <c r="JFZ15" s="11"/>
      <c r="JGA15" s="11"/>
      <c r="JGB15" s="11"/>
      <c r="JGC15" s="11"/>
      <c r="JGD15" s="11"/>
      <c r="JGE15" s="11"/>
      <c r="JGF15" s="11"/>
      <c r="JGG15" s="11"/>
      <c r="JGH15" s="11"/>
      <c r="JGI15" s="11"/>
      <c r="JGJ15" s="11"/>
      <c r="JGK15" s="11"/>
      <c r="JGL15" s="11"/>
      <c r="JGM15" s="11"/>
      <c r="JGN15" s="11"/>
      <c r="JGO15" s="11"/>
      <c r="JGP15" s="11"/>
      <c r="JGQ15" s="11"/>
      <c r="JGR15" s="11"/>
      <c r="JGS15" s="11"/>
      <c r="JGT15" s="11"/>
      <c r="JGU15" s="11"/>
      <c r="JGV15" s="11"/>
      <c r="JGW15" s="11"/>
      <c r="JGX15" s="11"/>
      <c r="JGY15" s="11"/>
      <c r="JGZ15" s="11"/>
      <c r="JHA15" s="11"/>
      <c r="JHB15" s="11"/>
      <c r="JHC15" s="11"/>
      <c r="JHD15" s="11"/>
      <c r="JHE15" s="11"/>
      <c r="JHF15" s="11"/>
      <c r="JHG15" s="11"/>
      <c r="JHH15" s="11"/>
      <c r="JHI15" s="11"/>
      <c r="JHJ15" s="11"/>
      <c r="JHK15" s="11"/>
      <c r="JHL15" s="11"/>
      <c r="JHM15" s="11"/>
      <c r="JHN15" s="11"/>
      <c r="JHO15" s="11"/>
      <c r="JHP15" s="11"/>
      <c r="JHQ15" s="11"/>
      <c r="JHR15" s="11"/>
      <c r="JHS15" s="11"/>
      <c r="JHT15" s="11"/>
      <c r="JHU15" s="11"/>
      <c r="JHV15" s="11"/>
      <c r="JHW15" s="11"/>
      <c r="JHX15" s="11"/>
      <c r="JHY15" s="11"/>
      <c r="JHZ15" s="11"/>
      <c r="JIA15" s="11"/>
      <c r="JIB15" s="11"/>
      <c r="JIC15" s="11"/>
      <c r="JID15" s="11"/>
      <c r="JIE15" s="11"/>
      <c r="JIF15" s="11"/>
      <c r="JIG15" s="11"/>
      <c r="JIH15" s="11"/>
      <c r="JII15" s="11"/>
      <c r="JIJ15" s="11"/>
      <c r="JIK15" s="11"/>
      <c r="JIL15" s="11"/>
      <c r="JIM15" s="11"/>
      <c r="JIN15" s="11"/>
      <c r="JIO15" s="11"/>
      <c r="JIP15" s="11"/>
      <c r="JIQ15" s="11"/>
      <c r="JIR15" s="11"/>
      <c r="JIS15" s="11"/>
      <c r="JIT15" s="11"/>
      <c r="JIU15" s="11"/>
      <c r="JIV15" s="11"/>
      <c r="JIW15" s="11"/>
      <c r="JIX15" s="11"/>
      <c r="JIY15" s="11"/>
      <c r="JIZ15" s="11"/>
      <c r="JJA15" s="11"/>
      <c r="JJB15" s="11"/>
      <c r="JJC15" s="11"/>
      <c r="JJD15" s="11"/>
      <c r="JJE15" s="11"/>
      <c r="JJF15" s="11"/>
      <c r="JJG15" s="11"/>
      <c r="JJH15" s="11"/>
      <c r="JJI15" s="11"/>
      <c r="JJJ15" s="11"/>
      <c r="JJK15" s="11"/>
      <c r="JJL15" s="11"/>
      <c r="JJM15" s="11"/>
      <c r="JJN15" s="11"/>
      <c r="JJO15" s="11"/>
      <c r="JJP15" s="11"/>
      <c r="JJQ15" s="11"/>
      <c r="JJR15" s="11"/>
      <c r="JJS15" s="11"/>
      <c r="JJT15" s="11"/>
      <c r="JJU15" s="11"/>
      <c r="JJV15" s="11"/>
      <c r="JJW15" s="11"/>
      <c r="JJX15" s="11"/>
      <c r="JJY15" s="11"/>
      <c r="JJZ15" s="11"/>
      <c r="JKA15" s="11"/>
      <c r="JKB15" s="11"/>
      <c r="JKC15" s="11"/>
      <c r="JKD15" s="11"/>
      <c r="JKE15" s="11"/>
      <c r="JKF15" s="11"/>
      <c r="JKG15" s="11"/>
      <c r="JKH15" s="11"/>
      <c r="JKI15" s="11"/>
      <c r="JKJ15" s="11"/>
      <c r="JKK15" s="11"/>
      <c r="JKL15" s="11"/>
      <c r="JKM15" s="11"/>
      <c r="JKN15" s="11"/>
      <c r="JKO15" s="11"/>
      <c r="JKP15" s="11"/>
      <c r="JKQ15" s="11"/>
      <c r="JKR15" s="11"/>
      <c r="JKS15" s="11"/>
      <c r="JKT15" s="11"/>
      <c r="JKU15" s="11"/>
      <c r="JKV15" s="11"/>
      <c r="JKW15" s="11"/>
      <c r="JKX15" s="11"/>
      <c r="JKY15" s="11"/>
      <c r="JKZ15" s="11"/>
      <c r="JLA15" s="11"/>
      <c r="JLB15" s="11"/>
      <c r="JLC15" s="11"/>
      <c r="JLD15" s="11"/>
      <c r="JLE15" s="11"/>
      <c r="JLF15" s="11"/>
      <c r="JLG15" s="11"/>
      <c r="JLH15" s="11"/>
      <c r="JLI15" s="11"/>
      <c r="JLJ15" s="11"/>
      <c r="JLK15" s="11"/>
      <c r="JLL15" s="11"/>
      <c r="JLM15" s="11"/>
      <c r="JLN15" s="11"/>
      <c r="JLO15" s="11"/>
      <c r="JLP15" s="11"/>
      <c r="JLQ15" s="11"/>
      <c r="JLR15" s="11"/>
      <c r="JLS15" s="11"/>
      <c r="JLT15" s="11"/>
      <c r="JLU15" s="11"/>
      <c r="JLV15" s="11"/>
      <c r="JLW15" s="11"/>
      <c r="JLX15" s="11"/>
      <c r="JLY15" s="11"/>
      <c r="JLZ15" s="11"/>
      <c r="JMA15" s="11"/>
      <c r="JMB15" s="11"/>
      <c r="JMC15" s="11"/>
      <c r="JMD15" s="11"/>
      <c r="JME15" s="11"/>
      <c r="JMF15" s="11"/>
      <c r="JMG15" s="11"/>
      <c r="JMH15" s="11"/>
      <c r="JMI15" s="11"/>
      <c r="JMJ15" s="11"/>
      <c r="JMK15" s="11"/>
      <c r="JML15" s="11"/>
      <c r="JMM15" s="11"/>
      <c r="JMN15" s="11"/>
      <c r="JMO15" s="11"/>
      <c r="JMP15" s="11"/>
      <c r="JMQ15" s="11"/>
      <c r="JMR15" s="11"/>
      <c r="JMS15" s="11"/>
      <c r="JMT15" s="11"/>
      <c r="JMU15" s="11"/>
      <c r="JMV15" s="11"/>
      <c r="JMW15" s="11"/>
      <c r="JMX15" s="11"/>
      <c r="JMY15" s="11"/>
      <c r="JMZ15" s="11"/>
      <c r="JNA15" s="11"/>
      <c r="JNB15" s="11"/>
      <c r="JNC15" s="11"/>
      <c r="JND15" s="11"/>
      <c r="JNE15" s="11"/>
      <c r="JNF15" s="11"/>
      <c r="JNG15" s="11"/>
      <c r="JNH15" s="11"/>
      <c r="JNI15" s="11"/>
      <c r="JNJ15" s="11"/>
      <c r="JNK15" s="11"/>
      <c r="JNL15" s="11"/>
      <c r="JNM15" s="11"/>
      <c r="JNN15" s="11"/>
      <c r="JNO15" s="11"/>
      <c r="JNP15" s="11"/>
      <c r="JNQ15" s="11"/>
      <c r="JNR15" s="11"/>
      <c r="JNS15" s="11"/>
      <c r="JNT15" s="11"/>
      <c r="JNU15" s="11"/>
      <c r="JNV15" s="11"/>
      <c r="JNW15" s="11"/>
      <c r="JNX15" s="11"/>
      <c r="JNY15" s="11"/>
      <c r="JNZ15" s="11"/>
      <c r="JOA15" s="11"/>
      <c r="JOB15" s="11"/>
      <c r="JOC15" s="11"/>
      <c r="JOD15" s="11"/>
      <c r="JOE15" s="11"/>
      <c r="JOF15" s="11"/>
      <c r="JOG15" s="11"/>
      <c r="JOH15" s="11"/>
      <c r="JOI15" s="11"/>
      <c r="JOJ15" s="11"/>
      <c r="JOK15" s="11"/>
      <c r="JOL15" s="11"/>
      <c r="JOM15" s="11"/>
      <c r="JON15" s="11"/>
      <c r="JOO15" s="11"/>
      <c r="JOP15" s="11"/>
      <c r="JOQ15" s="11"/>
      <c r="JOR15" s="11"/>
      <c r="JOS15" s="11"/>
      <c r="JOT15" s="11"/>
      <c r="JOU15" s="11"/>
      <c r="JOV15" s="11"/>
      <c r="JOW15" s="11"/>
      <c r="JOX15" s="11"/>
      <c r="JOY15" s="11"/>
      <c r="JOZ15" s="11"/>
      <c r="JPA15" s="11"/>
      <c r="JPB15" s="11"/>
      <c r="JPC15" s="11"/>
      <c r="JPD15" s="11"/>
      <c r="JPE15" s="11"/>
      <c r="JPF15" s="11"/>
      <c r="JPG15" s="11"/>
      <c r="JPH15" s="11"/>
      <c r="JPI15" s="11"/>
      <c r="JPJ15" s="11"/>
      <c r="JPK15" s="11"/>
      <c r="JPL15" s="11"/>
      <c r="JPM15" s="11"/>
      <c r="JPN15" s="11"/>
      <c r="JPO15" s="11"/>
      <c r="JPP15" s="11"/>
      <c r="JPQ15" s="11"/>
      <c r="JPR15" s="11"/>
      <c r="JPS15" s="11"/>
      <c r="JPT15" s="11"/>
      <c r="JPU15" s="11"/>
      <c r="JPV15" s="11"/>
      <c r="JPW15" s="11"/>
      <c r="JPX15" s="11"/>
      <c r="JPY15" s="11"/>
      <c r="JPZ15" s="11"/>
      <c r="JQA15" s="11"/>
      <c r="JQB15" s="11"/>
      <c r="JQC15" s="11"/>
      <c r="JQD15" s="11"/>
      <c r="JQE15" s="11"/>
      <c r="JQF15" s="11"/>
      <c r="JQG15" s="11"/>
      <c r="JQH15" s="11"/>
      <c r="JQI15" s="11"/>
      <c r="JQJ15" s="11"/>
      <c r="JQK15" s="11"/>
      <c r="JQL15" s="11"/>
      <c r="JQM15" s="11"/>
      <c r="JQN15" s="11"/>
      <c r="JQO15" s="11"/>
      <c r="JQP15" s="11"/>
      <c r="JQQ15" s="11"/>
      <c r="JQR15" s="11"/>
      <c r="JQS15" s="11"/>
      <c r="JQT15" s="11"/>
      <c r="JQU15" s="11"/>
      <c r="JQV15" s="11"/>
      <c r="JQW15" s="11"/>
      <c r="JQX15" s="11"/>
      <c r="JQY15" s="11"/>
      <c r="JQZ15" s="11"/>
      <c r="JRA15" s="11"/>
      <c r="JRB15" s="11"/>
      <c r="JRC15" s="11"/>
      <c r="JRD15" s="11"/>
      <c r="JRE15" s="11"/>
      <c r="JRF15" s="11"/>
      <c r="JRG15" s="11"/>
      <c r="JRH15" s="11"/>
      <c r="JRI15" s="11"/>
      <c r="JRJ15" s="11"/>
      <c r="JRK15" s="11"/>
      <c r="JRL15" s="11"/>
      <c r="JRM15" s="11"/>
      <c r="JRN15" s="11"/>
      <c r="JRO15" s="11"/>
      <c r="JRP15" s="11"/>
      <c r="JRQ15" s="11"/>
      <c r="JRR15" s="11"/>
      <c r="JRS15" s="11"/>
      <c r="JRT15" s="11"/>
      <c r="JRU15" s="11"/>
      <c r="JRV15" s="11"/>
      <c r="JRW15" s="11"/>
      <c r="JRX15" s="11"/>
      <c r="JRY15" s="11"/>
      <c r="JRZ15" s="11"/>
      <c r="JSA15" s="11"/>
      <c r="JSB15" s="11"/>
      <c r="JSC15" s="11"/>
      <c r="JSD15" s="11"/>
      <c r="JSE15" s="11"/>
      <c r="JSF15" s="11"/>
      <c r="JSG15" s="11"/>
      <c r="JSH15" s="11"/>
      <c r="JSI15" s="11"/>
      <c r="JSJ15" s="11"/>
      <c r="JSK15" s="11"/>
      <c r="JSL15" s="11"/>
      <c r="JSM15" s="11"/>
      <c r="JSN15" s="11"/>
      <c r="JSO15" s="11"/>
      <c r="JSP15" s="11"/>
      <c r="JSQ15" s="11"/>
      <c r="JSR15" s="11"/>
      <c r="JSS15" s="11"/>
      <c r="JST15" s="11"/>
      <c r="JSU15" s="11"/>
      <c r="JSV15" s="11"/>
      <c r="JSW15" s="11"/>
      <c r="JSX15" s="11"/>
      <c r="JSY15" s="11"/>
      <c r="JSZ15" s="11"/>
      <c r="JTA15" s="11"/>
      <c r="JTB15" s="11"/>
      <c r="JTC15" s="11"/>
      <c r="JTD15" s="11"/>
      <c r="JTE15" s="11"/>
      <c r="JTF15" s="11"/>
      <c r="JTG15" s="11"/>
      <c r="JTH15" s="11"/>
      <c r="JTI15" s="11"/>
      <c r="JTJ15" s="11"/>
      <c r="JTK15" s="11"/>
      <c r="JTL15" s="11"/>
      <c r="JTM15" s="11"/>
      <c r="JTN15" s="11"/>
      <c r="JTO15" s="11"/>
      <c r="JTP15" s="11"/>
      <c r="JTQ15" s="11"/>
      <c r="JTR15" s="11"/>
      <c r="JTS15" s="11"/>
      <c r="JTT15" s="11"/>
      <c r="JTU15" s="11"/>
      <c r="JTV15" s="11"/>
      <c r="JTW15" s="11"/>
      <c r="JTX15" s="11"/>
      <c r="JTY15" s="11"/>
      <c r="JTZ15" s="11"/>
      <c r="JUA15" s="11"/>
      <c r="JUB15" s="11"/>
      <c r="JUC15" s="11"/>
      <c r="JUD15" s="11"/>
      <c r="JUE15" s="11"/>
      <c r="JUF15" s="11"/>
      <c r="JUG15" s="11"/>
      <c r="JUH15" s="11"/>
      <c r="JUI15" s="11"/>
      <c r="JUJ15" s="11"/>
      <c r="JUK15" s="11"/>
      <c r="JUL15" s="11"/>
      <c r="JUM15" s="11"/>
      <c r="JUN15" s="11"/>
      <c r="JUO15" s="11"/>
      <c r="JUP15" s="11"/>
      <c r="JUQ15" s="11"/>
      <c r="JUR15" s="11"/>
      <c r="JUS15" s="11"/>
      <c r="JUT15" s="11"/>
      <c r="JUU15" s="11"/>
      <c r="JUV15" s="11"/>
      <c r="JUW15" s="11"/>
      <c r="JUX15" s="11"/>
      <c r="JUY15" s="11"/>
      <c r="JUZ15" s="11"/>
      <c r="JVA15" s="11"/>
      <c r="JVB15" s="11"/>
      <c r="JVC15" s="11"/>
      <c r="JVD15" s="11"/>
      <c r="JVE15" s="11"/>
      <c r="JVF15" s="11"/>
      <c r="JVG15" s="11"/>
      <c r="JVH15" s="11"/>
      <c r="JVI15" s="11"/>
      <c r="JVJ15" s="11"/>
      <c r="JVK15" s="11"/>
      <c r="JVL15" s="11"/>
      <c r="JVM15" s="11"/>
      <c r="JVN15" s="11"/>
      <c r="JVO15" s="11"/>
      <c r="JVP15" s="11"/>
      <c r="JVQ15" s="11"/>
      <c r="JVR15" s="11"/>
      <c r="JVS15" s="11"/>
      <c r="JVT15" s="11"/>
      <c r="JVU15" s="11"/>
      <c r="JVV15" s="11"/>
      <c r="JVW15" s="11"/>
      <c r="JVX15" s="11"/>
      <c r="JVY15" s="11"/>
      <c r="JVZ15" s="11"/>
      <c r="JWA15" s="11"/>
      <c r="JWB15" s="11"/>
      <c r="JWC15" s="11"/>
      <c r="JWD15" s="11"/>
      <c r="JWE15" s="11"/>
      <c r="JWF15" s="11"/>
      <c r="JWG15" s="11"/>
      <c r="JWH15" s="11"/>
      <c r="JWI15" s="11"/>
      <c r="JWJ15" s="11"/>
      <c r="JWK15" s="11"/>
      <c r="JWL15" s="11"/>
      <c r="JWM15" s="11"/>
      <c r="JWN15" s="11"/>
      <c r="JWO15" s="11"/>
      <c r="JWP15" s="11"/>
      <c r="JWQ15" s="11"/>
      <c r="JWR15" s="11"/>
      <c r="JWS15" s="11"/>
      <c r="JWT15" s="11"/>
      <c r="JWU15" s="11"/>
      <c r="JWV15" s="11"/>
      <c r="JWW15" s="11"/>
      <c r="JWX15" s="11"/>
      <c r="JWY15" s="11"/>
      <c r="JWZ15" s="11"/>
      <c r="JXA15" s="11"/>
      <c r="JXB15" s="11"/>
      <c r="JXC15" s="11"/>
      <c r="JXD15" s="11"/>
      <c r="JXE15" s="11"/>
      <c r="JXF15" s="11"/>
      <c r="JXG15" s="11"/>
      <c r="JXH15" s="11"/>
      <c r="JXI15" s="11"/>
      <c r="JXJ15" s="11"/>
      <c r="JXK15" s="11"/>
      <c r="JXL15" s="11"/>
      <c r="JXM15" s="11"/>
      <c r="JXN15" s="11"/>
      <c r="JXO15" s="11"/>
      <c r="JXP15" s="11"/>
      <c r="JXQ15" s="11"/>
      <c r="JXR15" s="11"/>
      <c r="JXS15" s="11"/>
      <c r="JXT15" s="11"/>
      <c r="JXU15" s="11"/>
      <c r="JXV15" s="11"/>
      <c r="JXW15" s="11"/>
      <c r="JXX15" s="11"/>
      <c r="JXY15" s="11"/>
      <c r="JXZ15" s="11"/>
      <c r="JYA15" s="11"/>
      <c r="JYB15" s="11"/>
      <c r="JYC15" s="11"/>
      <c r="JYD15" s="11"/>
      <c r="JYE15" s="11"/>
      <c r="JYF15" s="11"/>
      <c r="JYG15" s="11"/>
      <c r="JYH15" s="11"/>
      <c r="JYI15" s="11"/>
      <c r="JYJ15" s="11"/>
      <c r="JYK15" s="11"/>
      <c r="JYL15" s="11"/>
      <c r="JYM15" s="11"/>
      <c r="JYN15" s="11"/>
      <c r="JYO15" s="11"/>
      <c r="JYP15" s="11"/>
      <c r="JYQ15" s="11"/>
      <c r="JYR15" s="11"/>
      <c r="JYS15" s="11"/>
      <c r="JYT15" s="11"/>
      <c r="JYU15" s="11"/>
      <c r="JYV15" s="11"/>
      <c r="JYW15" s="11"/>
      <c r="JYX15" s="11"/>
      <c r="JYY15" s="11"/>
      <c r="JYZ15" s="11"/>
      <c r="JZA15" s="11"/>
      <c r="JZB15" s="11"/>
      <c r="JZC15" s="11"/>
      <c r="JZD15" s="11"/>
      <c r="JZE15" s="11"/>
      <c r="JZF15" s="11"/>
      <c r="JZG15" s="11"/>
      <c r="JZH15" s="11"/>
      <c r="JZI15" s="11"/>
      <c r="JZJ15" s="11"/>
      <c r="JZK15" s="11"/>
      <c r="JZL15" s="11"/>
      <c r="JZM15" s="11"/>
      <c r="JZN15" s="11"/>
      <c r="JZO15" s="11"/>
      <c r="JZP15" s="11"/>
      <c r="JZQ15" s="11"/>
      <c r="JZR15" s="11"/>
      <c r="JZS15" s="11"/>
      <c r="JZT15" s="11"/>
      <c r="JZU15" s="11"/>
      <c r="JZV15" s="11"/>
      <c r="JZW15" s="11"/>
      <c r="JZX15" s="11"/>
      <c r="JZY15" s="11"/>
      <c r="JZZ15" s="11"/>
      <c r="KAA15" s="11"/>
      <c r="KAB15" s="11"/>
      <c r="KAC15" s="11"/>
      <c r="KAD15" s="11"/>
      <c r="KAE15" s="11"/>
      <c r="KAF15" s="11"/>
      <c r="KAG15" s="11"/>
      <c r="KAH15" s="11"/>
      <c r="KAI15" s="11"/>
      <c r="KAJ15" s="11"/>
      <c r="KAK15" s="11"/>
      <c r="KAL15" s="11"/>
      <c r="KAM15" s="11"/>
      <c r="KAN15" s="11"/>
      <c r="KAO15" s="11"/>
      <c r="KAP15" s="11"/>
      <c r="KAQ15" s="11"/>
      <c r="KAR15" s="11"/>
      <c r="KAS15" s="11"/>
      <c r="KAT15" s="11"/>
      <c r="KAU15" s="11"/>
      <c r="KAV15" s="11"/>
      <c r="KAW15" s="11"/>
      <c r="KAX15" s="11"/>
      <c r="KAY15" s="11"/>
      <c r="KAZ15" s="11"/>
      <c r="KBA15" s="11"/>
      <c r="KBB15" s="11"/>
      <c r="KBC15" s="11"/>
      <c r="KBD15" s="11"/>
      <c r="KBE15" s="11"/>
      <c r="KBF15" s="11"/>
      <c r="KBG15" s="11"/>
      <c r="KBH15" s="11"/>
      <c r="KBI15" s="11"/>
      <c r="KBJ15" s="11"/>
      <c r="KBK15" s="11"/>
      <c r="KBL15" s="11"/>
      <c r="KBM15" s="11"/>
      <c r="KBN15" s="11"/>
      <c r="KBO15" s="11"/>
      <c r="KBP15" s="11"/>
      <c r="KBQ15" s="11"/>
      <c r="KBR15" s="11"/>
      <c r="KBS15" s="11"/>
      <c r="KBT15" s="11"/>
      <c r="KBU15" s="11"/>
      <c r="KBV15" s="11"/>
      <c r="KBW15" s="11"/>
      <c r="KBX15" s="11"/>
      <c r="KBY15" s="11"/>
      <c r="KBZ15" s="11"/>
      <c r="KCA15" s="11"/>
      <c r="KCB15" s="11"/>
      <c r="KCC15" s="11"/>
      <c r="KCD15" s="11"/>
      <c r="KCE15" s="11"/>
      <c r="KCF15" s="11"/>
      <c r="KCG15" s="11"/>
      <c r="KCH15" s="11"/>
      <c r="KCI15" s="11"/>
      <c r="KCJ15" s="11"/>
      <c r="KCK15" s="11"/>
      <c r="KCL15" s="11"/>
      <c r="KCM15" s="11"/>
      <c r="KCN15" s="11"/>
      <c r="KCO15" s="11"/>
      <c r="KCP15" s="11"/>
      <c r="KCQ15" s="11"/>
      <c r="KCR15" s="11"/>
      <c r="KCS15" s="11"/>
      <c r="KCT15" s="11"/>
      <c r="KCU15" s="11"/>
      <c r="KCV15" s="11"/>
      <c r="KCW15" s="11"/>
      <c r="KCX15" s="11"/>
      <c r="KCY15" s="11"/>
      <c r="KCZ15" s="11"/>
      <c r="KDA15" s="11"/>
      <c r="KDB15" s="11"/>
      <c r="KDC15" s="11"/>
      <c r="KDD15" s="11"/>
      <c r="KDE15" s="11"/>
      <c r="KDF15" s="11"/>
      <c r="KDG15" s="11"/>
      <c r="KDH15" s="11"/>
      <c r="KDI15" s="11"/>
      <c r="KDJ15" s="11"/>
      <c r="KDK15" s="11"/>
      <c r="KDL15" s="11"/>
      <c r="KDM15" s="11"/>
      <c r="KDN15" s="11"/>
      <c r="KDO15" s="11"/>
      <c r="KDP15" s="11"/>
      <c r="KDQ15" s="11"/>
      <c r="KDR15" s="11"/>
      <c r="KDS15" s="11"/>
      <c r="KDT15" s="11"/>
      <c r="KDU15" s="11"/>
      <c r="KDV15" s="11"/>
      <c r="KDW15" s="11"/>
      <c r="KDX15" s="11"/>
      <c r="KDY15" s="11"/>
      <c r="KDZ15" s="11"/>
      <c r="KEA15" s="11"/>
      <c r="KEB15" s="11"/>
      <c r="KEC15" s="11"/>
      <c r="KED15" s="11"/>
      <c r="KEE15" s="11"/>
      <c r="KEF15" s="11"/>
      <c r="KEG15" s="11"/>
      <c r="KEH15" s="11"/>
      <c r="KEI15" s="11"/>
      <c r="KEJ15" s="11"/>
      <c r="KEK15" s="11"/>
      <c r="KEL15" s="11"/>
      <c r="KEM15" s="11"/>
      <c r="KEN15" s="11"/>
      <c r="KEO15" s="11"/>
      <c r="KEP15" s="11"/>
      <c r="KEQ15" s="11"/>
      <c r="KER15" s="11"/>
      <c r="KES15" s="11"/>
      <c r="KET15" s="11"/>
      <c r="KEU15" s="11"/>
      <c r="KEV15" s="11"/>
      <c r="KEW15" s="11"/>
      <c r="KEX15" s="11"/>
      <c r="KEY15" s="11"/>
      <c r="KEZ15" s="11"/>
      <c r="KFA15" s="11"/>
      <c r="KFB15" s="11"/>
      <c r="KFC15" s="11"/>
      <c r="KFD15" s="11"/>
      <c r="KFE15" s="11"/>
      <c r="KFF15" s="11"/>
      <c r="KFG15" s="11"/>
      <c r="KFH15" s="11"/>
      <c r="KFI15" s="11"/>
      <c r="KFJ15" s="11"/>
      <c r="KFK15" s="11"/>
      <c r="KFL15" s="11"/>
      <c r="KFM15" s="11"/>
      <c r="KFN15" s="11"/>
      <c r="KFO15" s="11"/>
      <c r="KFP15" s="11"/>
      <c r="KFQ15" s="11"/>
      <c r="KFR15" s="11"/>
      <c r="KFS15" s="11"/>
      <c r="KFT15" s="11"/>
      <c r="KFU15" s="11"/>
      <c r="KFV15" s="11"/>
      <c r="KFW15" s="11"/>
      <c r="KFX15" s="11"/>
      <c r="KFY15" s="11"/>
      <c r="KFZ15" s="11"/>
      <c r="KGA15" s="11"/>
      <c r="KGB15" s="11"/>
      <c r="KGC15" s="11"/>
      <c r="KGD15" s="11"/>
      <c r="KGE15" s="11"/>
      <c r="KGF15" s="11"/>
      <c r="KGG15" s="11"/>
      <c r="KGH15" s="11"/>
      <c r="KGI15" s="11"/>
      <c r="KGJ15" s="11"/>
      <c r="KGK15" s="11"/>
      <c r="KGL15" s="11"/>
      <c r="KGM15" s="11"/>
      <c r="KGN15" s="11"/>
      <c r="KGO15" s="11"/>
      <c r="KGP15" s="11"/>
      <c r="KGQ15" s="11"/>
      <c r="KGR15" s="11"/>
      <c r="KGS15" s="11"/>
      <c r="KGT15" s="11"/>
      <c r="KGU15" s="11"/>
      <c r="KGV15" s="11"/>
      <c r="KGW15" s="11"/>
      <c r="KGX15" s="11"/>
      <c r="KGY15" s="11"/>
      <c r="KGZ15" s="11"/>
      <c r="KHA15" s="11"/>
      <c r="KHB15" s="11"/>
      <c r="KHC15" s="11"/>
      <c r="KHD15" s="11"/>
      <c r="KHE15" s="11"/>
      <c r="KHF15" s="11"/>
      <c r="KHG15" s="11"/>
      <c r="KHH15" s="11"/>
      <c r="KHI15" s="11"/>
      <c r="KHJ15" s="11"/>
      <c r="KHK15" s="11"/>
      <c r="KHL15" s="11"/>
      <c r="KHM15" s="11"/>
      <c r="KHN15" s="11"/>
      <c r="KHO15" s="11"/>
      <c r="KHP15" s="11"/>
      <c r="KHQ15" s="11"/>
      <c r="KHR15" s="11"/>
      <c r="KHS15" s="11"/>
      <c r="KHT15" s="11"/>
      <c r="KHU15" s="11"/>
      <c r="KHV15" s="11"/>
      <c r="KHW15" s="11"/>
      <c r="KHX15" s="11"/>
      <c r="KHY15" s="11"/>
      <c r="KHZ15" s="11"/>
      <c r="KIA15" s="11"/>
      <c r="KIB15" s="11"/>
      <c r="KIC15" s="11"/>
      <c r="KID15" s="11"/>
      <c r="KIE15" s="11"/>
      <c r="KIF15" s="11"/>
      <c r="KIG15" s="11"/>
      <c r="KIH15" s="11"/>
      <c r="KII15" s="11"/>
      <c r="KIJ15" s="11"/>
      <c r="KIK15" s="11"/>
      <c r="KIL15" s="11"/>
      <c r="KIM15" s="11"/>
      <c r="KIN15" s="11"/>
      <c r="KIO15" s="11"/>
      <c r="KIP15" s="11"/>
      <c r="KIQ15" s="11"/>
      <c r="KIR15" s="11"/>
      <c r="KIS15" s="11"/>
      <c r="KIT15" s="11"/>
      <c r="KIU15" s="11"/>
      <c r="KIV15" s="11"/>
      <c r="KIW15" s="11"/>
      <c r="KIX15" s="11"/>
      <c r="KIY15" s="11"/>
      <c r="KIZ15" s="11"/>
      <c r="KJA15" s="11"/>
      <c r="KJB15" s="11"/>
      <c r="KJC15" s="11"/>
      <c r="KJD15" s="11"/>
      <c r="KJE15" s="11"/>
      <c r="KJF15" s="11"/>
      <c r="KJG15" s="11"/>
      <c r="KJH15" s="11"/>
      <c r="KJI15" s="11"/>
      <c r="KJJ15" s="11"/>
      <c r="KJK15" s="11"/>
      <c r="KJL15" s="11"/>
      <c r="KJM15" s="11"/>
      <c r="KJN15" s="11"/>
      <c r="KJO15" s="11"/>
      <c r="KJP15" s="11"/>
      <c r="KJQ15" s="11"/>
      <c r="KJR15" s="11"/>
      <c r="KJS15" s="11"/>
      <c r="KJT15" s="11"/>
      <c r="KJU15" s="11"/>
      <c r="KJV15" s="11"/>
      <c r="KJW15" s="11"/>
      <c r="KJX15" s="11"/>
      <c r="KJY15" s="11"/>
      <c r="KJZ15" s="11"/>
      <c r="KKA15" s="11"/>
      <c r="KKB15" s="11"/>
      <c r="KKC15" s="11"/>
      <c r="KKD15" s="11"/>
      <c r="KKE15" s="11"/>
      <c r="KKF15" s="11"/>
      <c r="KKG15" s="11"/>
      <c r="KKH15" s="11"/>
      <c r="KKI15" s="11"/>
      <c r="KKJ15" s="11"/>
      <c r="KKK15" s="11"/>
      <c r="KKL15" s="11"/>
      <c r="KKM15" s="11"/>
      <c r="KKN15" s="11"/>
      <c r="KKO15" s="11"/>
      <c r="KKP15" s="11"/>
      <c r="KKQ15" s="11"/>
      <c r="KKR15" s="11"/>
      <c r="KKS15" s="11"/>
      <c r="KKT15" s="11"/>
      <c r="KKU15" s="11"/>
      <c r="KKV15" s="11"/>
      <c r="KKW15" s="11"/>
      <c r="KKX15" s="11"/>
      <c r="KKY15" s="11"/>
      <c r="KKZ15" s="11"/>
      <c r="KLA15" s="11"/>
      <c r="KLB15" s="11"/>
      <c r="KLC15" s="11"/>
      <c r="KLD15" s="11"/>
      <c r="KLE15" s="11"/>
      <c r="KLF15" s="11"/>
      <c r="KLG15" s="11"/>
      <c r="KLH15" s="11"/>
      <c r="KLI15" s="11"/>
      <c r="KLJ15" s="11"/>
      <c r="KLK15" s="11"/>
      <c r="KLL15" s="11"/>
      <c r="KLM15" s="11"/>
      <c r="KLN15" s="11"/>
      <c r="KLO15" s="11"/>
      <c r="KLP15" s="11"/>
      <c r="KLQ15" s="11"/>
      <c r="KLR15" s="11"/>
      <c r="KLS15" s="11"/>
      <c r="KLT15" s="11"/>
      <c r="KLU15" s="11"/>
      <c r="KLV15" s="11"/>
      <c r="KLW15" s="11"/>
      <c r="KLX15" s="11"/>
      <c r="KLY15" s="11"/>
      <c r="KLZ15" s="11"/>
      <c r="KMA15" s="11"/>
      <c r="KMB15" s="11"/>
      <c r="KMC15" s="11"/>
      <c r="KMD15" s="11"/>
      <c r="KME15" s="11"/>
      <c r="KMF15" s="11"/>
      <c r="KMG15" s="11"/>
      <c r="KMH15" s="11"/>
      <c r="KMI15" s="11"/>
      <c r="KMJ15" s="11"/>
      <c r="KMK15" s="11"/>
      <c r="KML15" s="11"/>
      <c r="KMM15" s="11"/>
      <c r="KMN15" s="11"/>
      <c r="KMO15" s="11"/>
      <c r="KMP15" s="11"/>
      <c r="KMQ15" s="11"/>
      <c r="KMR15" s="11"/>
      <c r="KMS15" s="11"/>
      <c r="KMT15" s="11"/>
      <c r="KMU15" s="11"/>
      <c r="KMV15" s="11"/>
      <c r="KMW15" s="11"/>
      <c r="KMX15" s="11"/>
      <c r="KMY15" s="11"/>
      <c r="KMZ15" s="11"/>
      <c r="KNA15" s="11"/>
      <c r="KNB15" s="11"/>
      <c r="KNC15" s="11"/>
      <c r="KND15" s="11"/>
      <c r="KNE15" s="11"/>
      <c r="KNF15" s="11"/>
      <c r="KNG15" s="11"/>
      <c r="KNH15" s="11"/>
      <c r="KNI15" s="11"/>
      <c r="KNJ15" s="11"/>
      <c r="KNK15" s="11"/>
      <c r="KNL15" s="11"/>
      <c r="KNM15" s="11"/>
      <c r="KNN15" s="11"/>
      <c r="KNO15" s="11"/>
      <c r="KNP15" s="11"/>
      <c r="KNQ15" s="11"/>
      <c r="KNR15" s="11"/>
      <c r="KNS15" s="11"/>
      <c r="KNT15" s="11"/>
      <c r="KNU15" s="11"/>
      <c r="KNV15" s="11"/>
      <c r="KNW15" s="11"/>
      <c r="KNX15" s="11"/>
      <c r="KNY15" s="11"/>
      <c r="KNZ15" s="11"/>
      <c r="KOA15" s="11"/>
      <c r="KOB15" s="11"/>
      <c r="KOC15" s="11"/>
      <c r="KOD15" s="11"/>
      <c r="KOE15" s="11"/>
      <c r="KOF15" s="11"/>
      <c r="KOG15" s="11"/>
      <c r="KOH15" s="11"/>
      <c r="KOI15" s="11"/>
      <c r="KOJ15" s="11"/>
      <c r="KOK15" s="11"/>
      <c r="KOL15" s="11"/>
      <c r="KOM15" s="11"/>
      <c r="KON15" s="11"/>
      <c r="KOO15" s="11"/>
      <c r="KOP15" s="11"/>
      <c r="KOQ15" s="11"/>
      <c r="KOR15" s="11"/>
      <c r="KOS15" s="11"/>
      <c r="KOT15" s="11"/>
      <c r="KOU15" s="11"/>
      <c r="KOV15" s="11"/>
      <c r="KOW15" s="11"/>
      <c r="KOX15" s="11"/>
      <c r="KOY15" s="11"/>
      <c r="KOZ15" s="11"/>
      <c r="KPA15" s="11"/>
      <c r="KPB15" s="11"/>
      <c r="KPC15" s="11"/>
      <c r="KPD15" s="11"/>
      <c r="KPE15" s="11"/>
      <c r="KPF15" s="11"/>
      <c r="KPG15" s="11"/>
      <c r="KPH15" s="11"/>
      <c r="KPI15" s="11"/>
      <c r="KPJ15" s="11"/>
      <c r="KPK15" s="11"/>
      <c r="KPL15" s="11"/>
      <c r="KPM15" s="11"/>
      <c r="KPN15" s="11"/>
      <c r="KPO15" s="11"/>
      <c r="KPP15" s="11"/>
      <c r="KPQ15" s="11"/>
      <c r="KPR15" s="11"/>
      <c r="KPS15" s="11"/>
      <c r="KPT15" s="11"/>
      <c r="KPU15" s="11"/>
      <c r="KPV15" s="11"/>
      <c r="KPW15" s="11"/>
      <c r="KPX15" s="11"/>
      <c r="KPY15" s="11"/>
      <c r="KPZ15" s="11"/>
      <c r="KQA15" s="11"/>
      <c r="KQB15" s="11"/>
      <c r="KQC15" s="11"/>
      <c r="KQD15" s="11"/>
      <c r="KQE15" s="11"/>
      <c r="KQF15" s="11"/>
      <c r="KQG15" s="11"/>
      <c r="KQH15" s="11"/>
      <c r="KQI15" s="11"/>
      <c r="KQJ15" s="11"/>
      <c r="KQK15" s="11"/>
      <c r="KQL15" s="11"/>
      <c r="KQM15" s="11"/>
      <c r="KQN15" s="11"/>
      <c r="KQO15" s="11"/>
      <c r="KQP15" s="11"/>
      <c r="KQQ15" s="11"/>
      <c r="KQR15" s="11"/>
      <c r="KQS15" s="11"/>
      <c r="KQT15" s="11"/>
      <c r="KQU15" s="11"/>
      <c r="KQV15" s="11"/>
      <c r="KQW15" s="11"/>
      <c r="KQX15" s="11"/>
      <c r="KQY15" s="11"/>
      <c r="KQZ15" s="11"/>
      <c r="KRA15" s="11"/>
      <c r="KRB15" s="11"/>
      <c r="KRC15" s="11"/>
      <c r="KRD15" s="11"/>
      <c r="KRE15" s="11"/>
      <c r="KRF15" s="11"/>
      <c r="KRG15" s="11"/>
      <c r="KRH15" s="11"/>
      <c r="KRI15" s="11"/>
      <c r="KRJ15" s="11"/>
      <c r="KRK15" s="11"/>
      <c r="KRL15" s="11"/>
      <c r="KRM15" s="11"/>
      <c r="KRN15" s="11"/>
      <c r="KRO15" s="11"/>
      <c r="KRP15" s="11"/>
      <c r="KRQ15" s="11"/>
      <c r="KRR15" s="11"/>
      <c r="KRS15" s="11"/>
      <c r="KRT15" s="11"/>
      <c r="KRU15" s="11"/>
      <c r="KRV15" s="11"/>
      <c r="KRW15" s="11"/>
      <c r="KRX15" s="11"/>
      <c r="KRY15" s="11"/>
      <c r="KRZ15" s="11"/>
      <c r="KSA15" s="11"/>
      <c r="KSB15" s="11"/>
      <c r="KSC15" s="11"/>
      <c r="KSD15" s="11"/>
      <c r="KSE15" s="11"/>
      <c r="KSF15" s="11"/>
      <c r="KSG15" s="11"/>
      <c r="KSH15" s="11"/>
      <c r="KSI15" s="11"/>
      <c r="KSJ15" s="11"/>
      <c r="KSK15" s="11"/>
      <c r="KSL15" s="11"/>
      <c r="KSM15" s="11"/>
      <c r="KSN15" s="11"/>
      <c r="KSO15" s="11"/>
      <c r="KSP15" s="11"/>
      <c r="KSQ15" s="11"/>
      <c r="KSR15" s="11"/>
      <c r="KSS15" s="11"/>
      <c r="KST15" s="11"/>
      <c r="KSU15" s="11"/>
      <c r="KSV15" s="11"/>
      <c r="KSW15" s="11"/>
      <c r="KSX15" s="11"/>
      <c r="KSY15" s="11"/>
      <c r="KSZ15" s="11"/>
      <c r="KTA15" s="11"/>
      <c r="KTB15" s="11"/>
      <c r="KTC15" s="11"/>
      <c r="KTD15" s="11"/>
      <c r="KTE15" s="11"/>
      <c r="KTF15" s="11"/>
      <c r="KTG15" s="11"/>
      <c r="KTH15" s="11"/>
      <c r="KTI15" s="11"/>
      <c r="KTJ15" s="11"/>
      <c r="KTK15" s="11"/>
      <c r="KTL15" s="11"/>
      <c r="KTM15" s="11"/>
      <c r="KTN15" s="11"/>
      <c r="KTO15" s="11"/>
      <c r="KTP15" s="11"/>
      <c r="KTQ15" s="11"/>
      <c r="KTR15" s="11"/>
      <c r="KTS15" s="11"/>
      <c r="KTT15" s="11"/>
      <c r="KTU15" s="11"/>
      <c r="KTV15" s="11"/>
      <c r="KTW15" s="11"/>
      <c r="KTX15" s="11"/>
      <c r="KTY15" s="11"/>
      <c r="KTZ15" s="11"/>
      <c r="KUA15" s="11"/>
      <c r="KUB15" s="11"/>
      <c r="KUC15" s="11"/>
      <c r="KUD15" s="11"/>
      <c r="KUE15" s="11"/>
      <c r="KUF15" s="11"/>
      <c r="KUG15" s="11"/>
      <c r="KUH15" s="11"/>
      <c r="KUI15" s="11"/>
      <c r="KUJ15" s="11"/>
      <c r="KUK15" s="11"/>
      <c r="KUL15" s="11"/>
      <c r="KUM15" s="11"/>
      <c r="KUN15" s="11"/>
      <c r="KUO15" s="11"/>
      <c r="KUP15" s="11"/>
      <c r="KUQ15" s="11"/>
      <c r="KUR15" s="11"/>
      <c r="KUS15" s="11"/>
      <c r="KUT15" s="11"/>
      <c r="KUU15" s="11"/>
      <c r="KUV15" s="11"/>
      <c r="KUW15" s="11"/>
      <c r="KUX15" s="11"/>
      <c r="KUY15" s="11"/>
      <c r="KUZ15" s="11"/>
      <c r="KVA15" s="11"/>
      <c r="KVB15" s="11"/>
      <c r="KVC15" s="11"/>
      <c r="KVD15" s="11"/>
      <c r="KVE15" s="11"/>
      <c r="KVF15" s="11"/>
      <c r="KVG15" s="11"/>
      <c r="KVH15" s="11"/>
      <c r="KVI15" s="11"/>
      <c r="KVJ15" s="11"/>
      <c r="KVK15" s="11"/>
      <c r="KVL15" s="11"/>
      <c r="KVM15" s="11"/>
      <c r="KVN15" s="11"/>
      <c r="KVO15" s="11"/>
      <c r="KVP15" s="11"/>
      <c r="KVQ15" s="11"/>
      <c r="KVR15" s="11"/>
      <c r="KVS15" s="11"/>
      <c r="KVT15" s="11"/>
      <c r="KVU15" s="11"/>
      <c r="KVV15" s="11"/>
      <c r="KVW15" s="11"/>
      <c r="KVX15" s="11"/>
      <c r="KVY15" s="11"/>
      <c r="KVZ15" s="11"/>
      <c r="KWA15" s="11"/>
      <c r="KWB15" s="11"/>
      <c r="KWC15" s="11"/>
      <c r="KWD15" s="11"/>
      <c r="KWE15" s="11"/>
      <c r="KWF15" s="11"/>
      <c r="KWG15" s="11"/>
      <c r="KWH15" s="11"/>
      <c r="KWI15" s="11"/>
      <c r="KWJ15" s="11"/>
      <c r="KWK15" s="11"/>
      <c r="KWL15" s="11"/>
      <c r="KWM15" s="11"/>
      <c r="KWN15" s="11"/>
      <c r="KWO15" s="11"/>
      <c r="KWP15" s="11"/>
      <c r="KWQ15" s="11"/>
      <c r="KWR15" s="11"/>
      <c r="KWS15" s="11"/>
      <c r="KWT15" s="11"/>
      <c r="KWU15" s="11"/>
      <c r="KWV15" s="11"/>
      <c r="KWW15" s="11"/>
      <c r="KWX15" s="11"/>
      <c r="KWY15" s="11"/>
      <c r="KWZ15" s="11"/>
      <c r="KXA15" s="11"/>
      <c r="KXB15" s="11"/>
      <c r="KXC15" s="11"/>
      <c r="KXD15" s="11"/>
      <c r="KXE15" s="11"/>
      <c r="KXF15" s="11"/>
      <c r="KXG15" s="11"/>
      <c r="KXH15" s="11"/>
      <c r="KXI15" s="11"/>
      <c r="KXJ15" s="11"/>
      <c r="KXK15" s="11"/>
      <c r="KXL15" s="11"/>
      <c r="KXM15" s="11"/>
      <c r="KXN15" s="11"/>
      <c r="KXO15" s="11"/>
      <c r="KXP15" s="11"/>
      <c r="KXQ15" s="11"/>
      <c r="KXR15" s="11"/>
      <c r="KXS15" s="11"/>
      <c r="KXT15" s="11"/>
      <c r="KXU15" s="11"/>
      <c r="KXV15" s="11"/>
      <c r="KXW15" s="11"/>
      <c r="KXX15" s="11"/>
      <c r="KXY15" s="11"/>
      <c r="KXZ15" s="11"/>
      <c r="KYA15" s="11"/>
      <c r="KYB15" s="11"/>
      <c r="KYC15" s="11"/>
      <c r="KYD15" s="11"/>
      <c r="KYE15" s="11"/>
      <c r="KYF15" s="11"/>
      <c r="KYG15" s="11"/>
      <c r="KYH15" s="11"/>
      <c r="KYI15" s="11"/>
      <c r="KYJ15" s="11"/>
      <c r="KYK15" s="11"/>
      <c r="KYL15" s="11"/>
      <c r="KYM15" s="11"/>
      <c r="KYN15" s="11"/>
      <c r="KYO15" s="11"/>
      <c r="KYP15" s="11"/>
      <c r="KYQ15" s="11"/>
      <c r="KYR15" s="11"/>
      <c r="KYS15" s="11"/>
      <c r="KYT15" s="11"/>
      <c r="KYU15" s="11"/>
      <c r="KYV15" s="11"/>
      <c r="KYW15" s="11"/>
      <c r="KYX15" s="11"/>
      <c r="KYY15" s="11"/>
      <c r="KYZ15" s="11"/>
      <c r="KZA15" s="11"/>
      <c r="KZB15" s="11"/>
      <c r="KZC15" s="11"/>
      <c r="KZD15" s="11"/>
      <c r="KZE15" s="11"/>
      <c r="KZF15" s="11"/>
      <c r="KZG15" s="11"/>
      <c r="KZH15" s="11"/>
      <c r="KZI15" s="11"/>
      <c r="KZJ15" s="11"/>
      <c r="KZK15" s="11"/>
      <c r="KZL15" s="11"/>
      <c r="KZM15" s="11"/>
      <c r="KZN15" s="11"/>
      <c r="KZO15" s="11"/>
      <c r="KZP15" s="11"/>
      <c r="KZQ15" s="11"/>
      <c r="KZR15" s="11"/>
      <c r="KZS15" s="11"/>
      <c r="KZT15" s="11"/>
      <c r="KZU15" s="11"/>
      <c r="KZV15" s="11"/>
      <c r="KZW15" s="11"/>
      <c r="KZX15" s="11"/>
      <c r="KZY15" s="11"/>
      <c r="KZZ15" s="11"/>
      <c r="LAA15" s="11"/>
      <c r="LAB15" s="11"/>
      <c r="LAC15" s="11"/>
      <c r="LAD15" s="11"/>
      <c r="LAE15" s="11"/>
      <c r="LAF15" s="11"/>
      <c r="LAG15" s="11"/>
      <c r="LAH15" s="11"/>
      <c r="LAI15" s="11"/>
      <c r="LAJ15" s="11"/>
      <c r="LAK15" s="11"/>
      <c r="LAL15" s="11"/>
      <c r="LAM15" s="11"/>
      <c r="LAN15" s="11"/>
      <c r="LAO15" s="11"/>
      <c r="LAP15" s="11"/>
      <c r="LAQ15" s="11"/>
      <c r="LAR15" s="11"/>
      <c r="LAS15" s="11"/>
      <c r="LAT15" s="11"/>
      <c r="LAU15" s="11"/>
      <c r="LAV15" s="11"/>
      <c r="LAW15" s="11"/>
      <c r="LAX15" s="11"/>
      <c r="LAY15" s="11"/>
      <c r="LAZ15" s="11"/>
      <c r="LBA15" s="11"/>
      <c r="LBB15" s="11"/>
      <c r="LBC15" s="11"/>
      <c r="LBD15" s="11"/>
      <c r="LBE15" s="11"/>
      <c r="LBF15" s="11"/>
      <c r="LBG15" s="11"/>
      <c r="LBH15" s="11"/>
      <c r="LBI15" s="11"/>
      <c r="LBJ15" s="11"/>
      <c r="LBK15" s="11"/>
      <c r="LBL15" s="11"/>
      <c r="LBM15" s="11"/>
      <c r="LBN15" s="11"/>
      <c r="LBO15" s="11"/>
      <c r="LBP15" s="11"/>
      <c r="LBQ15" s="11"/>
      <c r="LBR15" s="11"/>
      <c r="LBS15" s="11"/>
      <c r="LBT15" s="11"/>
      <c r="LBU15" s="11"/>
      <c r="LBV15" s="11"/>
      <c r="LBW15" s="11"/>
      <c r="LBX15" s="11"/>
      <c r="LBY15" s="11"/>
      <c r="LBZ15" s="11"/>
      <c r="LCA15" s="11"/>
      <c r="LCB15" s="11"/>
      <c r="LCC15" s="11"/>
      <c r="LCD15" s="11"/>
      <c r="LCE15" s="11"/>
      <c r="LCF15" s="11"/>
      <c r="LCG15" s="11"/>
      <c r="LCH15" s="11"/>
      <c r="LCI15" s="11"/>
      <c r="LCJ15" s="11"/>
      <c r="LCK15" s="11"/>
      <c r="LCL15" s="11"/>
      <c r="LCM15" s="11"/>
      <c r="LCN15" s="11"/>
      <c r="LCO15" s="11"/>
      <c r="LCP15" s="11"/>
      <c r="LCQ15" s="11"/>
      <c r="LCR15" s="11"/>
      <c r="LCS15" s="11"/>
      <c r="LCT15" s="11"/>
      <c r="LCU15" s="11"/>
      <c r="LCV15" s="11"/>
      <c r="LCW15" s="11"/>
      <c r="LCX15" s="11"/>
      <c r="LCY15" s="11"/>
      <c r="LCZ15" s="11"/>
      <c r="LDA15" s="11"/>
      <c r="LDB15" s="11"/>
      <c r="LDC15" s="11"/>
      <c r="LDD15" s="11"/>
      <c r="LDE15" s="11"/>
      <c r="LDF15" s="11"/>
      <c r="LDG15" s="11"/>
      <c r="LDH15" s="11"/>
      <c r="LDI15" s="11"/>
      <c r="LDJ15" s="11"/>
      <c r="LDK15" s="11"/>
      <c r="LDL15" s="11"/>
      <c r="LDM15" s="11"/>
      <c r="LDN15" s="11"/>
      <c r="LDO15" s="11"/>
      <c r="LDP15" s="11"/>
      <c r="LDQ15" s="11"/>
      <c r="LDR15" s="11"/>
      <c r="LDS15" s="11"/>
      <c r="LDT15" s="11"/>
      <c r="LDU15" s="11"/>
      <c r="LDV15" s="11"/>
      <c r="LDW15" s="11"/>
      <c r="LDX15" s="11"/>
      <c r="LDY15" s="11"/>
      <c r="LDZ15" s="11"/>
      <c r="LEA15" s="11"/>
      <c r="LEB15" s="11"/>
      <c r="LEC15" s="11"/>
      <c r="LED15" s="11"/>
      <c r="LEE15" s="11"/>
      <c r="LEF15" s="11"/>
      <c r="LEG15" s="11"/>
      <c r="LEH15" s="11"/>
      <c r="LEI15" s="11"/>
      <c r="LEJ15" s="11"/>
      <c r="LEK15" s="11"/>
      <c r="LEL15" s="11"/>
      <c r="LEM15" s="11"/>
      <c r="LEN15" s="11"/>
      <c r="LEO15" s="11"/>
      <c r="LEP15" s="11"/>
      <c r="LEQ15" s="11"/>
      <c r="LER15" s="11"/>
      <c r="LES15" s="11"/>
      <c r="LET15" s="11"/>
      <c r="LEU15" s="11"/>
      <c r="LEV15" s="11"/>
      <c r="LEW15" s="11"/>
      <c r="LEX15" s="11"/>
      <c r="LEY15" s="11"/>
      <c r="LEZ15" s="11"/>
      <c r="LFA15" s="11"/>
      <c r="LFB15" s="11"/>
      <c r="LFC15" s="11"/>
      <c r="LFD15" s="11"/>
      <c r="LFE15" s="11"/>
      <c r="LFF15" s="11"/>
      <c r="LFG15" s="11"/>
      <c r="LFH15" s="11"/>
      <c r="LFI15" s="11"/>
      <c r="LFJ15" s="11"/>
      <c r="LFK15" s="11"/>
      <c r="LFL15" s="11"/>
      <c r="LFM15" s="11"/>
      <c r="LFN15" s="11"/>
      <c r="LFO15" s="11"/>
      <c r="LFP15" s="11"/>
      <c r="LFQ15" s="11"/>
      <c r="LFR15" s="11"/>
      <c r="LFS15" s="11"/>
      <c r="LFT15" s="11"/>
      <c r="LFU15" s="11"/>
      <c r="LFV15" s="11"/>
      <c r="LFW15" s="11"/>
      <c r="LFX15" s="11"/>
      <c r="LFY15" s="11"/>
      <c r="LFZ15" s="11"/>
      <c r="LGA15" s="11"/>
      <c r="LGB15" s="11"/>
      <c r="LGC15" s="11"/>
      <c r="LGD15" s="11"/>
      <c r="LGE15" s="11"/>
      <c r="LGF15" s="11"/>
      <c r="LGG15" s="11"/>
      <c r="LGH15" s="11"/>
      <c r="LGI15" s="11"/>
      <c r="LGJ15" s="11"/>
      <c r="LGK15" s="11"/>
      <c r="LGL15" s="11"/>
      <c r="LGM15" s="11"/>
      <c r="LGN15" s="11"/>
      <c r="LGO15" s="11"/>
      <c r="LGP15" s="11"/>
      <c r="LGQ15" s="11"/>
      <c r="LGR15" s="11"/>
      <c r="LGS15" s="11"/>
      <c r="LGT15" s="11"/>
      <c r="LGU15" s="11"/>
      <c r="LGV15" s="11"/>
      <c r="LGW15" s="11"/>
      <c r="LGX15" s="11"/>
      <c r="LGY15" s="11"/>
      <c r="LGZ15" s="11"/>
      <c r="LHA15" s="11"/>
      <c r="LHB15" s="11"/>
      <c r="LHC15" s="11"/>
      <c r="LHD15" s="11"/>
      <c r="LHE15" s="11"/>
      <c r="LHF15" s="11"/>
      <c r="LHG15" s="11"/>
      <c r="LHH15" s="11"/>
      <c r="LHI15" s="11"/>
      <c r="LHJ15" s="11"/>
      <c r="LHK15" s="11"/>
      <c r="LHL15" s="11"/>
      <c r="LHM15" s="11"/>
      <c r="LHN15" s="11"/>
      <c r="LHO15" s="11"/>
      <c r="LHP15" s="11"/>
      <c r="LHQ15" s="11"/>
      <c r="LHR15" s="11"/>
      <c r="LHS15" s="11"/>
      <c r="LHT15" s="11"/>
      <c r="LHU15" s="11"/>
      <c r="LHV15" s="11"/>
      <c r="LHW15" s="11"/>
      <c r="LHX15" s="11"/>
      <c r="LHY15" s="11"/>
      <c r="LHZ15" s="11"/>
      <c r="LIA15" s="11"/>
      <c r="LIB15" s="11"/>
      <c r="LIC15" s="11"/>
      <c r="LID15" s="11"/>
      <c r="LIE15" s="11"/>
      <c r="LIF15" s="11"/>
      <c r="LIG15" s="11"/>
      <c r="LIH15" s="11"/>
      <c r="LII15" s="11"/>
      <c r="LIJ15" s="11"/>
      <c r="LIK15" s="11"/>
      <c r="LIL15" s="11"/>
      <c r="LIM15" s="11"/>
      <c r="LIN15" s="11"/>
      <c r="LIO15" s="11"/>
      <c r="LIP15" s="11"/>
      <c r="LIQ15" s="11"/>
      <c r="LIR15" s="11"/>
      <c r="LIS15" s="11"/>
      <c r="LIT15" s="11"/>
      <c r="LIU15" s="11"/>
      <c r="LIV15" s="11"/>
      <c r="LIW15" s="11"/>
      <c r="LIX15" s="11"/>
      <c r="LIY15" s="11"/>
      <c r="LIZ15" s="11"/>
      <c r="LJA15" s="11"/>
      <c r="LJB15" s="11"/>
      <c r="LJC15" s="11"/>
      <c r="LJD15" s="11"/>
      <c r="LJE15" s="11"/>
      <c r="LJF15" s="11"/>
      <c r="LJG15" s="11"/>
      <c r="LJH15" s="11"/>
      <c r="LJI15" s="11"/>
      <c r="LJJ15" s="11"/>
      <c r="LJK15" s="11"/>
      <c r="LJL15" s="11"/>
      <c r="LJM15" s="11"/>
      <c r="LJN15" s="11"/>
      <c r="LJO15" s="11"/>
      <c r="LJP15" s="11"/>
      <c r="LJQ15" s="11"/>
      <c r="LJR15" s="11"/>
      <c r="LJS15" s="11"/>
      <c r="LJT15" s="11"/>
      <c r="LJU15" s="11"/>
      <c r="LJV15" s="11"/>
      <c r="LJW15" s="11"/>
      <c r="LJX15" s="11"/>
      <c r="LJY15" s="11"/>
      <c r="LJZ15" s="11"/>
      <c r="LKA15" s="11"/>
      <c r="LKB15" s="11"/>
      <c r="LKC15" s="11"/>
      <c r="LKD15" s="11"/>
      <c r="LKE15" s="11"/>
      <c r="LKF15" s="11"/>
      <c r="LKG15" s="11"/>
      <c r="LKH15" s="11"/>
      <c r="LKI15" s="11"/>
      <c r="LKJ15" s="11"/>
      <c r="LKK15" s="11"/>
      <c r="LKL15" s="11"/>
      <c r="LKM15" s="11"/>
      <c r="LKN15" s="11"/>
      <c r="LKO15" s="11"/>
      <c r="LKP15" s="11"/>
      <c r="LKQ15" s="11"/>
      <c r="LKR15" s="11"/>
      <c r="LKS15" s="11"/>
      <c r="LKT15" s="11"/>
      <c r="LKU15" s="11"/>
      <c r="LKV15" s="11"/>
      <c r="LKW15" s="11"/>
      <c r="LKX15" s="11"/>
      <c r="LKY15" s="11"/>
      <c r="LKZ15" s="11"/>
      <c r="LLA15" s="11"/>
      <c r="LLB15" s="11"/>
      <c r="LLC15" s="11"/>
      <c r="LLD15" s="11"/>
      <c r="LLE15" s="11"/>
      <c r="LLF15" s="11"/>
      <c r="LLG15" s="11"/>
      <c r="LLH15" s="11"/>
      <c r="LLI15" s="11"/>
      <c r="LLJ15" s="11"/>
      <c r="LLK15" s="11"/>
      <c r="LLL15" s="11"/>
      <c r="LLM15" s="11"/>
      <c r="LLN15" s="11"/>
      <c r="LLO15" s="11"/>
      <c r="LLP15" s="11"/>
      <c r="LLQ15" s="11"/>
      <c r="LLR15" s="11"/>
      <c r="LLS15" s="11"/>
      <c r="LLT15" s="11"/>
      <c r="LLU15" s="11"/>
      <c r="LLV15" s="11"/>
      <c r="LLW15" s="11"/>
      <c r="LLX15" s="11"/>
      <c r="LLY15" s="11"/>
      <c r="LLZ15" s="11"/>
      <c r="LMA15" s="11"/>
      <c r="LMB15" s="11"/>
      <c r="LMC15" s="11"/>
      <c r="LMD15" s="11"/>
      <c r="LME15" s="11"/>
      <c r="LMF15" s="11"/>
      <c r="LMG15" s="11"/>
      <c r="LMH15" s="11"/>
      <c r="LMI15" s="11"/>
      <c r="LMJ15" s="11"/>
      <c r="LMK15" s="11"/>
      <c r="LML15" s="11"/>
      <c r="LMM15" s="11"/>
      <c r="LMN15" s="11"/>
      <c r="LMO15" s="11"/>
      <c r="LMP15" s="11"/>
      <c r="LMQ15" s="11"/>
      <c r="LMR15" s="11"/>
      <c r="LMS15" s="11"/>
      <c r="LMT15" s="11"/>
      <c r="LMU15" s="11"/>
      <c r="LMV15" s="11"/>
      <c r="LMW15" s="11"/>
      <c r="LMX15" s="11"/>
      <c r="LMY15" s="11"/>
      <c r="LMZ15" s="11"/>
      <c r="LNA15" s="11"/>
      <c r="LNB15" s="11"/>
      <c r="LNC15" s="11"/>
      <c r="LND15" s="11"/>
      <c r="LNE15" s="11"/>
      <c r="LNF15" s="11"/>
      <c r="LNG15" s="11"/>
      <c r="LNH15" s="11"/>
      <c r="LNI15" s="11"/>
      <c r="LNJ15" s="11"/>
      <c r="LNK15" s="11"/>
      <c r="LNL15" s="11"/>
      <c r="LNM15" s="11"/>
      <c r="LNN15" s="11"/>
      <c r="LNO15" s="11"/>
      <c r="LNP15" s="11"/>
      <c r="LNQ15" s="11"/>
      <c r="LNR15" s="11"/>
      <c r="LNS15" s="11"/>
      <c r="LNT15" s="11"/>
      <c r="LNU15" s="11"/>
      <c r="LNV15" s="11"/>
      <c r="LNW15" s="11"/>
      <c r="LNX15" s="11"/>
      <c r="LNY15" s="11"/>
      <c r="LNZ15" s="11"/>
      <c r="LOA15" s="11"/>
      <c r="LOB15" s="11"/>
      <c r="LOC15" s="11"/>
      <c r="LOD15" s="11"/>
      <c r="LOE15" s="11"/>
      <c r="LOF15" s="11"/>
      <c r="LOG15" s="11"/>
      <c r="LOH15" s="11"/>
      <c r="LOI15" s="11"/>
      <c r="LOJ15" s="11"/>
      <c r="LOK15" s="11"/>
      <c r="LOL15" s="11"/>
      <c r="LOM15" s="11"/>
      <c r="LON15" s="11"/>
      <c r="LOO15" s="11"/>
      <c r="LOP15" s="11"/>
      <c r="LOQ15" s="11"/>
      <c r="LOR15" s="11"/>
      <c r="LOS15" s="11"/>
      <c r="LOT15" s="11"/>
      <c r="LOU15" s="11"/>
      <c r="LOV15" s="11"/>
      <c r="LOW15" s="11"/>
      <c r="LOX15" s="11"/>
      <c r="LOY15" s="11"/>
      <c r="LOZ15" s="11"/>
      <c r="LPA15" s="11"/>
      <c r="LPB15" s="11"/>
      <c r="LPC15" s="11"/>
      <c r="LPD15" s="11"/>
      <c r="LPE15" s="11"/>
      <c r="LPF15" s="11"/>
      <c r="LPG15" s="11"/>
      <c r="LPH15" s="11"/>
      <c r="LPI15" s="11"/>
      <c r="LPJ15" s="11"/>
      <c r="LPK15" s="11"/>
      <c r="LPL15" s="11"/>
      <c r="LPM15" s="11"/>
      <c r="LPN15" s="11"/>
      <c r="LPO15" s="11"/>
      <c r="LPP15" s="11"/>
      <c r="LPQ15" s="11"/>
      <c r="LPR15" s="11"/>
      <c r="LPS15" s="11"/>
      <c r="LPT15" s="11"/>
      <c r="LPU15" s="11"/>
      <c r="LPV15" s="11"/>
      <c r="LPW15" s="11"/>
      <c r="LPX15" s="11"/>
      <c r="LPY15" s="11"/>
      <c r="LPZ15" s="11"/>
      <c r="LQA15" s="11"/>
      <c r="LQB15" s="11"/>
      <c r="LQC15" s="11"/>
      <c r="LQD15" s="11"/>
      <c r="LQE15" s="11"/>
      <c r="LQF15" s="11"/>
      <c r="LQG15" s="11"/>
      <c r="LQH15" s="11"/>
      <c r="LQI15" s="11"/>
      <c r="LQJ15" s="11"/>
      <c r="LQK15" s="11"/>
      <c r="LQL15" s="11"/>
      <c r="LQM15" s="11"/>
      <c r="LQN15" s="11"/>
      <c r="LQO15" s="11"/>
      <c r="LQP15" s="11"/>
      <c r="LQQ15" s="11"/>
      <c r="LQR15" s="11"/>
      <c r="LQS15" s="11"/>
      <c r="LQT15" s="11"/>
      <c r="LQU15" s="11"/>
      <c r="LQV15" s="11"/>
      <c r="LQW15" s="11"/>
      <c r="LQX15" s="11"/>
      <c r="LQY15" s="11"/>
      <c r="LQZ15" s="11"/>
      <c r="LRA15" s="11"/>
      <c r="LRB15" s="11"/>
      <c r="LRC15" s="11"/>
      <c r="LRD15" s="11"/>
      <c r="LRE15" s="11"/>
      <c r="LRF15" s="11"/>
      <c r="LRG15" s="11"/>
      <c r="LRH15" s="11"/>
      <c r="LRI15" s="11"/>
      <c r="LRJ15" s="11"/>
      <c r="LRK15" s="11"/>
      <c r="LRL15" s="11"/>
      <c r="LRM15" s="11"/>
      <c r="LRN15" s="11"/>
      <c r="LRO15" s="11"/>
      <c r="LRP15" s="11"/>
      <c r="LRQ15" s="11"/>
      <c r="LRR15" s="11"/>
      <c r="LRS15" s="11"/>
      <c r="LRT15" s="11"/>
      <c r="LRU15" s="11"/>
      <c r="LRV15" s="11"/>
      <c r="LRW15" s="11"/>
      <c r="LRX15" s="11"/>
      <c r="LRY15" s="11"/>
      <c r="LRZ15" s="11"/>
      <c r="LSA15" s="11"/>
      <c r="LSB15" s="11"/>
      <c r="LSC15" s="11"/>
      <c r="LSD15" s="11"/>
      <c r="LSE15" s="11"/>
      <c r="LSF15" s="11"/>
      <c r="LSG15" s="11"/>
      <c r="LSH15" s="11"/>
      <c r="LSI15" s="11"/>
      <c r="LSJ15" s="11"/>
      <c r="LSK15" s="11"/>
      <c r="LSL15" s="11"/>
      <c r="LSM15" s="11"/>
      <c r="LSN15" s="11"/>
      <c r="LSO15" s="11"/>
      <c r="LSP15" s="11"/>
      <c r="LSQ15" s="11"/>
      <c r="LSR15" s="11"/>
      <c r="LSS15" s="11"/>
      <c r="LST15" s="11"/>
      <c r="LSU15" s="11"/>
      <c r="LSV15" s="11"/>
      <c r="LSW15" s="11"/>
      <c r="LSX15" s="11"/>
      <c r="LSY15" s="11"/>
      <c r="LSZ15" s="11"/>
      <c r="LTA15" s="11"/>
      <c r="LTB15" s="11"/>
      <c r="LTC15" s="11"/>
      <c r="LTD15" s="11"/>
      <c r="LTE15" s="11"/>
      <c r="LTF15" s="11"/>
      <c r="LTG15" s="11"/>
      <c r="LTH15" s="11"/>
      <c r="LTI15" s="11"/>
      <c r="LTJ15" s="11"/>
      <c r="LTK15" s="11"/>
      <c r="LTL15" s="11"/>
      <c r="LTM15" s="11"/>
      <c r="LTN15" s="11"/>
      <c r="LTO15" s="11"/>
      <c r="LTP15" s="11"/>
      <c r="LTQ15" s="11"/>
      <c r="LTR15" s="11"/>
      <c r="LTS15" s="11"/>
      <c r="LTT15" s="11"/>
      <c r="LTU15" s="11"/>
      <c r="LTV15" s="11"/>
      <c r="LTW15" s="11"/>
      <c r="LTX15" s="11"/>
      <c r="LTY15" s="11"/>
      <c r="LTZ15" s="11"/>
      <c r="LUA15" s="11"/>
      <c r="LUB15" s="11"/>
      <c r="LUC15" s="11"/>
      <c r="LUD15" s="11"/>
      <c r="LUE15" s="11"/>
      <c r="LUF15" s="11"/>
      <c r="LUG15" s="11"/>
      <c r="LUH15" s="11"/>
      <c r="LUI15" s="11"/>
      <c r="LUJ15" s="11"/>
      <c r="LUK15" s="11"/>
      <c r="LUL15" s="11"/>
      <c r="LUM15" s="11"/>
      <c r="LUN15" s="11"/>
      <c r="LUO15" s="11"/>
      <c r="LUP15" s="11"/>
      <c r="LUQ15" s="11"/>
      <c r="LUR15" s="11"/>
      <c r="LUS15" s="11"/>
      <c r="LUT15" s="11"/>
      <c r="LUU15" s="11"/>
      <c r="LUV15" s="11"/>
      <c r="LUW15" s="11"/>
      <c r="LUX15" s="11"/>
      <c r="LUY15" s="11"/>
      <c r="LUZ15" s="11"/>
      <c r="LVA15" s="11"/>
      <c r="LVB15" s="11"/>
      <c r="LVC15" s="11"/>
      <c r="LVD15" s="11"/>
      <c r="LVE15" s="11"/>
      <c r="LVF15" s="11"/>
      <c r="LVG15" s="11"/>
      <c r="LVH15" s="11"/>
      <c r="LVI15" s="11"/>
      <c r="LVJ15" s="11"/>
      <c r="LVK15" s="11"/>
      <c r="LVL15" s="11"/>
      <c r="LVM15" s="11"/>
      <c r="LVN15" s="11"/>
      <c r="LVO15" s="11"/>
      <c r="LVP15" s="11"/>
      <c r="LVQ15" s="11"/>
      <c r="LVR15" s="11"/>
      <c r="LVS15" s="11"/>
      <c r="LVT15" s="11"/>
      <c r="LVU15" s="11"/>
      <c r="LVV15" s="11"/>
      <c r="LVW15" s="11"/>
      <c r="LVX15" s="11"/>
      <c r="LVY15" s="11"/>
      <c r="LVZ15" s="11"/>
      <c r="LWA15" s="11"/>
      <c r="LWB15" s="11"/>
      <c r="LWC15" s="11"/>
      <c r="LWD15" s="11"/>
      <c r="LWE15" s="11"/>
      <c r="LWF15" s="11"/>
      <c r="LWG15" s="11"/>
      <c r="LWH15" s="11"/>
      <c r="LWI15" s="11"/>
      <c r="LWJ15" s="11"/>
      <c r="LWK15" s="11"/>
      <c r="LWL15" s="11"/>
      <c r="LWM15" s="11"/>
      <c r="LWN15" s="11"/>
      <c r="LWO15" s="11"/>
      <c r="LWP15" s="11"/>
      <c r="LWQ15" s="11"/>
      <c r="LWR15" s="11"/>
      <c r="LWS15" s="11"/>
      <c r="LWT15" s="11"/>
      <c r="LWU15" s="11"/>
      <c r="LWV15" s="11"/>
      <c r="LWW15" s="11"/>
      <c r="LWX15" s="11"/>
      <c r="LWY15" s="11"/>
      <c r="LWZ15" s="11"/>
      <c r="LXA15" s="11"/>
      <c r="LXB15" s="11"/>
      <c r="LXC15" s="11"/>
      <c r="LXD15" s="11"/>
      <c r="LXE15" s="11"/>
      <c r="LXF15" s="11"/>
      <c r="LXG15" s="11"/>
      <c r="LXH15" s="11"/>
      <c r="LXI15" s="11"/>
      <c r="LXJ15" s="11"/>
      <c r="LXK15" s="11"/>
      <c r="LXL15" s="11"/>
      <c r="LXM15" s="11"/>
      <c r="LXN15" s="11"/>
      <c r="LXO15" s="11"/>
      <c r="LXP15" s="11"/>
      <c r="LXQ15" s="11"/>
      <c r="LXR15" s="11"/>
      <c r="LXS15" s="11"/>
      <c r="LXT15" s="11"/>
      <c r="LXU15" s="11"/>
      <c r="LXV15" s="11"/>
      <c r="LXW15" s="11"/>
      <c r="LXX15" s="11"/>
      <c r="LXY15" s="11"/>
      <c r="LXZ15" s="11"/>
      <c r="LYA15" s="11"/>
      <c r="LYB15" s="11"/>
      <c r="LYC15" s="11"/>
      <c r="LYD15" s="11"/>
      <c r="LYE15" s="11"/>
      <c r="LYF15" s="11"/>
      <c r="LYG15" s="11"/>
      <c r="LYH15" s="11"/>
      <c r="LYI15" s="11"/>
      <c r="LYJ15" s="11"/>
      <c r="LYK15" s="11"/>
      <c r="LYL15" s="11"/>
      <c r="LYM15" s="11"/>
      <c r="LYN15" s="11"/>
      <c r="LYO15" s="11"/>
      <c r="LYP15" s="11"/>
      <c r="LYQ15" s="11"/>
      <c r="LYR15" s="11"/>
      <c r="LYS15" s="11"/>
      <c r="LYT15" s="11"/>
      <c r="LYU15" s="11"/>
      <c r="LYV15" s="11"/>
      <c r="LYW15" s="11"/>
      <c r="LYX15" s="11"/>
      <c r="LYY15" s="11"/>
      <c r="LYZ15" s="11"/>
      <c r="LZA15" s="11"/>
      <c r="LZB15" s="11"/>
      <c r="LZC15" s="11"/>
      <c r="LZD15" s="11"/>
      <c r="LZE15" s="11"/>
      <c r="LZF15" s="11"/>
      <c r="LZG15" s="11"/>
      <c r="LZH15" s="11"/>
      <c r="LZI15" s="11"/>
      <c r="LZJ15" s="11"/>
      <c r="LZK15" s="11"/>
      <c r="LZL15" s="11"/>
      <c r="LZM15" s="11"/>
      <c r="LZN15" s="11"/>
      <c r="LZO15" s="11"/>
      <c r="LZP15" s="11"/>
      <c r="LZQ15" s="11"/>
      <c r="LZR15" s="11"/>
      <c r="LZS15" s="11"/>
      <c r="LZT15" s="11"/>
      <c r="LZU15" s="11"/>
      <c r="LZV15" s="11"/>
      <c r="LZW15" s="11"/>
      <c r="LZX15" s="11"/>
      <c r="LZY15" s="11"/>
      <c r="LZZ15" s="11"/>
      <c r="MAA15" s="11"/>
      <c r="MAB15" s="11"/>
      <c r="MAC15" s="11"/>
      <c r="MAD15" s="11"/>
      <c r="MAE15" s="11"/>
      <c r="MAF15" s="11"/>
      <c r="MAG15" s="11"/>
      <c r="MAH15" s="11"/>
      <c r="MAI15" s="11"/>
      <c r="MAJ15" s="11"/>
      <c r="MAK15" s="11"/>
      <c r="MAL15" s="11"/>
      <c r="MAM15" s="11"/>
      <c r="MAN15" s="11"/>
      <c r="MAO15" s="11"/>
      <c r="MAP15" s="11"/>
      <c r="MAQ15" s="11"/>
      <c r="MAR15" s="11"/>
      <c r="MAS15" s="11"/>
      <c r="MAT15" s="11"/>
      <c r="MAU15" s="11"/>
      <c r="MAV15" s="11"/>
      <c r="MAW15" s="11"/>
      <c r="MAX15" s="11"/>
      <c r="MAY15" s="11"/>
      <c r="MAZ15" s="11"/>
      <c r="MBA15" s="11"/>
      <c r="MBB15" s="11"/>
      <c r="MBC15" s="11"/>
      <c r="MBD15" s="11"/>
      <c r="MBE15" s="11"/>
      <c r="MBF15" s="11"/>
      <c r="MBG15" s="11"/>
      <c r="MBH15" s="11"/>
      <c r="MBI15" s="11"/>
      <c r="MBJ15" s="11"/>
      <c r="MBK15" s="11"/>
      <c r="MBL15" s="11"/>
      <c r="MBM15" s="11"/>
      <c r="MBN15" s="11"/>
      <c r="MBO15" s="11"/>
      <c r="MBP15" s="11"/>
      <c r="MBQ15" s="11"/>
      <c r="MBR15" s="11"/>
      <c r="MBS15" s="11"/>
      <c r="MBT15" s="11"/>
      <c r="MBU15" s="11"/>
      <c r="MBV15" s="11"/>
      <c r="MBW15" s="11"/>
      <c r="MBX15" s="11"/>
      <c r="MBY15" s="11"/>
      <c r="MBZ15" s="11"/>
      <c r="MCA15" s="11"/>
      <c r="MCB15" s="11"/>
      <c r="MCC15" s="11"/>
      <c r="MCD15" s="11"/>
      <c r="MCE15" s="11"/>
      <c r="MCF15" s="11"/>
      <c r="MCG15" s="11"/>
      <c r="MCH15" s="11"/>
      <c r="MCI15" s="11"/>
      <c r="MCJ15" s="11"/>
      <c r="MCK15" s="11"/>
      <c r="MCL15" s="11"/>
      <c r="MCM15" s="11"/>
      <c r="MCN15" s="11"/>
      <c r="MCO15" s="11"/>
      <c r="MCP15" s="11"/>
      <c r="MCQ15" s="11"/>
      <c r="MCR15" s="11"/>
      <c r="MCS15" s="11"/>
      <c r="MCT15" s="11"/>
      <c r="MCU15" s="11"/>
      <c r="MCV15" s="11"/>
      <c r="MCW15" s="11"/>
      <c r="MCX15" s="11"/>
      <c r="MCY15" s="11"/>
      <c r="MCZ15" s="11"/>
      <c r="MDA15" s="11"/>
      <c r="MDB15" s="11"/>
      <c r="MDC15" s="11"/>
      <c r="MDD15" s="11"/>
      <c r="MDE15" s="11"/>
      <c r="MDF15" s="11"/>
      <c r="MDG15" s="11"/>
      <c r="MDH15" s="11"/>
      <c r="MDI15" s="11"/>
      <c r="MDJ15" s="11"/>
      <c r="MDK15" s="11"/>
      <c r="MDL15" s="11"/>
      <c r="MDM15" s="11"/>
      <c r="MDN15" s="11"/>
      <c r="MDO15" s="11"/>
      <c r="MDP15" s="11"/>
      <c r="MDQ15" s="11"/>
      <c r="MDR15" s="11"/>
      <c r="MDS15" s="11"/>
      <c r="MDT15" s="11"/>
      <c r="MDU15" s="11"/>
      <c r="MDV15" s="11"/>
      <c r="MDW15" s="11"/>
      <c r="MDX15" s="11"/>
      <c r="MDY15" s="11"/>
      <c r="MDZ15" s="11"/>
      <c r="MEA15" s="11"/>
      <c r="MEB15" s="11"/>
      <c r="MEC15" s="11"/>
      <c r="MED15" s="11"/>
      <c r="MEE15" s="11"/>
      <c r="MEF15" s="11"/>
      <c r="MEG15" s="11"/>
      <c r="MEH15" s="11"/>
      <c r="MEI15" s="11"/>
      <c r="MEJ15" s="11"/>
      <c r="MEK15" s="11"/>
      <c r="MEL15" s="11"/>
      <c r="MEM15" s="11"/>
      <c r="MEN15" s="11"/>
      <c r="MEO15" s="11"/>
      <c r="MEP15" s="11"/>
      <c r="MEQ15" s="11"/>
      <c r="MER15" s="11"/>
      <c r="MES15" s="11"/>
      <c r="MET15" s="11"/>
      <c r="MEU15" s="11"/>
      <c r="MEV15" s="11"/>
      <c r="MEW15" s="11"/>
      <c r="MEX15" s="11"/>
      <c r="MEY15" s="11"/>
      <c r="MEZ15" s="11"/>
      <c r="MFA15" s="11"/>
      <c r="MFB15" s="11"/>
      <c r="MFC15" s="11"/>
      <c r="MFD15" s="11"/>
      <c r="MFE15" s="11"/>
      <c r="MFF15" s="11"/>
      <c r="MFG15" s="11"/>
      <c r="MFH15" s="11"/>
      <c r="MFI15" s="11"/>
      <c r="MFJ15" s="11"/>
      <c r="MFK15" s="11"/>
      <c r="MFL15" s="11"/>
      <c r="MFM15" s="11"/>
      <c r="MFN15" s="11"/>
      <c r="MFO15" s="11"/>
      <c r="MFP15" s="11"/>
      <c r="MFQ15" s="11"/>
      <c r="MFR15" s="11"/>
      <c r="MFS15" s="11"/>
      <c r="MFT15" s="11"/>
      <c r="MFU15" s="11"/>
      <c r="MFV15" s="11"/>
      <c r="MFW15" s="11"/>
      <c r="MFX15" s="11"/>
      <c r="MFY15" s="11"/>
      <c r="MFZ15" s="11"/>
      <c r="MGA15" s="11"/>
      <c r="MGB15" s="11"/>
      <c r="MGC15" s="11"/>
      <c r="MGD15" s="11"/>
      <c r="MGE15" s="11"/>
      <c r="MGF15" s="11"/>
      <c r="MGG15" s="11"/>
      <c r="MGH15" s="11"/>
      <c r="MGI15" s="11"/>
      <c r="MGJ15" s="11"/>
      <c r="MGK15" s="11"/>
      <c r="MGL15" s="11"/>
      <c r="MGM15" s="11"/>
      <c r="MGN15" s="11"/>
      <c r="MGO15" s="11"/>
      <c r="MGP15" s="11"/>
      <c r="MGQ15" s="11"/>
      <c r="MGR15" s="11"/>
      <c r="MGS15" s="11"/>
      <c r="MGT15" s="11"/>
      <c r="MGU15" s="11"/>
      <c r="MGV15" s="11"/>
      <c r="MGW15" s="11"/>
      <c r="MGX15" s="11"/>
      <c r="MGY15" s="11"/>
      <c r="MGZ15" s="11"/>
      <c r="MHA15" s="11"/>
      <c r="MHB15" s="11"/>
      <c r="MHC15" s="11"/>
      <c r="MHD15" s="11"/>
      <c r="MHE15" s="11"/>
      <c r="MHF15" s="11"/>
      <c r="MHG15" s="11"/>
      <c r="MHH15" s="11"/>
      <c r="MHI15" s="11"/>
      <c r="MHJ15" s="11"/>
      <c r="MHK15" s="11"/>
      <c r="MHL15" s="11"/>
      <c r="MHM15" s="11"/>
      <c r="MHN15" s="11"/>
      <c r="MHO15" s="11"/>
      <c r="MHP15" s="11"/>
      <c r="MHQ15" s="11"/>
      <c r="MHR15" s="11"/>
      <c r="MHS15" s="11"/>
      <c r="MHT15" s="11"/>
      <c r="MHU15" s="11"/>
      <c r="MHV15" s="11"/>
      <c r="MHW15" s="11"/>
      <c r="MHX15" s="11"/>
      <c r="MHY15" s="11"/>
      <c r="MHZ15" s="11"/>
      <c r="MIA15" s="11"/>
      <c r="MIB15" s="11"/>
      <c r="MIC15" s="11"/>
      <c r="MID15" s="11"/>
      <c r="MIE15" s="11"/>
      <c r="MIF15" s="11"/>
      <c r="MIG15" s="11"/>
      <c r="MIH15" s="11"/>
      <c r="MII15" s="11"/>
      <c r="MIJ15" s="11"/>
      <c r="MIK15" s="11"/>
      <c r="MIL15" s="11"/>
      <c r="MIM15" s="11"/>
      <c r="MIN15" s="11"/>
      <c r="MIO15" s="11"/>
      <c r="MIP15" s="11"/>
      <c r="MIQ15" s="11"/>
      <c r="MIR15" s="11"/>
      <c r="MIS15" s="11"/>
      <c r="MIT15" s="11"/>
      <c r="MIU15" s="11"/>
      <c r="MIV15" s="11"/>
      <c r="MIW15" s="11"/>
      <c r="MIX15" s="11"/>
      <c r="MIY15" s="11"/>
      <c r="MIZ15" s="11"/>
      <c r="MJA15" s="11"/>
      <c r="MJB15" s="11"/>
      <c r="MJC15" s="11"/>
      <c r="MJD15" s="11"/>
      <c r="MJE15" s="11"/>
      <c r="MJF15" s="11"/>
      <c r="MJG15" s="11"/>
      <c r="MJH15" s="11"/>
      <c r="MJI15" s="11"/>
      <c r="MJJ15" s="11"/>
      <c r="MJK15" s="11"/>
      <c r="MJL15" s="11"/>
      <c r="MJM15" s="11"/>
      <c r="MJN15" s="11"/>
      <c r="MJO15" s="11"/>
      <c r="MJP15" s="11"/>
      <c r="MJQ15" s="11"/>
      <c r="MJR15" s="11"/>
      <c r="MJS15" s="11"/>
      <c r="MJT15" s="11"/>
      <c r="MJU15" s="11"/>
      <c r="MJV15" s="11"/>
      <c r="MJW15" s="11"/>
      <c r="MJX15" s="11"/>
      <c r="MJY15" s="11"/>
      <c r="MJZ15" s="11"/>
      <c r="MKA15" s="11"/>
      <c r="MKB15" s="11"/>
      <c r="MKC15" s="11"/>
      <c r="MKD15" s="11"/>
      <c r="MKE15" s="11"/>
      <c r="MKF15" s="11"/>
      <c r="MKG15" s="11"/>
      <c r="MKH15" s="11"/>
      <c r="MKI15" s="11"/>
      <c r="MKJ15" s="11"/>
      <c r="MKK15" s="11"/>
      <c r="MKL15" s="11"/>
      <c r="MKM15" s="11"/>
      <c r="MKN15" s="11"/>
      <c r="MKO15" s="11"/>
      <c r="MKP15" s="11"/>
      <c r="MKQ15" s="11"/>
      <c r="MKR15" s="11"/>
      <c r="MKS15" s="11"/>
      <c r="MKT15" s="11"/>
      <c r="MKU15" s="11"/>
      <c r="MKV15" s="11"/>
      <c r="MKW15" s="11"/>
      <c r="MKX15" s="11"/>
      <c r="MKY15" s="11"/>
      <c r="MKZ15" s="11"/>
      <c r="MLA15" s="11"/>
      <c r="MLB15" s="11"/>
      <c r="MLC15" s="11"/>
      <c r="MLD15" s="11"/>
      <c r="MLE15" s="11"/>
      <c r="MLF15" s="11"/>
      <c r="MLG15" s="11"/>
      <c r="MLH15" s="11"/>
      <c r="MLI15" s="11"/>
      <c r="MLJ15" s="11"/>
      <c r="MLK15" s="11"/>
      <c r="MLL15" s="11"/>
      <c r="MLM15" s="11"/>
      <c r="MLN15" s="11"/>
      <c r="MLO15" s="11"/>
      <c r="MLP15" s="11"/>
      <c r="MLQ15" s="11"/>
      <c r="MLR15" s="11"/>
      <c r="MLS15" s="11"/>
      <c r="MLT15" s="11"/>
      <c r="MLU15" s="11"/>
      <c r="MLV15" s="11"/>
      <c r="MLW15" s="11"/>
      <c r="MLX15" s="11"/>
      <c r="MLY15" s="11"/>
      <c r="MLZ15" s="11"/>
      <c r="MMA15" s="11"/>
      <c r="MMB15" s="11"/>
      <c r="MMC15" s="11"/>
      <c r="MMD15" s="11"/>
      <c r="MME15" s="11"/>
      <c r="MMF15" s="11"/>
      <c r="MMG15" s="11"/>
      <c r="MMH15" s="11"/>
      <c r="MMI15" s="11"/>
      <c r="MMJ15" s="11"/>
      <c r="MMK15" s="11"/>
      <c r="MML15" s="11"/>
      <c r="MMM15" s="11"/>
      <c r="MMN15" s="11"/>
      <c r="MMO15" s="11"/>
      <c r="MMP15" s="11"/>
      <c r="MMQ15" s="11"/>
      <c r="MMR15" s="11"/>
      <c r="MMS15" s="11"/>
      <c r="MMT15" s="11"/>
      <c r="MMU15" s="11"/>
      <c r="MMV15" s="11"/>
      <c r="MMW15" s="11"/>
      <c r="MMX15" s="11"/>
      <c r="MMY15" s="11"/>
      <c r="MMZ15" s="11"/>
      <c r="MNA15" s="11"/>
      <c r="MNB15" s="11"/>
      <c r="MNC15" s="11"/>
      <c r="MND15" s="11"/>
      <c r="MNE15" s="11"/>
      <c r="MNF15" s="11"/>
      <c r="MNG15" s="11"/>
      <c r="MNH15" s="11"/>
      <c r="MNI15" s="11"/>
      <c r="MNJ15" s="11"/>
      <c r="MNK15" s="11"/>
      <c r="MNL15" s="11"/>
      <c r="MNM15" s="11"/>
      <c r="MNN15" s="11"/>
      <c r="MNO15" s="11"/>
      <c r="MNP15" s="11"/>
      <c r="MNQ15" s="11"/>
      <c r="MNR15" s="11"/>
      <c r="MNS15" s="11"/>
      <c r="MNT15" s="11"/>
      <c r="MNU15" s="11"/>
      <c r="MNV15" s="11"/>
      <c r="MNW15" s="11"/>
      <c r="MNX15" s="11"/>
      <c r="MNY15" s="11"/>
      <c r="MNZ15" s="11"/>
      <c r="MOA15" s="11"/>
      <c r="MOB15" s="11"/>
      <c r="MOC15" s="11"/>
      <c r="MOD15" s="11"/>
      <c r="MOE15" s="11"/>
      <c r="MOF15" s="11"/>
      <c r="MOG15" s="11"/>
      <c r="MOH15" s="11"/>
      <c r="MOI15" s="11"/>
      <c r="MOJ15" s="11"/>
      <c r="MOK15" s="11"/>
      <c r="MOL15" s="11"/>
      <c r="MOM15" s="11"/>
      <c r="MON15" s="11"/>
      <c r="MOO15" s="11"/>
      <c r="MOP15" s="11"/>
      <c r="MOQ15" s="11"/>
      <c r="MOR15" s="11"/>
      <c r="MOS15" s="11"/>
      <c r="MOT15" s="11"/>
      <c r="MOU15" s="11"/>
      <c r="MOV15" s="11"/>
      <c r="MOW15" s="11"/>
      <c r="MOX15" s="11"/>
      <c r="MOY15" s="11"/>
      <c r="MOZ15" s="11"/>
      <c r="MPA15" s="11"/>
      <c r="MPB15" s="11"/>
      <c r="MPC15" s="11"/>
      <c r="MPD15" s="11"/>
      <c r="MPE15" s="11"/>
      <c r="MPF15" s="11"/>
      <c r="MPG15" s="11"/>
      <c r="MPH15" s="11"/>
      <c r="MPI15" s="11"/>
      <c r="MPJ15" s="11"/>
      <c r="MPK15" s="11"/>
      <c r="MPL15" s="11"/>
      <c r="MPM15" s="11"/>
      <c r="MPN15" s="11"/>
      <c r="MPO15" s="11"/>
      <c r="MPP15" s="11"/>
      <c r="MPQ15" s="11"/>
      <c r="MPR15" s="11"/>
      <c r="MPS15" s="11"/>
      <c r="MPT15" s="11"/>
      <c r="MPU15" s="11"/>
      <c r="MPV15" s="11"/>
      <c r="MPW15" s="11"/>
      <c r="MPX15" s="11"/>
      <c r="MPY15" s="11"/>
      <c r="MPZ15" s="11"/>
      <c r="MQA15" s="11"/>
      <c r="MQB15" s="11"/>
      <c r="MQC15" s="11"/>
      <c r="MQD15" s="11"/>
      <c r="MQE15" s="11"/>
      <c r="MQF15" s="11"/>
      <c r="MQG15" s="11"/>
      <c r="MQH15" s="11"/>
      <c r="MQI15" s="11"/>
      <c r="MQJ15" s="11"/>
      <c r="MQK15" s="11"/>
      <c r="MQL15" s="11"/>
      <c r="MQM15" s="11"/>
      <c r="MQN15" s="11"/>
      <c r="MQO15" s="11"/>
      <c r="MQP15" s="11"/>
      <c r="MQQ15" s="11"/>
      <c r="MQR15" s="11"/>
      <c r="MQS15" s="11"/>
      <c r="MQT15" s="11"/>
      <c r="MQU15" s="11"/>
      <c r="MQV15" s="11"/>
      <c r="MQW15" s="11"/>
      <c r="MQX15" s="11"/>
      <c r="MQY15" s="11"/>
      <c r="MQZ15" s="11"/>
      <c r="MRA15" s="11"/>
      <c r="MRB15" s="11"/>
      <c r="MRC15" s="11"/>
      <c r="MRD15" s="11"/>
      <c r="MRE15" s="11"/>
      <c r="MRF15" s="11"/>
      <c r="MRG15" s="11"/>
      <c r="MRH15" s="11"/>
      <c r="MRI15" s="11"/>
      <c r="MRJ15" s="11"/>
      <c r="MRK15" s="11"/>
      <c r="MRL15" s="11"/>
      <c r="MRM15" s="11"/>
      <c r="MRN15" s="11"/>
      <c r="MRO15" s="11"/>
      <c r="MRP15" s="11"/>
      <c r="MRQ15" s="11"/>
      <c r="MRR15" s="11"/>
      <c r="MRS15" s="11"/>
      <c r="MRT15" s="11"/>
      <c r="MRU15" s="11"/>
      <c r="MRV15" s="11"/>
      <c r="MRW15" s="11"/>
      <c r="MRX15" s="11"/>
      <c r="MRY15" s="11"/>
      <c r="MRZ15" s="11"/>
      <c r="MSA15" s="11"/>
      <c r="MSB15" s="11"/>
      <c r="MSC15" s="11"/>
      <c r="MSD15" s="11"/>
      <c r="MSE15" s="11"/>
      <c r="MSF15" s="11"/>
      <c r="MSG15" s="11"/>
      <c r="MSH15" s="11"/>
      <c r="MSI15" s="11"/>
      <c r="MSJ15" s="11"/>
      <c r="MSK15" s="11"/>
      <c r="MSL15" s="11"/>
      <c r="MSM15" s="11"/>
      <c r="MSN15" s="11"/>
      <c r="MSO15" s="11"/>
      <c r="MSP15" s="11"/>
      <c r="MSQ15" s="11"/>
      <c r="MSR15" s="11"/>
      <c r="MSS15" s="11"/>
      <c r="MST15" s="11"/>
      <c r="MSU15" s="11"/>
      <c r="MSV15" s="11"/>
      <c r="MSW15" s="11"/>
      <c r="MSX15" s="11"/>
      <c r="MSY15" s="11"/>
      <c r="MSZ15" s="11"/>
      <c r="MTA15" s="11"/>
      <c r="MTB15" s="11"/>
      <c r="MTC15" s="11"/>
      <c r="MTD15" s="11"/>
      <c r="MTE15" s="11"/>
      <c r="MTF15" s="11"/>
      <c r="MTG15" s="11"/>
      <c r="MTH15" s="11"/>
      <c r="MTI15" s="11"/>
      <c r="MTJ15" s="11"/>
      <c r="MTK15" s="11"/>
      <c r="MTL15" s="11"/>
      <c r="MTM15" s="11"/>
      <c r="MTN15" s="11"/>
      <c r="MTO15" s="11"/>
      <c r="MTP15" s="11"/>
      <c r="MTQ15" s="11"/>
      <c r="MTR15" s="11"/>
      <c r="MTS15" s="11"/>
      <c r="MTT15" s="11"/>
      <c r="MTU15" s="11"/>
      <c r="MTV15" s="11"/>
      <c r="MTW15" s="11"/>
      <c r="MTX15" s="11"/>
      <c r="MTY15" s="11"/>
      <c r="MTZ15" s="11"/>
      <c r="MUA15" s="11"/>
      <c r="MUB15" s="11"/>
      <c r="MUC15" s="11"/>
      <c r="MUD15" s="11"/>
      <c r="MUE15" s="11"/>
      <c r="MUF15" s="11"/>
      <c r="MUG15" s="11"/>
      <c r="MUH15" s="11"/>
      <c r="MUI15" s="11"/>
      <c r="MUJ15" s="11"/>
      <c r="MUK15" s="11"/>
      <c r="MUL15" s="11"/>
      <c r="MUM15" s="11"/>
      <c r="MUN15" s="11"/>
      <c r="MUO15" s="11"/>
      <c r="MUP15" s="11"/>
      <c r="MUQ15" s="11"/>
      <c r="MUR15" s="11"/>
      <c r="MUS15" s="11"/>
      <c r="MUT15" s="11"/>
      <c r="MUU15" s="11"/>
      <c r="MUV15" s="11"/>
      <c r="MUW15" s="11"/>
      <c r="MUX15" s="11"/>
      <c r="MUY15" s="11"/>
      <c r="MUZ15" s="11"/>
      <c r="MVA15" s="11"/>
      <c r="MVB15" s="11"/>
      <c r="MVC15" s="11"/>
      <c r="MVD15" s="11"/>
      <c r="MVE15" s="11"/>
      <c r="MVF15" s="11"/>
      <c r="MVG15" s="11"/>
      <c r="MVH15" s="11"/>
      <c r="MVI15" s="11"/>
      <c r="MVJ15" s="11"/>
      <c r="MVK15" s="11"/>
      <c r="MVL15" s="11"/>
      <c r="MVM15" s="11"/>
      <c r="MVN15" s="11"/>
      <c r="MVO15" s="11"/>
      <c r="MVP15" s="11"/>
      <c r="MVQ15" s="11"/>
      <c r="MVR15" s="11"/>
      <c r="MVS15" s="11"/>
      <c r="MVT15" s="11"/>
      <c r="MVU15" s="11"/>
      <c r="MVV15" s="11"/>
      <c r="MVW15" s="11"/>
      <c r="MVX15" s="11"/>
      <c r="MVY15" s="11"/>
      <c r="MVZ15" s="11"/>
      <c r="MWA15" s="11"/>
      <c r="MWB15" s="11"/>
      <c r="MWC15" s="11"/>
      <c r="MWD15" s="11"/>
      <c r="MWE15" s="11"/>
      <c r="MWF15" s="11"/>
      <c r="MWG15" s="11"/>
      <c r="MWH15" s="11"/>
      <c r="MWI15" s="11"/>
      <c r="MWJ15" s="11"/>
      <c r="MWK15" s="11"/>
      <c r="MWL15" s="11"/>
      <c r="MWM15" s="11"/>
      <c r="MWN15" s="11"/>
      <c r="MWO15" s="11"/>
      <c r="MWP15" s="11"/>
      <c r="MWQ15" s="11"/>
      <c r="MWR15" s="11"/>
      <c r="MWS15" s="11"/>
      <c r="MWT15" s="11"/>
      <c r="MWU15" s="11"/>
      <c r="MWV15" s="11"/>
      <c r="MWW15" s="11"/>
      <c r="MWX15" s="11"/>
      <c r="MWY15" s="11"/>
      <c r="MWZ15" s="11"/>
      <c r="MXA15" s="11"/>
      <c r="MXB15" s="11"/>
      <c r="MXC15" s="11"/>
      <c r="MXD15" s="11"/>
      <c r="MXE15" s="11"/>
      <c r="MXF15" s="11"/>
      <c r="MXG15" s="11"/>
      <c r="MXH15" s="11"/>
      <c r="MXI15" s="11"/>
      <c r="MXJ15" s="11"/>
      <c r="MXK15" s="11"/>
      <c r="MXL15" s="11"/>
      <c r="MXM15" s="11"/>
      <c r="MXN15" s="11"/>
      <c r="MXO15" s="11"/>
      <c r="MXP15" s="11"/>
      <c r="MXQ15" s="11"/>
      <c r="MXR15" s="11"/>
      <c r="MXS15" s="11"/>
      <c r="MXT15" s="11"/>
      <c r="MXU15" s="11"/>
      <c r="MXV15" s="11"/>
      <c r="MXW15" s="11"/>
      <c r="MXX15" s="11"/>
      <c r="MXY15" s="11"/>
      <c r="MXZ15" s="11"/>
      <c r="MYA15" s="11"/>
      <c r="MYB15" s="11"/>
      <c r="MYC15" s="11"/>
      <c r="MYD15" s="11"/>
      <c r="MYE15" s="11"/>
      <c r="MYF15" s="11"/>
      <c r="MYG15" s="11"/>
      <c r="MYH15" s="11"/>
      <c r="MYI15" s="11"/>
      <c r="MYJ15" s="11"/>
      <c r="MYK15" s="11"/>
      <c r="MYL15" s="11"/>
      <c r="MYM15" s="11"/>
      <c r="MYN15" s="11"/>
      <c r="MYO15" s="11"/>
      <c r="MYP15" s="11"/>
      <c r="MYQ15" s="11"/>
      <c r="MYR15" s="11"/>
      <c r="MYS15" s="11"/>
      <c r="MYT15" s="11"/>
      <c r="MYU15" s="11"/>
      <c r="MYV15" s="11"/>
      <c r="MYW15" s="11"/>
      <c r="MYX15" s="11"/>
      <c r="MYY15" s="11"/>
      <c r="MYZ15" s="11"/>
      <c r="MZA15" s="11"/>
      <c r="MZB15" s="11"/>
      <c r="MZC15" s="11"/>
      <c r="MZD15" s="11"/>
      <c r="MZE15" s="11"/>
      <c r="MZF15" s="11"/>
      <c r="MZG15" s="11"/>
      <c r="MZH15" s="11"/>
      <c r="MZI15" s="11"/>
      <c r="MZJ15" s="11"/>
      <c r="MZK15" s="11"/>
      <c r="MZL15" s="11"/>
      <c r="MZM15" s="11"/>
      <c r="MZN15" s="11"/>
      <c r="MZO15" s="11"/>
      <c r="MZP15" s="11"/>
      <c r="MZQ15" s="11"/>
      <c r="MZR15" s="11"/>
      <c r="MZS15" s="11"/>
      <c r="MZT15" s="11"/>
      <c r="MZU15" s="11"/>
      <c r="MZV15" s="11"/>
      <c r="MZW15" s="11"/>
      <c r="MZX15" s="11"/>
      <c r="MZY15" s="11"/>
      <c r="MZZ15" s="11"/>
      <c r="NAA15" s="11"/>
      <c r="NAB15" s="11"/>
      <c r="NAC15" s="11"/>
      <c r="NAD15" s="11"/>
      <c r="NAE15" s="11"/>
      <c r="NAF15" s="11"/>
      <c r="NAG15" s="11"/>
      <c r="NAH15" s="11"/>
      <c r="NAI15" s="11"/>
      <c r="NAJ15" s="11"/>
      <c r="NAK15" s="11"/>
      <c r="NAL15" s="11"/>
      <c r="NAM15" s="11"/>
      <c r="NAN15" s="11"/>
      <c r="NAO15" s="11"/>
      <c r="NAP15" s="11"/>
      <c r="NAQ15" s="11"/>
      <c r="NAR15" s="11"/>
      <c r="NAS15" s="11"/>
      <c r="NAT15" s="11"/>
      <c r="NAU15" s="11"/>
      <c r="NAV15" s="11"/>
      <c r="NAW15" s="11"/>
      <c r="NAX15" s="11"/>
      <c r="NAY15" s="11"/>
      <c r="NAZ15" s="11"/>
      <c r="NBA15" s="11"/>
      <c r="NBB15" s="11"/>
      <c r="NBC15" s="11"/>
      <c r="NBD15" s="11"/>
      <c r="NBE15" s="11"/>
      <c r="NBF15" s="11"/>
      <c r="NBG15" s="11"/>
      <c r="NBH15" s="11"/>
      <c r="NBI15" s="11"/>
      <c r="NBJ15" s="11"/>
      <c r="NBK15" s="11"/>
      <c r="NBL15" s="11"/>
      <c r="NBM15" s="11"/>
      <c r="NBN15" s="11"/>
      <c r="NBO15" s="11"/>
      <c r="NBP15" s="11"/>
      <c r="NBQ15" s="11"/>
      <c r="NBR15" s="11"/>
      <c r="NBS15" s="11"/>
      <c r="NBT15" s="11"/>
      <c r="NBU15" s="11"/>
      <c r="NBV15" s="11"/>
      <c r="NBW15" s="11"/>
      <c r="NBX15" s="11"/>
      <c r="NBY15" s="11"/>
      <c r="NBZ15" s="11"/>
      <c r="NCA15" s="11"/>
      <c r="NCB15" s="11"/>
      <c r="NCC15" s="11"/>
      <c r="NCD15" s="11"/>
      <c r="NCE15" s="11"/>
      <c r="NCF15" s="11"/>
      <c r="NCG15" s="11"/>
      <c r="NCH15" s="11"/>
      <c r="NCI15" s="11"/>
      <c r="NCJ15" s="11"/>
      <c r="NCK15" s="11"/>
      <c r="NCL15" s="11"/>
      <c r="NCM15" s="11"/>
      <c r="NCN15" s="11"/>
      <c r="NCO15" s="11"/>
      <c r="NCP15" s="11"/>
      <c r="NCQ15" s="11"/>
      <c r="NCR15" s="11"/>
      <c r="NCS15" s="11"/>
      <c r="NCT15" s="11"/>
      <c r="NCU15" s="11"/>
      <c r="NCV15" s="11"/>
      <c r="NCW15" s="11"/>
      <c r="NCX15" s="11"/>
      <c r="NCY15" s="11"/>
      <c r="NCZ15" s="11"/>
      <c r="NDA15" s="11"/>
      <c r="NDB15" s="11"/>
      <c r="NDC15" s="11"/>
      <c r="NDD15" s="11"/>
      <c r="NDE15" s="11"/>
      <c r="NDF15" s="11"/>
      <c r="NDG15" s="11"/>
      <c r="NDH15" s="11"/>
      <c r="NDI15" s="11"/>
      <c r="NDJ15" s="11"/>
      <c r="NDK15" s="11"/>
      <c r="NDL15" s="11"/>
      <c r="NDM15" s="11"/>
      <c r="NDN15" s="11"/>
      <c r="NDO15" s="11"/>
      <c r="NDP15" s="11"/>
      <c r="NDQ15" s="11"/>
      <c r="NDR15" s="11"/>
      <c r="NDS15" s="11"/>
      <c r="NDT15" s="11"/>
      <c r="NDU15" s="11"/>
      <c r="NDV15" s="11"/>
      <c r="NDW15" s="11"/>
      <c r="NDX15" s="11"/>
      <c r="NDY15" s="11"/>
      <c r="NDZ15" s="11"/>
      <c r="NEA15" s="11"/>
      <c r="NEB15" s="11"/>
      <c r="NEC15" s="11"/>
      <c r="NED15" s="11"/>
      <c r="NEE15" s="11"/>
      <c r="NEF15" s="11"/>
      <c r="NEG15" s="11"/>
      <c r="NEH15" s="11"/>
      <c r="NEI15" s="11"/>
      <c r="NEJ15" s="11"/>
      <c r="NEK15" s="11"/>
      <c r="NEL15" s="11"/>
      <c r="NEM15" s="11"/>
      <c r="NEN15" s="11"/>
      <c r="NEO15" s="11"/>
      <c r="NEP15" s="11"/>
      <c r="NEQ15" s="11"/>
      <c r="NER15" s="11"/>
      <c r="NES15" s="11"/>
      <c r="NET15" s="11"/>
      <c r="NEU15" s="11"/>
      <c r="NEV15" s="11"/>
      <c r="NEW15" s="11"/>
      <c r="NEX15" s="11"/>
      <c r="NEY15" s="11"/>
      <c r="NEZ15" s="11"/>
      <c r="NFA15" s="11"/>
      <c r="NFB15" s="11"/>
      <c r="NFC15" s="11"/>
      <c r="NFD15" s="11"/>
      <c r="NFE15" s="11"/>
      <c r="NFF15" s="11"/>
      <c r="NFG15" s="11"/>
      <c r="NFH15" s="11"/>
      <c r="NFI15" s="11"/>
      <c r="NFJ15" s="11"/>
      <c r="NFK15" s="11"/>
      <c r="NFL15" s="11"/>
      <c r="NFM15" s="11"/>
      <c r="NFN15" s="11"/>
      <c r="NFO15" s="11"/>
      <c r="NFP15" s="11"/>
      <c r="NFQ15" s="11"/>
      <c r="NFR15" s="11"/>
      <c r="NFS15" s="11"/>
      <c r="NFT15" s="11"/>
      <c r="NFU15" s="11"/>
      <c r="NFV15" s="11"/>
      <c r="NFW15" s="11"/>
      <c r="NFX15" s="11"/>
      <c r="NFY15" s="11"/>
      <c r="NFZ15" s="11"/>
      <c r="NGA15" s="11"/>
      <c r="NGB15" s="11"/>
      <c r="NGC15" s="11"/>
      <c r="NGD15" s="11"/>
      <c r="NGE15" s="11"/>
      <c r="NGF15" s="11"/>
      <c r="NGG15" s="11"/>
      <c r="NGH15" s="11"/>
      <c r="NGI15" s="11"/>
      <c r="NGJ15" s="11"/>
      <c r="NGK15" s="11"/>
      <c r="NGL15" s="11"/>
      <c r="NGM15" s="11"/>
      <c r="NGN15" s="11"/>
      <c r="NGO15" s="11"/>
      <c r="NGP15" s="11"/>
      <c r="NGQ15" s="11"/>
      <c r="NGR15" s="11"/>
      <c r="NGS15" s="11"/>
      <c r="NGT15" s="11"/>
      <c r="NGU15" s="11"/>
      <c r="NGV15" s="11"/>
      <c r="NGW15" s="11"/>
      <c r="NGX15" s="11"/>
      <c r="NGY15" s="11"/>
      <c r="NGZ15" s="11"/>
      <c r="NHA15" s="11"/>
      <c r="NHB15" s="11"/>
      <c r="NHC15" s="11"/>
      <c r="NHD15" s="11"/>
      <c r="NHE15" s="11"/>
      <c r="NHF15" s="11"/>
      <c r="NHG15" s="11"/>
      <c r="NHH15" s="11"/>
      <c r="NHI15" s="11"/>
      <c r="NHJ15" s="11"/>
      <c r="NHK15" s="11"/>
      <c r="NHL15" s="11"/>
      <c r="NHM15" s="11"/>
      <c r="NHN15" s="11"/>
      <c r="NHO15" s="11"/>
      <c r="NHP15" s="11"/>
      <c r="NHQ15" s="11"/>
      <c r="NHR15" s="11"/>
      <c r="NHS15" s="11"/>
      <c r="NHT15" s="11"/>
      <c r="NHU15" s="11"/>
      <c r="NHV15" s="11"/>
      <c r="NHW15" s="11"/>
      <c r="NHX15" s="11"/>
      <c r="NHY15" s="11"/>
      <c r="NHZ15" s="11"/>
      <c r="NIA15" s="11"/>
      <c r="NIB15" s="11"/>
      <c r="NIC15" s="11"/>
      <c r="NID15" s="11"/>
      <c r="NIE15" s="11"/>
      <c r="NIF15" s="11"/>
      <c r="NIG15" s="11"/>
      <c r="NIH15" s="11"/>
      <c r="NII15" s="11"/>
      <c r="NIJ15" s="11"/>
      <c r="NIK15" s="11"/>
      <c r="NIL15" s="11"/>
      <c r="NIM15" s="11"/>
      <c r="NIN15" s="11"/>
      <c r="NIO15" s="11"/>
      <c r="NIP15" s="11"/>
      <c r="NIQ15" s="11"/>
      <c r="NIR15" s="11"/>
      <c r="NIS15" s="11"/>
      <c r="NIT15" s="11"/>
      <c r="NIU15" s="11"/>
      <c r="NIV15" s="11"/>
      <c r="NIW15" s="11"/>
      <c r="NIX15" s="11"/>
      <c r="NIY15" s="11"/>
      <c r="NIZ15" s="11"/>
      <c r="NJA15" s="11"/>
      <c r="NJB15" s="11"/>
      <c r="NJC15" s="11"/>
      <c r="NJD15" s="11"/>
      <c r="NJE15" s="11"/>
      <c r="NJF15" s="11"/>
      <c r="NJG15" s="11"/>
      <c r="NJH15" s="11"/>
      <c r="NJI15" s="11"/>
      <c r="NJJ15" s="11"/>
      <c r="NJK15" s="11"/>
      <c r="NJL15" s="11"/>
      <c r="NJM15" s="11"/>
      <c r="NJN15" s="11"/>
      <c r="NJO15" s="11"/>
      <c r="NJP15" s="11"/>
      <c r="NJQ15" s="11"/>
      <c r="NJR15" s="11"/>
      <c r="NJS15" s="11"/>
      <c r="NJT15" s="11"/>
      <c r="NJU15" s="11"/>
      <c r="NJV15" s="11"/>
      <c r="NJW15" s="11"/>
      <c r="NJX15" s="11"/>
      <c r="NJY15" s="11"/>
      <c r="NJZ15" s="11"/>
      <c r="NKA15" s="11"/>
      <c r="NKB15" s="11"/>
      <c r="NKC15" s="11"/>
      <c r="NKD15" s="11"/>
      <c r="NKE15" s="11"/>
      <c r="NKF15" s="11"/>
      <c r="NKG15" s="11"/>
      <c r="NKH15" s="11"/>
      <c r="NKI15" s="11"/>
      <c r="NKJ15" s="11"/>
      <c r="NKK15" s="11"/>
      <c r="NKL15" s="11"/>
      <c r="NKM15" s="11"/>
      <c r="NKN15" s="11"/>
      <c r="NKO15" s="11"/>
      <c r="NKP15" s="11"/>
      <c r="NKQ15" s="11"/>
      <c r="NKR15" s="11"/>
      <c r="NKS15" s="11"/>
      <c r="NKT15" s="11"/>
      <c r="NKU15" s="11"/>
      <c r="NKV15" s="11"/>
      <c r="NKW15" s="11"/>
      <c r="NKX15" s="11"/>
      <c r="NKY15" s="11"/>
      <c r="NKZ15" s="11"/>
      <c r="NLA15" s="11"/>
      <c r="NLB15" s="11"/>
      <c r="NLC15" s="11"/>
      <c r="NLD15" s="11"/>
      <c r="NLE15" s="11"/>
      <c r="NLF15" s="11"/>
      <c r="NLG15" s="11"/>
      <c r="NLH15" s="11"/>
      <c r="NLI15" s="11"/>
      <c r="NLJ15" s="11"/>
      <c r="NLK15" s="11"/>
      <c r="NLL15" s="11"/>
      <c r="NLM15" s="11"/>
      <c r="NLN15" s="11"/>
      <c r="NLO15" s="11"/>
      <c r="NLP15" s="11"/>
      <c r="NLQ15" s="11"/>
      <c r="NLR15" s="11"/>
      <c r="NLS15" s="11"/>
      <c r="NLT15" s="11"/>
      <c r="NLU15" s="11"/>
      <c r="NLV15" s="11"/>
      <c r="NLW15" s="11"/>
      <c r="NLX15" s="11"/>
      <c r="NLY15" s="11"/>
      <c r="NLZ15" s="11"/>
      <c r="NMA15" s="11"/>
      <c r="NMB15" s="11"/>
      <c r="NMC15" s="11"/>
      <c r="NMD15" s="11"/>
      <c r="NME15" s="11"/>
      <c r="NMF15" s="11"/>
      <c r="NMG15" s="11"/>
      <c r="NMH15" s="11"/>
      <c r="NMI15" s="11"/>
      <c r="NMJ15" s="11"/>
      <c r="NMK15" s="11"/>
      <c r="NML15" s="11"/>
      <c r="NMM15" s="11"/>
      <c r="NMN15" s="11"/>
      <c r="NMO15" s="11"/>
      <c r="NMP15" s="11"/>
      <c r="NMQ15" s="11"/>
      <c r="NMR15" s="11"/>
      <c r="NMS15" s="11"/>
      <c r="NMT15" s="11"/>
      <c r="NMU15" s="11"/>
      <c r="NMV15" s="11"/>
      <c r="NMW15" s="11"/>
      <c r="NMX15" s="11"/>
      <c r="NMY15" s="11"/>
      <c r="NMZ15" s="11"/>
      <c r="NNA15" s="11"/>
      <c r="NNB15" s="11"/>
      <c r="NNC15" s="11"/>
      <c r="NND15" s="11"/>
      <c r="NNE15" s="11"/>
      <c r="NNF15" s="11"/>
      <c r="NNG15" s="11"/>
      <c r="NNH15" s="11"/>
      <c r="NNI15" s="11"/>
      <c r="NNJ15" s="11"/>
      <c r="NNK15" s="11"/>
      <c r="NNL15" s="11"/>
      <c r="NNM15" s="11"/>
      <c r="NNN15" s="11"/>
      <c r="NNO15" s="11"/>
      <c r="NNP15" s="11"/>
      <c r="NNQ15" s="11"/>
      <c r="NNR15" s="11"/>
      <c r="NNS15" s="11"/>
      <c r="NNT15" s="11"/>
      <c r="NNU15" s="11"/>
      <c r="NNV15" s="11"/>
      <c r="NNW15" s="11"/>
      <c r="NNX15" s="11"/>
      <c r="NNY15" s="11"/>
      <c r="NNZ15" s="11"/>
      <c r="NOA15" s="11"/>
      <c r="NOB15" s="11"/>
      <c r="NOC15" s="11"/>
      <c r="NOD15" s="11"/>
      <c r="NOE15" s="11"/>
      <c r="NOF15" s="11"/>
      <c r="NOG15" s="11"/>
      <c r="NOH15" s="11"/>
      <c r="NOI15" s="11"/>
      <c r="NOJ15" s="11"/>
      <c r="NOK15" s="11"/>
      <c r="NOL15" s="11"/>
      <c r="NOM15" s="11"/>
      <c r="NON15" s="11"/>
      <c r="NOO15" s="11"/>
      <c r="NOP15" s="11"/>
      <c r="NOQ15" s="11"/>
      <c r="NOR15" s="11"/>
      <c r="NOS15" s="11"/>
      <c r="NOT15" s="11"/>
      <c r="NOU15" s="11"/>
      <c r="NOV15" s="11"/>
      <c r="NOW15" s="11"/>
      <c r="NOX15" s="11"/>
      <c r="NOY15" s="11"/>
      <c r="NOZ15" s="11"/>
      <c r="NPA15" s="11"/>
      <c r="NPB15" s="11"/>
      <c r="NPC15" s="11"/>
      <c r="NPD15" s="11"/>
      <c r="NPE15" s="11"/>
      <c r="NPF15" s="11"/>
      <c r="NPG15" s="11"/>
      <c r="NPH15" s="11"/>
      <c r="NPI15" s="11"/>
      <c r="NPJ15" s="11"/>
      <c r="NPK15" s="11"/>
      <c r="NPL15" s="11"/>
      <c r="NPM15" s="11"/>
      <c r="NPN15" s="11"/>
      <c r="NPO15" s="11"/>
      <c r="NPP15" s="11"/>
      <c r="NPQ15" s="11"/>
      <c r="NPR15" s="11"/>
      <c r="NPS15" s="11"/>
      <c r="NPT15" s="11"/>
      <c r="NPU15" s="11"/>
      <c r="NPV15" s="11"/>
      <c r="NPW15" s="11"/>
      <c r="NPX15" s="11"/>
      <c r="NPY15" s="11"/>
      <c r="NPZ15" s="11"/>
      <c r="NQA15" s="11"/>
      <c r="NQB15" s="11"/>
      <c r="NQC15" s="11"/>
      <c r="NQD15" s="11"/>
      <c r="NQE15" s="11"/>
      <c r="NQF15" s="11"/>
      <c r="NQG15" s="11"/>
      <c r="NQH15" s="11"/>
      <c r="NQI15" s="11"/>
      <c r="NQJ15" s="11"/>
      <c r="NQK15" s="11"/>
      <c r="NQL15" s="11"/>
      <c r="NQM15" s="11"/>
      <c r="NQN15" s="11"/>
      <c r="NQO15" s="11"/>
      <c r="NQP15" s="11"/>
      <c r="NQQ15" s="11"/>
      <c r="NQR15" s="11"/>
      <c r="NQS15" s="11"/>
      <c r="NQT15" s="11"/>
      <c r="NQU15" s="11"/>
      <c r="NQV15" s="11"/>
      <c r="NQW15" s="11"/>
      <c r="NQX15" s="11"/>
      <c r="NQY15" s="11"/>
      <c r="NQZ15" s="11"/>
      <c r="NRA15" s="11"/>
      <c r="NRB15" s="11"/>
      <c r="NRC15" s="11"/>
      <c r="NRD15" s="11"/>
      <c r="NRE15" s="11"/>
      <c r="NRF15" s="11"/>
      <c r="NRG15" s="11"/>
      <c r="NRH15" s="11"/>
      <c r="NRI15" s="11"/>
      <c r="NRJ15" s="11"/>
      <c r="NRK15" s="11"/>
      <c r="NRL15" s="11"/>
      <c r="NRM15" s="11"/>
      <c r="NRN15" s="11"/>
      <c r="NRO15" s="11"/>
      <c r="NRP15" s="11"/>
      <c r="NRQ15" s="11"/>
      <c r="NRR15" s="11"/>
      <c r="NRS15" s="11"/>
      <c r="NRT15" s="11"/>
      <c r="NRU15" s="11"/>
      <c r="NRV15" s="11"/>
      <c r="NRW15" s="11"/>
      <c r="NRX15" s="11"/>
      <c r="NRY15" s="11"/>
      <c r="NRZ15" s="11"/>
      <c r="NSA15" s="11"/>
      <c r="NSB15" s="11"/>
      <c r="NSC15" s="11"/>
      <c r="NSD15" s="11"/>
      <c r="NSE15" s="11"/>
      <c r="NSF15" s="11"/>
      <c r="NSG15" s="11"/>
      <c r="NSH15" s="11"/>
      <c r="NSI15" s="11"/>
      <c r="NSJ15" s="11"/>
      <c r="NSK15" s="11"/>
      <c r="NSL15" s="11"/>
      <c r="NSM15" s="11"/>
      <c r="NSN15" s="11"/>
      <c r="NSO15" s="11"/>
      <c r="NSP15" s="11"/>
      <c r="NSQ15" s="11"/>
      <c r="NSR15" s="11"/>
      <c r="NSS15" s="11"/>
      <c r="NST15" s="11"/>
      <c r="NSU15" s="11"/>
      <c r="NSV15" s="11"/>
      <c r="NSW15" s="11"/>
      <c r="NSX15" s="11"/>
      <c r="NSY15" s="11"/>
      <c r="NSZ15" s="11"/>
      <c r="NTA15" s="11"/>
      <c r="NTB15" s="11"/>
      <c r="NTC15" s="11"/>
      <c r="NTD15" s="11"/>
      <c r="NTE15" s="11"/>
      <c r="NTF15" s="11"/>
      <c r="NTG15" s="11"/>
      <c r="NTH15" s="11"/>
      <c r="NTI15" s="11"/>
      <c r="NTJ15" s="11"/>
      <c r="NTK15" s="11"/>
      <c r="NTL15" s="11"/>
      <c r="NTM15" s="11"/>
      <c r="NTN15" s="11"/>
      <c r="NTO15" s="11"/>
      <c r="NTP15" s="11"/>
      <c r="NTQ15" s="11"/>
      <c r="NTR15" s="11"/>
      <c r="NTS15" s="11"/>
      <c r="NTT15" s="11"/>
      <c r="NTU15" s="11"/>
      <c r="NTV15" s="11"/>
      <c r="NTW15" s="11"/>
      <c r="NTX15" s="11"/>
      <c r="NTY15" s="11"/>
      <c r="NTZ15" s="11"/>
      <c r="NUA15" s="11"/>
      <c r="NUB15" s="11"/>
      <c r="NUC15" s="11"/>
      <c r="NUD15" s="11"/>
      <c r="NUE15" s="11"/>
      <c r="NUF15" s="11"/>
      <c r="NUG15" s="11"/>
      <c r="NUH15" s="11"/>
      <c r="NUI15" s="11"/>
      <c r="NUJ15" s="11"/>
      <c r="NUK15" s="11"/>
      <c r="NUL15" s="11"/>
      <c r="NUM15" s="11"/>
      <c r="NUN15" s="11"/>
      <c r="NUO15" s="11"/>
      <c r="NUP15" s="11"/>
      <c r="NUQ15" s="11"/>
      <c r="NUR15" s="11"/>
      <c r="NUS15" s="11"/>
      <c r="NUT15" s="11"/>
      <c r="NUU15" s="11"/>
      <c r="NUV15" s="11"/>
      <c r="NUW15" s="11"/>
      <c r="NUX15" s="11"/>
      <c r="NUY15" s="11"/>
      <c r="NUZ15" s="11"/>
      <c r="NVA15" s="11"/>
      <c r="NVB15" s="11"/>
      <c r="NVC15" s="11"/>
      <c r="NVD15" s="11"/>
      <c r="NVE15" s="11"/>
      <c r="NVF15" s="11"/>
      <c r="NVG15" s="11"/>
      <c r="NVH15" s="11"/>
      <c r="NVI15" s="11"/>
      <c r="NVJ15" s="11"/>
      <c r="NVK15" s="11"/>
      <c r="NVL15" s="11"/>
      <c r="NVM15" s="11"/>
      <c r="NVN15" s="11"/>
      <c r="NVO15" s="11"/>
      <c r="NVP15" s="11"/>
      <c r="NVQ15" s="11"/>
      <c r="NVR15" s="11"/>
      <c r="NVS15" s="11"/>
      <c r="NVT15" s="11"/>
      <c r="NVU15" s="11"/>
      <c r="NVV15" s="11"/>
      <c r="NVW15" s="11"/>
      <c r="NVX15" s="11"/>
      <c r="NVY15" s="11"/>
      <c r="NVZ15" s="11"/>
      <c r="NWA15" s="11"/>
      <c r="NWB15" s="11"/>
      <c r="NWC15" s="11"/>
      <c r="NWD15" s="11"/>
      <c r="NWE15" s="11"/>
      <c r="NWF15" s="11"/>
      <c r="NWG15" s="11"/>
      <c r="NWH15" s="11"/>
      <c r="NWI15" s="11"/>
      <c r="NWJ15" s="11"/>
      <c r="NWK15" s="11"/>
      <c r="NWL15" s="11"/>
      <c r="NWM15" s="11"/>
      <c r="NWN15" s="11"/>
      <c r="NWO15" s="11"/>
      <c r="NWP15" s="11"/>
      <c r="NWQ15" s="11"/>
      <c r="NWR15" s="11"/>
      <c r="NWS15" s="11"/>
      <c r="NWT15" s="11"/>
      <c r="NWU15" s="11"/>
      <c r="NWV15" s="11"/>
      <c r="NWW15" s="11"/>
      <c r="NWX15" s="11"/>
      <c r="NWY15" s="11"/>
      <c r="NWZ15" s="11"/>
      <c r="NXA15" s="11"/>
      <c r="NXB15" s="11"/>
      <c r="NXC15" s="11"/>
      <c r="NXD15" s="11"/>
      <c r="NXE15" s="11"/>
      <c r="NXF15" s="11"/>
      <c r="NXG15" s="11"/>
      <c r="NXH15" s="11"/>
      <c r="NXI15" s="11"/>
      <c r="NXJ15" s="11"/>
      <c r="NXK15" s="11"/>
      <c r="NXL15" s="11"/>
      <c r="NXM15" s="11"/>
      <c r="NXN15" s="11"/>
      <c r="NXO15" s="11"/>
      <c r="NXP15" s="11"/>
      <c r="NXQ15" s="11"/>
      <c r="NXR15" s="11"/>
      <c r="NXS15" s="11"/>
      <c r="NXT15" s="11"/>
      <c r="NXU15" s="11"/>
      <c r="NXV15" s="11"/>
      <c r="NXW15" s="11"/>
      <c r="NXX15" s="11"/>
      <c r="NXY15" s="11"/>
      <c r="NXZ15" s="11"/>
      <c r="NYA15" s="11"/>
      <c r="NYB15" s="11"/>
      <c r="NYC15" s="11"/>
      <c r="NYD15" s="11"/>
      <c r="NYE15" s="11"/>
      <c r="NYF15" s="11"/>
      <c r="NYG15" s="11"/>
      <c r="NYH15" s="11"/>
      <c r="NYI15" s="11"/>
      <c r="NYJ15" s="11"/>
      <c r="NYK15" s="11"/>
      <c r="NYL15" s="11"/>
      <c r="NYM15" s="11"/>
      <c r="NYN15" s="11"/>
      <c r="NYO15" s="11"/>
      <c r="NYP15" s="11"/>
      <c r="NYQ15" s="11"/>
      <c r="NYR15" s="11"/>
      <c r="NYS15" s="11"/>
      <c r="NYT15" s="11"/>
      <c r="NYU15" s="11"/>
      <c r="NYV15" s="11"/>
      <c r="NYW15" s="11"/>
      <c r="NYX15" s="11"/>
      <c r="NYY15" s="11"/>
      <c r="NYZ15" s="11"/>
      <c r="NZA15" s="11"/>
      <c r="NZB15" s="11"/>
      <c r="NZC15" s="11"/>
      <c r="NZD15" s="11"/>
      <c r="NZE15" s="11"/>
      <c r="NZF15" s="11"/>
      <c r="NZG15" s="11"/>
      <c r="NZH15" s="11"/>
      <c r="NZI15" s="11"/>
      <c r="NZJ15" s="11"/>
      <c r="NZK15" s="11"/>
      <c r="NZL15" s="11"/>
      <c r="NZM15" s="11"/>
      <c r="NZN15" s="11"/>
      <c r="NZO15" s="11"/>
      <c r="NZP15" s="11"/>
      <c r="NZQ15" s="11"/>
      <c r="NZR15" s="11"/>
      <c r="NZS15" s="11"/>
      <c r="NZT15" s="11"/>
      <c r="NZU15" s="11"/>
      <c r="NZV15" s="11"/>
      <c r="NZW15" s="11"/>
      <c r="NZX15" s="11"/>
      <c r="NZY15" s="11"/>
      <c r="NZZ15" s="11"/>
      <c r="OAA15" s="11"/>
      <c r="OAB15" s="11"/>
      <c r="OAC15" s="11"/>
      <c r="OAD15" s="11"/>
      <c r="OAE15" s="11"/>
      <c r="OAF15" s="11"/>
      <c r="OAG15" s="11"/>
      <c r="OAH15" s="11"/>
      <c r="OAI15" s="11"/>
      <c r="OAJ15" s="11"/>
      <c r="OAK15" s="11"/>
      <c r="OAL15" s="11"/>
      <c r="OAM15" s="11"/>
      <c r="OAN15" s="11"/>
      <c r="OAO15" s="11"/>
      <c r="OAP15" s="11"/>
      <c r="OAQ15" s="11"/>
      <c r="OAR15" s="11"/>
      <c r="OAS15" s="11"/>
      <c r="OAT15" s="11"/>
      <c r="OAU15" s="11"/>
      <c r="OAV15" s="11"/>
      <c r="OAW15" s="11"/>
      <c r="OAX15" s="11"/>
      <c r="OAY15" s="11"/>
      <c r="OAZ15" s="11"/>
      <c r="OBA15" s="11"/>
      <c r="OBB15" s="11"/>
      <c r="OBC15" s="11"/>
      <c r="OBD15" s="11"/>
      <c r="OBE15" s="11"/>
      <c r="OBF15" s="11"/>
      <c r="OBG15" s="11"/>
      <c r="OBH15" s="11"/>
      <c r="OBI15" s="11"/>
      <c r="OBJ15" s="11"/>
      <c r="OBK15" s="11"/>
      <c r="OBL15" s="11"/>
      <c r="OBM15" s="11"/>
      <c r="OBN15" s="11"/>
      <c r="OBO15" s="11"/>
      <c r="OBP15" s="11"/>
      <c r="OBQ15" s="11"/>
      <c r="OBR15" s="11"/>
      <c r="OBS15" s="11"/>
      <c r="OBT15" s="11"/>
      <c r="OBU15" s="11"/>
      <c r="OBV15" s="11"/>
      <c r="OBW15" s="11"/>
      <c r="OBX15" s="11"/>
      <c r="OBY15" s="11"/>
      <c r="OBZ15" s="11"/>
      <c r="OCA15" s="11"/>
      <c r="OCB15" s="11"/>
      <c r="OCC15" s="11"/>
      <c r="OCD15" s="11"/>
      <c r="OCE15" s="11"/>
      <c r="OCF15" s="11"/>
      <c r="OCG15" s="11"/>
      <c r="OCH15" s="11"/>
      <c r="OCI15" s="11"/>
      <c r="OCJ15" s="11"/>
      <c r="OCK15" s="11"/>
      <c r="OCL15" s="11"/>
      <c r="OCM15" s="11"/>
      <c r="OCN15" s="11"/>
      <c r="OCO15" s="11"/>
      <c r="OCP15" s="11"/>
      <c r="OCQ15" s="11"/>
      <c r="OCR15" s="11"/>
      <c r="OCS15" s="11"/>
      <c r="OCT15" s="11"/>
      <c r="OCU15" s="11"/>
      <c r="OCV15" s="11"/>
      <c r="OCW15" s="11"/>
      <c r="OCX15" s="11"/>
      <c r="OCY15" s="11"/>
      <c r="OCZ15" s="11"/>
      <c r="ODA15" s="11"/>
      <c r="ODB15" s="11"/>
      <c r="ODC15" s="11"/>
      <c r="ODD15" s="11"/>
      <c r="ODE15" s="11"/>
      <c r="ODF15" s="11"/>
      <c r="ODG15" s="11"/>
      <c r="ODH15" s="11"/>
      <c r="ODI15" s="11"/>
      <c r="ODJ15" s="11"/>
      <c r="ODK15" s="11"/>
      <c r="ODL15" s="11"/>
      <c r="ODM15" s="11"/>
      <c r="ODN15" s="11"/>
      <c r="ODO15" s="11"/>
      <c r="ODP15" s="11"/>
      <c r="ODQ15" s="11"/>
      <c r="ODR15" s="11"/>
      <c r="ODS15" s="11"/>
      <c r="ODT15" s="11"/>
      <c r="ODU15" s="11"/>
      <c r="ODV15" s="11"/>
      <c r="ODW15" s="11"/>
      <c r="ODX15" s="11"/>
      <c r="ODY15" s="11"/>
      <c r="ODZ15" s="11"/>
      <c r="OEA15" s="11"/>
      <c r="OEB15" s="11"/>
      <c r="OEC15" s="11"/>
      <c r="OED15" s="11"/>
      <c r="OEE15" s="11"/>
      <c r="OEF15" s="11"/>
      <c r="OEG15" s="11"/>
      <c r="OEH15" s="11"/>
      <c r="OEI15" s="11"/>
      <c r="OEJ15" s="11"/>
      <c r="OEK15" s="11"/>
      <c r="OEL15" s="11"/>
      <c r="OEM15" s="11"/>
      <c r="OEN15" s="11"/>
      <c r="OEO15" s="11"/>
      <c r="OEP15" s="11"/>
      <c r="OEQ15" s="11"/>
      <c r="OER15" s="11"/>
      <c r="OES15" s="11"/>
      <c r="OET15" s="11"/>
      <c r="OEU15" s="11"/>
      <c r="OEV15" s="11"/>
      <c r="OEW15" s="11"/>
      <c r="OEX15" s="11"/>
      <c r="OEY15" s="11"/>
      <c r="OEZ15" s="11"/>
      <c r="OFA15" s="11"/>
      <c r="OFB15" s="11"/>
      <c r="OFC15" s="11"/>
      <c r="OFD15" s="11"/>
      <c r="OFE15" s="11"/>
      <c r="OFF15" s="11"/>
      <c r="OFG15" s="11"/>
      <c r="OFH15" s="11"/>
      <c r="OFI15" s="11"/>
      <c r="OFJ15" s="11"/>
      <c r="OFK15" s="11"/>
      <c r="OFL15" s="11"/>
      <c r="OFM15" s="11"/>
      <c r="OFN15" s="11"/>
      <c r="OFO15" s="11"/>
      <c r="OFP15" s="11"/>
      <c r="OFQ15" s="11"/>
      <c r="OFR15" s="11"/>
      <c r="OFS15" s="11"/>
      <c r="OFT15" s="11"/>
      <c r="OFU15" s="11"/>
      <c r="OFV15" s="11"/>
      <c r="OFW15" s="11"/>
      <c r="OFX15" s="11"/>
      <c r="OFY15" s="11"/>
      <c r="OFZ15" s="11"/>
      <c r="OGA15" s="11"/>
      <c r="OGB15" s="11"/>
      <c r="OGC15" s="11"/>
      <c r="OGD15" s="11"/>
      <c r="OGE15" s="11"/>
      <c r="OGF15" s="11"/>
      <c r="OGG15" s="11"/>
      <c r="OGH15" s="11"/>
      <c r="OGI15" s="11"/>
      <c r="OGJ15" s="11"/>
      <c r="OGK15" s="11"/>
      <c r="OGL15" s="11"/>
      <c r="OGM15" s="11"/>
      <c r="OGN15" s="11"/>
      <c r="OGO15" s="11"/>
      <c r="OGP15" s="11"/>
      <c r="OGQ15" s="11"/>
      <c r="OGR15" s="11"/>
      <c r="OGS15" s="11"/>
      <c r="OGT15" s="11"/>
      <c r="OGU15" s="11"/>
      <c r="OGV15" s="11"/>
      <c r="OGW15" s="11"/>
      <c r="OGX15" s="11"/>
      <c r="OGY15" s="11"/>
      <c r="OGZ15" s="11"/>
      <c r="OHA15" s="11"/>
      <c r="OHB15" s="11"/>
      <c r="OHC15" s="11"/>
      <c r="OHD15" s="11"/>
      <c r="OHE15" s="11"/>
      <c r="OHF15" s="11"/>
      <c r="OHG15" s="11"/>
      <c r="OHH15" s="11"/>
      <c r="OHI15" s="11"/>
      <c r="OHJ15" s="11"/>
      <c r="OHK15" s="11"/>
      <c r="OHL15" s="11"/>
      <c r="OHM15" s="11"/>
      <c r="OHN15" s="11"/>
      <c r="OHO15" s="11"/>
      <c r="OHP15" s="11"/>
      <c r="OHQ15" s="11"/>
      <c r="OHR15" s="11"/>
      <c r="OHS15" s="11"/>
      <c r="OHT15" s="11"/>
      <c r="OHU15" s="11"/>
      <c r="OHV15" s="11"/>
      <c r="OHW15" s="11"/>
      <c r="OHX15" s="11"/>
      <c r="OHY15" s="11"/>
      <c r="OHZ15" s="11"/>
      <c r="OIA15" s="11"/>
      <c r="OIB15" s="11"/>
      <c r="OIC15" s="11"/>
      <c r="OID15" s="11"/>
      <c r="OIE15" s="11"/>
      <c r="OIF15" s="11"/>
      <c r="OIG15" s="11"/>
      <c r="OIH15" s="11"/>
      <c r="OII15" s="11"/>
      <c r="OIJ15" s="11"/>
      <c r="OIK15" s="11"/>
      <c r="OIL15" s="11"/>
      <c r="OIM15" s="11"/>
      <c r="OIN15" s="11"/>
      <c r="OIO15" s="11"/>
      <c r="OIP15" s="11"/>
      <c r="OIQ15" s="11"/>
      <c r="OIR15" s="11"/>
      <c r="OIS15" s="11"/>
      <c r="OIT15" s="11"/>
      <c r="OIU15" s="11"/>
      <c r="OIV15" s="11"/>
      <c r="OIW15" s="11"/>
      <c r="OIX15" s="11"/>
      <c r="OIY15" s="11"/>
      <c r="OIZ15" s="11"/>
      <c r="OJA15" s="11"/>
      <c r="OJB15" s="11"/>
      <c r="OJC15" s="11"/>
      <c r="OJD15" s="11"/>
      <c r="OJE15" s="11"/>
      <c r="OJF15" s="11"/>
      <c r="OJG15" s="11"/>
      <c r="OJH15" s="11"/>
      <c r="OJI15" s="11"/>
      <c r="OJJ15" s="11"/>
      <c r="OJK15" s="11"/>
      <c r="OJL15" s="11"/>
      <c r="OJM15" s="11"/>
      <c r="OJN15" s="11"/>
      <c r="OJO15" s="11"/>
      <c r="OJP15" s="11"/>
      <c r="OJQ15" s="11"/>
      <c r="OJR15" s="11"/>
      <c r="OJS15" s="11"/>
      <c r="OJT15" s="11"/>
      <c r="OJU15" s="11"/>
      <c r="OJV15" s="11"/>
      <c r="OJW15" s="11"/>
      <c r="OJX15" s="11"/>
      <c r="OJY15" s="11"/>
      <c r="OJZ15" s="11"/>
      <c r="OKA15" s="11"/>
      <c r="OKB15" s="11"/>
      <c r="OKC15" s="11"/>
      <c r="OKD15" s="11"/>
      <c r="OKE15" s="11"/>
      <c r="OKF15" s="11"/>
      <c r="OKG15" s="11"/>
      <c r="OKH15" s="11"/>
      <c r="OKI15" s="11"/>
      <c r="OKJ15" s="11"/>
      <c r="OKK15" s="11"/>
      <c r="OKL15" s="11"/>
      <c r="OKM15" s="11"/>
      <c r="OKN15" s="11"/>
      <c r="OKO15" s="11"/>
      <c r="OKP15" s="11"/>
      <c r="OKQ15" s="11"/>
      <c r="OKR15" s="11"/>
      <c r="OKS15" s="11"/>
      <c r="OKT15" s="11"/>
      <c r="OKU15" s="11"/>
      <c r="OKV15" s="11"/>
      <c r="OKW15" s="11"/>
      <c r="OKX15" s="11"/>
      <c r="OKY15" s="11"/>
      <c r="OKZ15" s="11"/>
      <c r="OLA15" s="11"/>
      <c r="OLB15" s="11"/>
      <c r="OLC15" s="11"/>
      <c r="OLD15" s="11"/>
      <c r="OLE15" s="11"/>
      <c r="OLF15" s="11"/>
      <c r="OLG15" s="11"/>
      <c r="OLH15" s="11"/>
      <c r="OLI15" s="11"/>
      <c r="OLJ15" s="11"/>
      <c r="OLK15" s="11"/>
      <c r="OLL15" s="11"/>
      <c r="OLM15" s="11"/>
      <c r="OLN15" s="11"/>
      <c r="OLO15" s="11"/>
      <c r="OLP15" s="11"/>
      <c r="OLQ15" s="11"/>
      <c r="OLR15" s="11"/>
      <c r="OLS15" s="11"/>
      <c r="OLT15" s="11"/>
      <c r="OLU15" s="11"/>
      <c r="OLV15" s="11"/>
      <c r="OLW15" s="11"/>
      <c r="OLX15" s="11"/>
      <c r="OLY15" s="11"/>
      <c r="OLZ15" s="11"/>
      <c r="OMA15" s="11"/>
      <c r="OMB15" s="11"/>
      <c r="OMC15" s="11"/>
      <c r="OMD15" s="11"/>
      <c r="OME15" s="11"/>
      <c r="OMF15" s="11"/>
      <c r="OMG15" s="11"/>
      <c r="OMH15" s="11"/>
      <c r="OMI15" s="11"/>
      <c r="OMJ15" s="11"/>
      <c r="OMK15" s="11"/>
      <c r="OML15" s="11"/>
      <c r="OMM15" s="11"/>
      <c r="OMN15" s="11"/>
      <c r="OMO15" s="11"/>
      <c r="OMP15" s="11"/>
      <c r="OMQ15" s="11"/>
      <c r="OMR15" s="11"/>
      <c r="OMS15" s="11"/>
      <c r="OMT15" s="11"/>
      <c r="OMU15" s="11"/>
      <c r="OMV15" s="11"/>
      <c r="OMW15" s="11"/>
      <c r="OMX15" s="11"/>
      <c r="OMY15" s="11"/>
      <c r="OMZ15" s="11"/>
      <c r="ONA15" s="11"/>
      <c r="ONB15" s="11"/>
      <c r="ONC15" s="11"/>
      <c r="OND15" s="11"/>
      <c r="ONE15" s="11"/>
      <c r="ONF15" s="11"/>
      <c r="ONG15" s="11"/>
      <c r="ONH15" s="11"/>
      <c r="ONI15" s="11"/>
      <c r="ONJ15" s="11"/>
      <c r="ONK15" s="11"/>
      <c r="ONL15" s="11"/>
      <c r="ONM15" s="11"/>
      <c r="ONN15" s="11"/>
      <c r="ONO15" s="11"/>
      <c r="ONP15" s="11"/>
      <c r="ONQ15" s="11"/>
      <c r="ONR15" s="11"/>
      <c r="ONS15" s="11"/>
      <c r="ONT15" s="11"/>
      <c r="ONU15" s="11"/>
      <c r="ONV15" s="11"/>
      <c r="ONW15" s="11"/>
      <c r="ONX15" s="11"/>
      <c r="ONY15" s="11"/>
      <c r="ONZ15" s="11"/>
      <c r="OOA15" s="11"/>
      <c r="OOB15" s="11"/>
      <c r="OOC15" s="11"/>
      <c r="OOD15" s="11"/>
      <c r="OOE15" s="11"/>
      <c r="OOF15" s="11"/>
      <c r="OOG15" s="11"/>
      <c r="OOH15" s="11"/>
      <c r="OOI15" s="11"/>
      <c r="OOJ15" s="11"/>
      <c r="OOK15" s="11"/>
      <c r="OOL15" s="11"/>
      <c r="OOM15" s="11"/>
      <c r="OON15" s="11"/>
      <c r="OOO15" s="11"/>
      <c r="OOP15" s="11"/>
      <c r="OOQ15" s="11"/>
      <c r="OOR15" s="11"/>
      <c r="OOS15" s="11"/>
      <c r="OOT15" s="11"/>
      <c r="OOU15" s="11"/>
      <c r="OOV15" s="11"/>
      <c r="OOW15" s="11"/>
      <c r="OOX15" s="11"/>
      <c r="OOY15" s="11"/>
      <c r="OOZ15" s="11"/>
      <c r="OPA15" s="11"/>
      <c r="OPB15" s="11"/>
      <c r="OPC15" s="11"/>
      <c r="OPD15" s="11"/>
      <c r="OPE15" s="11"/>
      <c r="OPF15" s="11"/>
      <c r="OPG15" s="11"/>
      <c r="OPH15" s="11"/>
      <c r="OPI15" s="11"/>
      <c r="OPJ15" s="11"/>
      <c r="OPK15" s="11"/>
      <c r="OPL15" s="11"/>
      <c r="OPM15" s="11"/>
      <c r="OPN15" s="11"/>
      <c r="OPO15" s="11"/>
      <c r="OPP15" s="11"/>
      <c r="OPQ15" s="11"/>
      <c r="OPR15" s="11"/>
      <c r="OPS15" s="11"/>
      <c r="OPT15" s="11"/>
      <c r="OPU15" s="11"/>
      <c r="OPV15" s="11"/>
      <c r="OPW15" s="11"/>
      <c r="OPX15" s="11"/>
      <c r="OPY15" s="11"/>
      <c r="OPZ15" s="11"/>
      <c r="OQA15" s="11"/>
      <c r="OQB15" s="11"/>
      <c r="OQC15" s="11"/>
      <c r="OQD15" s="11"/>
      <c r="OQE15" s="11"/>
      <c r="OQF15" s="11"/>
      <c r="OQG15" s="11"/>
      <c r="OQH15" s="11"/>
      <c r="OQI15" s="11"/>
      <c r="OQJ15" s="11"/>
      <c r="OQK15" s="11"/>
      <c r="OQL15" s="11"/>
      <c r="OQM15" s="11"/>
      <c r="OQN15" s="11"/>
      <c r="OQO15" s="11"/>
      <c r="OQP15" s="11"/>
      <c r="OQQ15" s="11"/>
      <c r="OQR15" s="11"/>
      <c r="OQS15" s="11"/>
      <c r="OQT15" s="11"/>
      <c r="OQU15" s="11"/>
      <c r="OQV15" s="11"/>
      <c r="OQW15" s="11"/>
      <c r="OQX15" s="11"/>
      <c r="OQY15" s="11"/>
      <c r="OQZ15" s="11"/>
      <c r="ORA15" s="11"/>
      <c r="ORB15" s="11"/>
      <c r="ORC15" s="11"/>
      <c r="ORD15" s="11"/>
      <c r="ORE15" s="11"/>
      <c r="ORF15" s="11"/>
      <c r="ORG15" s="11"/>
      <c r="ORH15" s="11"/>
      <c r="ORI15" s="11"/>
      <c r="ORJ15" s="11"/>
      <c r="ORK15" s="11"/>
      <c r="ORL15" s="11"/>
      <c r="ORM15" s="11"/>
      <c r="ORN15" s="11"/>
      <c r="ORO15" s="11"/>
      <c r="ORP15" s="11"/>
      <c r="ORQ15" s="11"/>
      <c r="ORR15" s="11"/>
      <c r="ORS15" s="11"/>
      <c r="ORT15" s="11"/>
      <c r="ORU15" s="11"/>
      <c r="ORV15" s="11"/>
      <c r="ORW15" s="11"/>
      <c r="ORX15" s="11"/>
      <c r="ORY15" s="11"/>
      <c r="ORZ15" s="11"/>
      <c r="OSA15" s="11"/>
      <c r="OSB15" s="11"/>
      <c r="OSC15" s="11"/>
      <c r="OSD15" s="11"/>
      <c r="OSE15" s="11"/>
      <c r="OSF15" s="11"/>
      <c r="OSG15" s="11"/>
      <c r="OSH15" s="11"/>
      <c r="OSI15" s="11"/>
      <c r="OSJ15" s="11"/>
      <c r="OSK15" s="11"/>
      <c r="OSL15" s="11"/>
      <c r="OSM15" s="11"/>
      <c r="OSN15" s="11"/>
      <c r="OSO15" s="11"/>
      <c r="OSP15" s="11"/>
      <c r="OSQ15" s="11"/>
      <c r="OSR15" s="11"/>
      <c r="OSS15" s="11"/>
      <c r="OST15" s="11"/>
      <c r="OSU15" s="11"/>
      <c r="OSV15" s="11"/>
      <c r="OSW15" s="11"/>
      <c r="OSX15" s="11"/>
      <c r="OSY15" s="11"/>
      <c r="OSZ15" s="11"/>
      <c r="OTA15" s="11"/>
      <c r="OTB15" s="11"/>
      <c r="OTC15" s="11"/>
      <c r="OTD15" s="11"/>
      <c r="OTE15" s="11"/>
      <c r="OTF15" s="11"/>
      <c r="OTG15" s="11"/>
      <c r="OTH15" s="11"/>
      <c r="OTI15" s="11"/>
      <c r="OTJ15" s="11"/>
      <c r="OTK15" s="11"/>
      <c r="OTL15" s="11"/>
      <c r="OTM15" s="11"/>
      <c r="OTN15" s="11"/>
      <c r="OTO15" s="11"/>
      <c r="OTP15" s="11"/>
      <c r="OTQ15" s="11"/>
      <c r="OTR15" s="11"/>
      <c r="OTS15" s="11"/>
      <c r="OTT15" s="11"/>
      <c r="OTU15" s="11"/>
      <c r="OTV15" s="11"/>
      <c r="OTW15" s="11"/>
      <c r="OTX15" s="11"/>
      <c r="OTY15" s="11"/>
      <c r="OTZ15" s="11"/>
      <c r="OUA15" s="11"/>
      <c r="OUB15" s="11"/>
      <c r="OUC15" s="11"/>
      <c r="OUD15" s="11"/>
      <c r="OUE15" s="11"/>
      <c r="OUF15" s="11"/>
      <c r="OUG15" s="11"/>
      <c r="OUH15" s="11"/>
      <c r="OUI15" s="11"/>
      <c r="OUJ15" s="11"/>
      <c r="OUK15" s="11"/>
      <c r="OUL15" s="11"/>
      <c r="OUM15" s="11"/>
      <c r="OUN15" s="11"/>
      <c r="OUO15" s="11"/>
      <c r="OUP15" s="11"/>
      <c r="OUQ15" s="11"/>
      <c r="OUR15" s="11"/>
      <c r="OUS15" s="11"/>
      <c r="OUT15" s="11"/>
      <c r="OUU15" s="11"/>
      <c r="OUV15" s="11"/>
      <c r="OUW15" s="11"/>
      <c r="OUX15" s="11"/>
      <c r="OUY15" s="11"/>
      <c r="OUZ15" s="11"/>
      <c r="OVA15" s="11"/>
      <c r="OVB15" s="11"/>
      <c r="OVC15" s="11"/>
      <c r="OVD15" s="11"/>
      <c r="OVE15" s="11"/>
      <c r="OVF15" s="11"/>
      <c r="OVG15" s="11"/>
      <c r="OVH15" s="11"/>
      <c r="OVI15" s="11"/>
      <c r="OVJ15" s="11"/>
      <c r="OVK15" s="11"/>
      <c r="OVL15" s="11"/>
      <c r="OVM15" s="11"/>
      <c r="OVN15" s="11"/>
      <c r="OVO15" s="11"/>
      <c r="OVP15" s="11"/>
      <c r="OVQ15" s="11"/>
      <c r="OVR15" s="11"/>
      <c r="OVS15" s="11"/>
      <c r="OVT15" s="11"/>
      <c r="OVU15" s="11"/>
      <c r="OVV15" s="11"/>
      <c r="OVW15" s="11"/>
      <c r="OVX15" s="11"/>
      <c r="OVY15" s="11"/>
      <c r="OVZ15" s="11"/>
      <c r="OWA15" s="11"/>
      <c r="OWB15" s="11"/>
      <c r="OWC15" s="11"/>
      <c r="OWD15" s="11"/>
      <c r="OWE15" s="11"/>
      <c r="OWF15" s="11"/>
      <c r="OWG15" s="11"/>
      <c r="OWH15" s="11"/>
      <c r="OWI15" s="11"/>
      <c r="OWJ15" s="11"/>
      <c r="OWK15" s="11"/>
      <c r="OWL15" s="11"/>
      <c r="OWM15" s="11"/>
      <c r="OWN15" s="11"/>
      <c r="OWO15" s="11"/>
      <c r="OWP15" s="11"/>
      <c r="OWQ15" s="11"/>
      <c r="OWR15" s="11"/>
      <c r="OWS15" s="11"/>
      <c r="OWT15" s="11"/>
      <c r="OWU15" s="11"/>
      <c r="OWV15" s="11"/>
      <c r="OWW15" s="11"/>
      <c r="OWX15" s="11"/>
      <c r="OWY15" s="11"/>
      <c r="OWZ15" s="11"/>
      <c r="OXA15" s="11"/>
      <c r="OXB15" s="11"/>
      <c r="OXC15" s="11"/>
      <c r="OXD15" s="11"/>
      <c r="OXE15" s="11"/>
      <c r="OXF15" s="11"/>
      <c r="OXG15" s="11"/>
      <c r="OXH15" s="11"/>
      <c r="OXI15" s="11"/>
      <c r="OXJ15" s="11"/>
      <c r="OXK15" s="11"/>
      <c r="OXL15" s="11"/>
      <c r="OXM15" s="11"/>
      <c r="OXN15" s="11"/>
      <c r="OXO15" s="11"/>
      <c r="OXP15" s="11"/>
      <c r="OXQ15" s="11"/>
      <c r="OXR15" s="11"/>
      <c r="OXS15" s="11"/>
      <c r="OXT15" s="11"/>
      <c r="OXU15" s="11"/>
      <c r="OXV15" s="11"/>
      <c r="OXW15" s="11"/>
      <c r="OXX15" s="11"/>
      <c r="OXY15" s="11"/>
      <c r="OXZ15" s="11"/>
      <c r="OYA15" s="11"/>
      <c r="OYB15" s="11"/>
      <c r="OYC15" s="11"/>
      <c r="OYD15" s="11"/>
      <c r="OYE15" s="11"/>
      <c r="OYF15" s="11"/>
      <c r="OYG15" s="11"/>
      <c r="OYH15" s="11"/>
      <c r="OYI15" s="11"/>
      <c r="OYJ15" s="11"/>
      <c r="OYK15" s="11"/>
      <c r="OYL15" s="11"/>
      <c r="OYM15" s="11"/>
      <c r="OYN15" s="11"/>
      <c r="OYO15" s="11"/>
      <c r="OYP15" s="11"/>
      <c r="OYQ15" s="11"/>
      <c r="OYR15" s="11"/>
      <c r="OYS15" s="11"/>
      <c r="OYT15" s="11"/>
      <c r="OYU15" s="11"/>
      <c r="OYV15" s="11"/>
      <c r="OYW15" s="11"/>
      <c r="OYX15" s="11"/>
      <c r="OYY15" s="11"/>
      <c r="OYZ15" s="11"/>
      <c r="OZA15" s="11"/>
      <c r="OZB15" s="11"/>
      <c r="OZC15" s="11"/>
      <c r="OZD15" s="11"/>
      <c r="OZE15" s="11"/>
      <c r="OZF15" s="11"/>
      <c r="OZG15" s="11"/>
      <c r="OZH15" s="11"/>
      <c r="OZI15" s="11"/>
      <c r="OZJ15" s="11"/>
      <c r="OZK15" s="11"/>
      <c r="OZL15" s="11"/>
      <c r="OZM15" s="11"/>
      <c r="OZN15" s="11"/>
      <c r="OZO15" s="11"/>
      <c r="OZP15" s="11"/>
      <c r="OZQ15" s="11"/>
      <c r="OZR15" s="11"/>
      <c r="OZS15" s="11"/>
      <c r="OZT15" s="11"/>
      <c r="OZU15" s="11"/>
      <c r="OZV15" s="11"/>
      <c r="OZW15" s="11"/>
      <c r="OZX15" s="11"/>
      <c r="OZY15" s="11"/>
      <c r="OZZ15" s="11"/>
      <c r="PAA15" s="11"/>
      <c r="PAB15" s="11"/>
      <c r="PAC15" s="11"/>
      <c r="PAD15" s="11"/>
      <c r="PAE15" s="11"/>
      <c r="PAF15" s="11"/>
      <c r="PAG15" s="11"/>
      <c r="PAH15" s="11"/>
      <c r="PAI15" s="11"/>
      <c r="PAJ15" s="11"/>
      <c r="PAK15" s="11"/>
      <c r="PAL15" s="11"/>
      <c r="PAM15" s="11"/>
      <c r="PAN15" s="11"/>
      <c r="PAO15" s="11"/>
      <c r="PAP15" s="11"/>
      <c r="PAQ15" s="11"/>
      <c r="PAR15" s="11"/>
      <c r="PAS15" s="11"/>
      <c r="PAT15" s="11"/>
      <c r="PAU15" s="11"/>
      <c r="PAV15" s="11"/>
      <c r="PAW15" s="11"/>
      <c r="PAX15" s="11"/>
      <c r="PAY15" s="11"/>
      <c r="PAZ15" s="11"/>
      <c r="PBA15" s="11"/>
      <c r="PBB15" s="11"/>
      <c r="PBC15" s="11"/>
      <c r="PBD15" s="11"/>
      <c r="PBE15" s="11"/>
      <c r="PBF15" s="11"/>
      <c r="PBG15" s="11"/>
      <c r="PBH15" s="11"/>
      <c r="PBI15" s="11"/>
      <c r="PBJ15" s="11"/>
      <c r="PBK15" s="11"/>
      <c r="PBL15" s="11"/>
      <c r="PBM15" s="11"/>
      <c r="PBN15" s="11"/>
      <c r="PBO15" s="11"/>
      <c r="PBP15" s="11"/>
      <c r="PBQ15" s="11"/>
      <c r="PBR15" s="11"/>
      <c r="PBS15" s="11"/>
      <c r="PBT15" s="11"/>
      <c r="PBU15" s="11"/>
      <c r="PBV15" s="11"/>
      <c r="PBW15" s="11"/>
      <c r="PBX15" s="11"/>
      <c r="PBY15" s="11"/>
      <c r="PBZ15" s="11"/>
      <c r="PCA15" s="11"/>
      <c r="PCB15" s="11"/>
      <c r="PCC15" s="11"/>
      <c r="PCD15" s="11"/>
      <c r="PCE15" s="11"/>
      <c r="PCF15" s="11"/>
      <c r="PCG15" s="11"/>
      <c r="PCH15" s="11"/>
      <c r="PCI15" s="11"/>
      <c r="PCJ15" s="11"/>
      <c r="PCK15" s="11"/>
      <c r="PCL15" s="11"/>
      <c r="PCM15" s="11"/>
      <c r="PCN15" s="11"/>
      <c r="PCO15" s="11"/>
      <c r="PCP15" s="11"/>
      <c r="PCQ15" s="11"/>
      <c r="PCR15" s="11"/>
      <c r="PCS15" s="11"/>
      <c r="PCT15" s="11"/>
      <c r="PCU15" s="11"/>
      <c r="PCV15" s="11"/>
      <c r="PCW15" s="11"/>
      <c r="PCX15" s="11"/>
      <c r="PCY15" s="11"/>
      <c r="PCZ15" s="11"/>
      <c r="PDA15" s="11"/>
      <c r="PDB15" s="11"/>
      <c r="PDC15" s="11"/>
      <c r="PDD15" s="11"/>
      <c r="PDE15" s="11"/>
      <c r="PDF15" s="11"/>
      <c r="PDG15" s="11"/>
      <c r="PDH15" s="11"/>
      <c r="PDI15" s="11"/>
      <c r="PDJ15" s="11"/>
      <c r="PDK15" s="11"/>
      <c r="PDL15" s="11"/>
      <c r="PDM15" s="11"/>
      <c r="PDN15" s="11"/>
      <c r="PDO15" s="11"/>
      <c r="PDP15" s="11"/>
      <c r="PDQ15" s="11"/>
      <c r="PDR15" s="11"/>
      <c r="PDS15" s="11"/>
      <c r="PDT15" s="11"/>
      <c r="PDU15" s="11"/>
      <c r="PDV15" s="11"/>
      <c r="PDW15" s="11"/>
      <c r="PDX15" s="11"/>
      <c r="PDY15" s="11"/>
      <c r="PDZ15" s="11"/>
      <c r="PEA15" s="11"/>
      <c r="PEB15" s="11"/>
      <c r="PEC15" s="11"/>
      <c r="PED15" s="11"/>
      <c r="PEE15" s="11"/>
      <c r="PEF15" s="11"/>
      <c r="PEG15" s="11"/>
      <c r="PEH15" s="11"/>
      <c r="PEI15" s="11"/>
      <c r="PEJ15" s="11"/>
      <c r="PEK15" s="11"/>
      <c r="PEL15" s="11"/>
      <c r="PEM15" s="11"/>
      <c r="PEN15" s="11"/>
      <c r="PEO15" s="11"/>
      <c r="PEP15" s="11"/>
      <c r="PEQ15" s="11"/>
      <c r="PER15" s="11"/>
      <c r="PES15" s="11"/>
      <c r="PET15" s="11"/>
      <c r="PEU15" s="11"/>
      <c r="PEV15" s="11"/>
      <c r="PEW15" s="11"/>
      <c r="PEX15" s="11"/>
      <c r="PEY15" s="11"/>
      <c r="PEZ15" s="11"/>
      <c r="PFA15" s="11"/>
      <c r="PFB15" s="11"/>
      <c r="PFC15" s="11"/>
      <c r="PFD15" s="11"/>
      <c r="PFE15" s="11"/>
      <c r="PFF15" s="11"/>
      <c r="PFG15" s="11"/>
      <c r="PFH15" s="11"/>
      <c r="PFI15" s="11"/>
      <c r="PFJ15" s="11"/>
      <c r="PFK15" s="11"/>
      <c r="PFL15" s="11"/>
      <c r="PFM15" s="11"/>
      <c r="PFN15" s="11"/>
      <c r="PFO15" s="11"/>
      <c r="PFP15" s="11"/>
      <c r="PFQ15" s="11"/>
      <c r="PFR15" s="11"/>
      <c r="PFS15" s="11"/>
      <c r="PFT15" s="11"/>
      <c r="PFU15" s="11"/>
      <c r="PFV15" s="11"/>
      <c r="PFW15" s="11"/>
      <c r="PFX15" s="11"/>
      <c r="PFY15" s="11"/>
      <c r="PFZ15" s="11"/>
      <c r="PGA15" s="11"/>
      <c r="PGB15" s="11"/>
      <c r="PGC15" s="11"/>
      <c r="PGD15" s="11"/>
      <c r="PGE15" s="11"/>
      <c r="PGF15" s="11"/>
      <c r="PGG15" s="11"/>
      <c r="PGH15" s="11"/>
      <c r="PGI15" s="11"/>
      <c r="PGJ15" s="11"/>
      <c r="PGK15" s="11"/>
      <c r="PGL15" s="11"/>
      <c r="PGM15" s="11"/>
      <c r="PGN15" s="11"/>
      <c r="PGO15" s="11"/>
      <c r="PGP15" s="11"/>
      <c r="PGQ15" s="11"/>
      <c r="PGR15" s="11"/>
      <c r="PGS15" s="11"/>
      <c r="PGT15" s="11"/>
      <c r="PGU15" s="11"/>
      <c r="PGV15" s="11"/>
      <c r="PGW15" s="11"/>
      <c r="PGX15" s="11"/>
      <c r="PGY15" s="11"/>
      <c r="PGZ15" s="11"/>
      <c r="PHA15" s="11"/>
      <c r="PHB15" s="11"/>
      <c r="PHC15" s="11"/>
      <c r="PHD15" s="11"/>
      <c r="PHE15" s="11"/>
      <c r="PHF15" s="11"/>
      <c r="PHG15" s="11"/>
      <c r="PHH15" s="11"/>
      <c r="PHI15" s="11"/>
      <c r="PHJ15" s="11"/>
      <c r="PHK15" s="11"/>
      <c r="PHL15" s="11"/>
      <c r="PHM15" s="11"/>
      <c r="PHN15" s="11"/>
      <c r="PHO15" s="11"/>
      <c r="PHP15" s="11"/>
      <c r="PHQ15" s="11"/>
      <c r="PHR15" s="11"/>
      <c r="PHS15" s="11"/>
      <c r="PHT15" s="11"/>
      <c r="PHU15" s="11"/>
      <c r="PHV15" s="11"/>
      <c r="PHW15" s="11"/>
      <c r="PHX15" s="11"/>
      <c r="PHY15" s="11"/>
      <c r="PHZ15" s="11"/>
      <c r="PIA15" s="11"/>
      <c r="PIB15" s="11"/>
      <c r="PIC15" s="11"/>
      <c r="PID15" s="11"/>
      <c r="PIE15" s="11"/>
      <c r="PIF15" s="11"/>
      <c r="PIG15" s="11"/>
      <c r="PIH15" s="11"/>
      <c r="PII15" s="11"/>
      <c r="PIJ15" s="11"/>
      <c r="PIK15" s="11"/>
      <c r="PIL15" s="11"/>
      <c r="PIM15" s="11"/>
      <c r="PIN15" s="11"/>
      <c r="PIO15" s="11"/>
      <c r="PIP15" s="11"/>
      <c r="PIQ15" s="11"/>
      <c r="PIR15" s="11"/>
      <c r="PIS15" s="11"/>
      <c r="PIT15" s="11"/>
      <c r="PIU15" s="11"/>
      <c r="PIV15" s="11"/>
      <c r="PIW15" s="11"/>
      <c r="PIX15" s="11"/>
      <c r="PIY15" s="11"/>
      <c r="PIZ15" s="11"/>
      <c r="PJA15" s="11"/>
      <c r="PJB15" s="11"/>
      <c r="PJC15" s="11"/>
      <c r="PJD15" s="11"/>
      <c r="PJE15" s="11"/>
      <c r="PJF15" s="11"/>
      <c r="PJG15" s="11"/>
      <c r="PJH15" s="11"/>
      <c r="PJI15" s="11"/>
      <c r="PJJ15" s="11"/>
      <c r="PJK15" s="11"/>
      <c r="PJL15" s="11"/>
      <c r="PJM15" s="11"/>
      <c r="PJN15" s="11"/>
      <c r="PJO15" s="11"/>
      <c r="PJP15" s="11"/>
      <c r="PJQ15" s="11"/>
      <c r="PJR15" s="11"/>
      <c r="PJS15" s="11"/>
      <c r="PJT15" s="11"/>
      <c r="PJU15" s="11"/>
      <c r="PJV15" s="11"/>
      <c r="PJW15" s="11"/>
      <c r="PJX15" s="11"/>
      <c r="PJY15" s="11"/>
      <c r="PJZ15" s="11"/>
      <c r="PKA15" s="11"/>
      <c r="PKB15" s="11"/>
      <c r="PKC15" s="11"/>
      <c r="PKD15" s="11"/>
      <c r="PKE15" s="11"/>
      <c r="PKF15" s="11"/>
      <c r="PKG15" s="11"/>
      <c r="PKH15" s="11"/>
      <c r="PKI15" s="11"/>
      <c r="PKJ15" s="11"/>
      <c r="PKK15" s="11"/>
      <c r="PKL15" s="11"/>
      <c r="PKM15" s="11"/>
      <c r="PKN15" s="11"/>
      <c r="PKO15" s="11"/>
      <c r="PKP15" s="11"/>
      <c r="PKQ15" s="11"/>
      <c r="PKR15" s="11"/>
      <c r="PKS15" s="11"/>
      <c r="PKT15" s="11"/>
      <c r="PKU15" s="11"/>
      <c r="PKV15" s="11"/>
      <c r="PKW15" s="11"/>
      <c r="PKX15" s="11"/>
      <c r="PKY15" s="11"/>
      <c r="PKZ15" s="11"/>
      <c r="PLA15" s="11"/>
      <c r="PLB15" s="11"/>
      <c r="PLC15" s="11"/>
      <c r="PLD15" s="11"/>
      <c r="PLE15" s="11"/>
      <c r="PLF15" s="11"/>
      <c r="PLG15" s="11"/>
      <c r="PLH15" s="11"/>
      <c r="PLI15" s="11"/>
      <c r="PLJ15" s="11"/>
      <c r="PLK15" s="11"/>
      <c r="PLL15" s="11"/>
      <c r="PLM15" s="11"/>
      <c r="PLN15" s="11"/>
      <c r="PLO15" s="11"/>
      <c r="PLP15" s="11"/>
      <c r="PLQ15" s="11"/>
      <c r="PLR15" s="11"/>
      <c r="PLS15" s="11"/>
      <c r="PLT15" s="11"/>
      <c r="PLU15" s="11"/>
      <c r="PLV15" s="11"/>
      <c r="PLW15" s="11"/>
      <c r="PLX15" s="11"/>
      <c r="PLY15" s="11"/>
      <c r="PLZ15" s="11"/>
      <c r="PMA15" s="11"/>
      <c r="PMB15" s="11"/>
      <c r="PMC15" s="11"/>
      <c r="PMD15" s="11"/>
      <c r="PME15" s="11"/>
      <c r="PMF15" s="11"/>
      <c r="PMG15" s="11"/>
      <c r="PMH15" s="11"/>
      <c r="PMI15" s="11"/>
      <c r="PMJ15" s="11"/>
      <c r="PMK15" s="11"/>
      <c r="PML15" s="11"/>
      <c r="PMM15" s="11"/>
      <c r="PMN15" s="11"/>
      <c r="PMO15" s="11"/>
      <c r="PMP15" s="11"/>
      <c r="PMQ15" s="11"/>
      <c r="PMR15" s="11"/>
      <c r="PMS15" s="11"/>
      <c r="PMT15" s="11"/>
      <c r="PMU15" s="11"/>
      <c r="PMV15" s="11"/>
      <c r="PMW15" s="11"/>
      <c r="PMX15" s="11"/>
      <c r="PMY15" s="11"/>
      <c r="PMZ15" s="11"/>
      <c r="PNA15" s="11"/>
      <c r="PNB15" s="11"/>
      <c r="PNC15" s="11"/>
      <c r="PND15" s="11"/>
      <c r="PNE15" s="11"/>
      <c r="PNF15" s="11"/>
      <c r="PNG15" s="11"/>
      <c r="PNH15" s="11"/>
      <c r="PNI15" s="11"/>
      <c r="PNJ15" s="11"/>
      <c r="PNK15" s="11"/>
      <c r="PNL15" s="11"/>
      <c r="PNM15" s="11"/>
      <c r="PNN15" s="11"/>
      <c r="PNO15" s="11"/>
      <c r="PNP15" s="11"/>
      <c r="PNQ15" s="11"/>
      <c r="PNR15" s="11"/>
      <c r="PNS15" s="11"/>
      <c r="PNT15" s="11"/>
      <c r="PNU15" s="11"/>
      <c r="PNV15" s="11"/>
      <c r="PNW15" s="11"/>
      <c r="PNX15" s="11"/>
      <c r="PNY15" s="11"/>
      <c r="PNZ15" s="11"/>
      <c r="POA15" s="11"/>
      <c r="POB15" s="11"/>
      <c r="POC15" s="11"/>
      <c r="POD15" s="11"/>
      <c r="POE15" s="11"/>
      <c r="POF15" s="11"/>
      <c r="POG15" s="11"/>
      <c r="POH15" s="11"/>
      <c r="POI15" s="11"/>
      <c r="POJ15" s="11"/>
      <c r="POK15" s="11"/>
      <c r="POL15" s="11"/>
      <c r="POM15" s="11"/>
      <c r="PON15" s="11"/>
      <c r="POO15" s="11"/>
      <c r="POP15" s="11"/>
      <c r="POQ15" s="11"/>
      <c r="POR15" s="11"/>
      <c r="POS15" s="11"/>
      <c r="POT15" s="11"/>
      <c r="POU15" s="11"/>
      <c r="POV15" s="11"/>
      <c r="POW15" s="11"/>
      <c r="POX15" s="11"/>
      <c r="POY15" s="11"/>
      <c r="POZ15" s="11"/>
      <c r="PPA15" s="11"/>
      <c r="PPB15" s="11"/>
      <c r="PPC15" s="11"/>
      <c r="PPD15" s="11"/>
      <c r="PPE15" s="11"/>
      <c r="PPF15" s="11"/>
      <c r="PPG15" s="11"/>
      <c r="PPH15" s="11"/>
      <c r="PPI15" s="11"/>
      <c r="PPJ15" s="11"/>
      <c r="PPK15" s="11"/>
      <c r="PPL15" s="11"/>
      <c r="PPM15" s="11"/>
      <c r="PPN15" s="11"/>
      <c r="PPO15" s="11"/>
      <c r="PPP15" s="11"/>
      <c r="PPQ15" s="11"/>
      <c r="PPR15" s="11"/>
      <c r="PPS15" s="11"/>
      <c r="PPT15" s="11"/>
      <c r="PPU15" s="11"/>
      <c r="PPV15" s="11"/>
      <c r="PPW15" s="11"/>
      <c r="PPX15" s="11"/>
      <c r="PPY15" s="11"/>
      <c r="PPZ15" s="11"/>
      <c r="PQA15" s="11"/>
      <c r="PQB15" s="11"/>
      <c r="PQC15" s="11"/>
      <c r="PQD15" s="11"/>
      <c r="PQE15" s="11"/>
      <c r="PQF15" s="11"/>
      <c r="PQG15" s="11"/>
      <c r="PQH15" s="11"/>
      <c r="PQI15" s="11"/>
      <c r="PQJ15" s="11"/>
      <c r="PQK15" s="11"/>
      <c r="PQL15" s="11"/>
      <c r="PQM15" s="11"/>
      <c r="PQN15" s="11"/>
      <c r="PQO15" s="11"/>
      <c r="PQP15" s="11"/>
      <c r="PQQ15" s="11"/>
      <c r="PQR15" s="11"/>
      <c r="PQS15" s="11"/>
      <c r="PQT15" s="11"/>
      <c r="PQU15" s="11"/>
      <c r="PQV15" s="11"/>
      <c r="PQW15" s="11"/>
      <c r="PQX15" s="11"/>
      <c r="PQY15" s="11"/>
      <c r="PQZ15" s="11"/>
      <c r="PRA15" s="11"/>
      <c r="PRB15" s="11"/>
      <c r="PRC15" s="11"/>
      <c r="PRD15" s="11"/>
      <c r="PRE15" s="11"/>
      <c r="PRF15" s="11"/>
      <c r="PRG15" s="11"/>
      <c r="PRH15" s="11"/>
      <c r="PRI15" s="11"/>
      <c r="PRJ15" s="11"/>
      <c r="PRK15" s="11"/>
      <c r="PRL15" s="11"/>
      <c r="PRM15" s="11"/>
      <c r="PRN15" s="11"/>
      <c r="PRO15" s="11"/>
      <c r="PRP15" s="11"/>
      <c r="PRQ15" s="11"/>
      <c r="PRR15" s="11"/>
      <c r="PRS15" s="11"/>
      <c r="PRT15" s="11"/>
      <c r="PRU15" s="11"/>
      <c r="PRV15" s="11"/>
      <c r="PRW15" s="11"/>
      <c r="PRX15" s="11"/>
      <c r="PRY15" s="11"/>
      <c r="PRZ15" s="11"/>
      <c r="PSA15" s="11"/>
      <c r="PSB15" s="11"/>
      <c r="PSC15" s="11"/>
      <c r="PSD15" s="11"/>
      <c r="PSE15" s="11"/>
      <c r="PSF15" s="11"/>
      <c r="PSG15" s="11"/>
      <c r="PSH15" s="11"/>
      <c r="PSI15" s="11"/>
      <c r="PSJ15" s="11"/>
      <c r="PSK15" s="11"/>
      <c r="PSL15" s="11"/>
      <c r="PSM15" s="11"/>
      <c r="PSN15" s="11"/>
      <c r="PSO15" s="11"/>
      <c r="PSP15" s="11"/>
      <c r="PSQ15" s="11"/>
      <c r="PSR15" s="11"/>
      <c r="PSS15" s="11"/>
      <c r="PST15" s="11"/>
      <c r="PSU15" s="11"/>
      <c r="PSV15" s="11"/>
      <c r="PSW15" s="11"/>
      <c r="PSX15" s="11"/>
      <c r="PSY15" s="11"/>
      <c r="PSZ15" s="11"/>
      <c r="PTA15" s="11"/>
      <c r="PTB15" s="11"/>
      <c r="PTC15" s="11"/>
      <c r="PTD15" s="11"/>
      <c r="PTE15" s="11"/>
      <c r="PTF15" s="11"/>
      <c r="PTG15" s="11"/>
      <c r="PTH15" s="11"/>
      <c r="PTI15" s="11"/>
      <c r="PTJ15" s="11"/>
      <c r="PTK15" s="11"/>
      <c r="PTL15" s="11"/>
      <c r="PTM15" s="11"/>
      <c r="PTN15" s="11"/>
      <c r="PTO15" s="11"/>
      <c r="PTP15" s="11"/>
      <c r="PTQ15" s="11"/>
      <c r="PTR15" s="11"/>
      <c r="PTS15" s="11"/>
      <c r="PTT15" s="11"/>
      <c r="PTU15" s="11"/>
      <c r="PTV15" s="11"/>
      <c r="PTW15" s="11"/>
      <c r="PTX15" s="11"/>
      <c r="PTY15" s="11"/>
      <c r="PTZ15" s="11"/>
      <c r="PUA15" s="11"/>
      <c r="PUB15" s="11"/>
      <c r="PUC15" s="11"/>
      <c r="PUD15" s="11"/>
      <c r="PUE15" s="11"/>
      <c r="PUF15" s="11"/>
      <c r="PUG15" s="11"/>
      <c r="PUH15" s="11"/>
      <c r="PUI15" s="11"/>
      <c r="PUJ15" s="11"/>
      <c r="PUK15" s="11"/>
      <c r="PUL15" s="11"/>
      <c r="PUM15" s="11"/>
      <c r="PUN15" s="11"/>
      <c r="PUO15" s="11"/>
      <c r="PUP15" s="11"/>
      <c r="PUQ15" s="11"/>
      <c r="PUR15" s="11"/>
      <c r="PUS15" s="11"/>
      <c r="PUT15" s="11"/>
      <c r="PUU15" s="11"/>
      <c r="PUV15" s="11"/>
      <c r="PUW15" s="11"/>
      <c r="PUX15" s="11"/>
      <c r="PUY15" s="11"/>
      <c r="PUZ15" s="11"/>
      <c r="PVA15" s="11"/>
      <c r="PVB15" s="11"/>
      <c r="PVC15" s="11"/>
      <c r="PVD15" s="11"/>
      <c r="PVE15" s="11"/>
      <c r="PVF15" s="11"/>
      <c r="PVG15" s="11"/>
      <c r="PVH15" s="11"/>
      <c r="PVI15" s="11"/>
      <c r="PVJ15" s="11"/>
      <c r="PVK15" s="11"/>
      <c r="PVL15" s="11"/>
      <c r="PVM15" s="11"/>
      <c r="PVN15" s="11"/>
      <c r="PVO15" s="11"/>
      <c r="PVP15" s="11"/>
      <c r="PVQ15" s="11"/>
      <c r="PVR15" s="11"/>
      <c r="PVS15" s="11"/>
      <c r="PVT15" s="11"/>
      <c r="PVU15" s="11"/>
      <c r="PVV15" s="11"/>
      <c r="PVW15" s="11"/>
      <c r="PVX15" s="11"/>
      <c r="PVY15" s="11"/>
      <c r="PVZ15" s="11"/>
      <c r="PWA15" s="11"/>
      <c r="PWB15" s="11"/>
      <c r="PWC15" s="11"/>
      <c r="PWD15" s="11"/>
      <c r="PWE15" s="11"/>
      <c r="PWF15" s="11"/>
      <c r="PWG15" s="11"/>
      <c r="PWH15" s="11"/>
      <c r="PWI15" s="11"/>
      <c r="PWJ15" s="11"/>
      <c r="PWK15" s="11"/>
      <c r="PWL15" s="11"/>
      <c r="PWM15" s="11"/>
      <c r="PWN15" s="11"/>
      <c r="PWO15" s="11"/>
      <c r="PWP15" s="11"/>
      <c r="PWQ15" s="11"/>
      <c r="PWR15" s="11"/>
      <c r="PWS15" s="11"/>
      <c r="PWT15" s="11"/>
      <c r="PWU15" s="11"/>
      <c r="PWV15" s="11"/>
      <c r="PWW15" s="11"/>
      <c r="PWX15" s="11"/>
      <c r="PWY15" s="11"/>
      <c r="PWZ15" s="11"/>
      <c r="PXA15" s="11"/>
      <c r="PXB15" s="11"/>
      <c r="PXC15" s="11"/>
      <c r="PXD15" s="11"/>
      <c r="PXE15" s="11"/>
      <c r="PXF15" s="11"/>
      <c r="PXG15" s="11"/>
      <c r="PXH15" s="11"/>
      <c r="PXI15" s="11"/>
      <c r="PXJ15" s="11"/>
      <c r="PXK15" s="11"/>
      <c r="PXL15" s="11"/>
      <c r="PXM15" s="11"/>
      <c r="PXN15" s="11"/>
      <c r="PXO15" s="11"/>
      <c r="PXP15" s="11"/>
      <c r="PXQ15" s="11"/>
      <c r="PXR15" s="11"/>
      <c r="PXS15" s="11"/>
      <c r="PXT15" s="11"/>
      <c r="PXU15" s="11"/>
      <c r="PXV15" s="11"/>
      <c r="PXW15" s="11"/>
      <c r="PXX15" s="11"/>
      <c r="PXY15" s="11"/>
      <c r="PXZ15" s="11"/>
      <c r="PYA15" s="11"/>
      <c r="PYB15" s="11"/>
      <c r="PYC15" s="11"/>
      <c r="PYD15" s="11"/>
      <c r="PYE15" s="11"/>
      <c r="PYF15" s="11"/>
      <c r="PYG15" s="11"/>
      <c r="PYH15" s="11"/>
      <c r="PYI15" s="11"/>
      <c r="PYJ15" s="11"/>
      <c r="PYK15" s="11"/>
      <c r="PYL15" s="11"/>
      <c r="PYM15" s="11"/>
      <c r="PYN15" s="11"/>
      <c r="PYO15" s="11"/>
      <c r="PYP15" s="11"/>
      <c r="PYQ15" s="11"/>
      <c r="PYR15" s="11"/>
      <c r="PYS15" s="11"/>
      <c r="PYT15" s="11"/>
      <c r="PYU15" s="11"/>
      <c r="PYV15" s="11"/>
      <c r="PYW15" s="11"/>
      <c r="PYX15" s="11"/>
      <c r="PYY15" s="11"/>
      <c r="PYZ15" s="11"/>
      <c r="PZA15" s="11"/>
      <c r="PZB15" s="11"/>
      <c r="PZC15" s="11"/>
      <c r="PZD15" s="11"/>
      <c r="PZE15" s="11"/>
      <c r="PZF15" s="11"/>
      <c r="PZG15" s="11"/>
      <c r="PZH15" s="11"/>
      <c r="PZI15" s="11"/>
      <c r="PZJ15" s="11"/>
      <c r="PZK15" s="11"/>
      <c r="PZL15" s="11"/>
      <c r="PZM15" s="11"/>
      <c r="PZN15" s="11"/>
      <c r="PZO15" s="11"/>
      <c r="PZP15" s="11"/>
      <c r="PZQ15" s="11"/>
      <c r="PZR15" s="11"/>
      <c r="PZS15" s="11"/>
      <c r="PZT15" s="11"/>
      <c r="PZU15" s="11"/>
      <c r="PZV15" s="11"/>
      <c r="PZW15" s="11"/>
      <c r="PZX15" s="11"/>
      <c r="PZY15" s="11"/>
      <c r="PZZ15" s="11"/>
      <c r="QAA15" s="11"/>
      <c r="QAB15" s="11"/>
      <c r="QAC15" s="11"/>
      <c r="QAD15" s="11"/>
      <c r="QAE15" s="11"/>
      <c r="QAF15" s="11"/>
      <c r="QAG15" s="11"/>
      <c r="QAH15" s="11"/>
      <c r="QAI15" s="11"/>
      <c r="QAJ15" s="11"/>
      <c r="QAK15" s="11"/>
      <c r="QAL15" s="11"/>
      <c r="QAM15" s="11"/>
      <c r="QAN15" s="11"/>
      <c r="QAO15" s="11"/>
      <c r="QAP15" s="11"/>
      <c r="QAQ15" s="11"/>
      <c r="QAR15" s="11"/>
      <c r="QAS15" s="11"/>
      <c r="QAT15" s="11"/>
      <c r="QAU15" s="11"/>
      <c r="QAV15" s="11"/>
      <c r="QAW15" s="11"/>
      <c r="QAX15" s="11"/>
      <c r="QAY15" s="11"/>
      <c r="QAZ15" s="11"/>
      <c r="QBA15" s="11"/>
      <c r="QBB15" s="11"/>
      <c r="QBC15" s="11"/>
      <c r="QBD15" s="11"/>
      <c r="QBE15" s="11"/>
      <c r="QBF15" s="11"/>
      <c r="QBG15" s="11"/>
      <c r="QBH15" s="11"/>
      <c r="QBI15" s="11"/>
      <c r="QBJ15" s="11"/>
      <c r="QBK15" s="11"/>
      <c r="QBL15" s="11"/>
      <c r="QBM15" s="11"/>
      <c r="QBN15" s="11"/>
      <c r="QBO15" s="11"/>
      <c r="QBP15" s="11"/>
      <c r="QBQ15" s="11"/>
      <c r="QBR15" s="11"/>
      <c r="QBS15" s="11"/>
      <c r="QBT15" s="11"/>
      <c r="QBU15" s="11"/>
      <c r="QBV15" s="11"/>
      <c r="QBW15" s="11"/>
      <c r="QBX15" s="11"/>
      <c r="QBY15" s="11"/>
      <c r="QBZ15" s="11"/>
      <c r="QCA15" s="11"/>
      <c r="QCB15" s="11"/>
      <c r="QCC15" s="11"/>
      <c r="QCD15" s="11"/>
      <c r="QCE15" s="11"/>
      <c r="QCF15" s="11"/>
      <c r="QCG15" s="11"/>
      <c r="QCH15" s="11"/>
      <c r="QCI15" s="11"/>
      <c r="QCJ15" s="11"/>
      <c r="QCK15" s="11"/>
      <c r="QCL15" s="11"/>
      <c r="QCM15" s="11"/>
      <c r="QCN15" s="11"/>
      <c r="QCO15" s="11"/>
      <c r="QCP15" s="11"/>
      <c r="QCQ15" s="11"/>
      <c r="QCR15" s="11"/>
      <c r="QCS15" s="11"/>
      <c r="QCT15" s="11"/>
      <c r="QCU15" s="11"/>
      <c r="QCV15" s="11"/>
      <c r="QCW15" s="11"/>
      <c r="QCX15" s="11"/>
      <c r="QCY15" s="11"/>
      <c r="QCZ15" s="11"/>
      <c r="QDA15" s="11"/>
      <c r="QDB15" s="11"/>
      <c r="QDC15" s="11"/>
      <c r="QDD15" s="11"/>
      <c r="QDE15" s="11"/>
      <c r="QDF15" s="11"/>
      <c r="QDG15" s="11"/>
      <c r="QDH15" s="11"/>
      <c r="QDI15" s="11"/>
      <c r="QDJ15" s="11"/>
      <c r="QDK15" s="11"/>
      <c r="QDL15" s="11"/>
      <c r="QDM15" s="11"/>
      <c r="QDN15" s="11"/>
      <c r="QDO15" s="11"/>
      <c r="QDP15" s="11"/>
      <c r="QDQ15" s="11"/>
      <c r="QDR15" s="11"/>
      <c r="QDS15" s="11"/>
      <c r="QDT15" s="11"/>
      <c r="QDU15" s="11"/>
      <c r="QDV15" s="11"/>
      <c r="QDW15" s="11"/>
      <c r="QDX15" s="11"/>
      <c r="QDY15" s="11"/>
      <c r="QDZ15" s="11"/>
      <c r="QEA15" s="11"/>
      <c r="QEB15" s="11"/>
      <c r="QEC15" s="11"/>
      <c r="QED15" s="11"/>
      <c r="QEE15" s="11"/>
      <c r="QEF15" s="11"/>
      <c r="QEG15" s="11"/>
      <c r="QEH15" s="11"/>
      <c r="QEI15" s="11"/>
      <c r="QEJ15" s="11"/>
      <c r="QEK15" s="11"/>
      <c r="QEL15" s="11"/>
      <c r="QEM15" s="11"/>
      <c r="QEN15" s="11"/>
      <c r="QEO15" s="11"/>
      <c r="QEP15" s="11"/>
      <c r="QEQ15" s="11"/>
      <c r="QER15" s="11"/>
      <c r="QES15" s="11"/>
      <c r="QET15" s="11"/>
      <c r="QEU15" s="11"/>
      <c r="QEV15" s="11"/>
      <c r="QEW15" s="11"/>
      <c r="QEX15" s="11"/>
      <c r="QEY15" s="11"/>
      <c r="QEZ15" s="11"/>
      <c r="QFA15" s="11"/>
      <c r="QFB15" s="11"/>
      <c r="QFC15" s="11"/>
      <c r="QFD15" s="11"/>
      <c r="QFE15" s="11"/>
      <c r="QFF15" s="11"/>
      <c r="QFG15" s="11"/>
      <c r="QFH15" s="11"/>
      <c r="QFI15" s="11"/>
      <c r="QFJ15" s="11"/>
      <c r="QFK15" s="11"/>
      <c r="QFL15" s="11"/>
      <c r="QFM15" s="11"/>
      <c r="QFN15" s="11"/>
      <c r="QFO15" s="11"/>
      <c r="QFP15" s="11"/>
      <c r="QFQ15" s="11"/>
      <c r="QFR15" s="11"/>
      <c r="QFS15" s="11"/>
      <c r="QFT15" s="11"/>
      <c r="QFU15" s="11"/>
      <c r="QFV15" s="11"/>
      <c r="QFW15" s="11"/>
      <c r="QFX15" s="11"/>
      <c r="QFY15" s="11"/>
      <c r="QFZ15" s="11"/>
      <c r="QGA15" s="11"/>
      <c r="QGB15" s="11"/>
      <c r="QGC15" s="11"/>
      <c r="QGD15" s="11"/>
      <c r="QGE15" s="11"/>
      <c r="QGF15" s="11"/>
      <c r="QGG15" s="11"/>
      <c r="QGH15" s="11"/>
      <c r="QGI15" s="11"/>
      <c r="QGJ15" s="11"/>
      <c r="QGK15" s="11"/>
      <c r="QGL15" s="11"/>
      <c r="QGM15" s="11"/>
      <c r="QGN15" s="11"/>
      <c r="QGO15" s="11"/>
      <c r="QGP15" s="11"/>
      <c r="QGQ15" s="11"/>
      <c r="QGR15" s="11"/>
      <c r="QGS15" s="11"/>
      <c r="QGT15" s="11"/>
      <c r="QGU15" s="11"/>
      <c r="QGV15" s="11"/>
      <c r="QGW15" s="11"/>
      <c r="QGX15" s="11"/>
      <c r="QGY15" s="11"/>
      <c r="QGZ15" s="11"/>
      <c r="QHA15" s="11"/>
      <c r="QHB15" s="11"/>
      <c r="QHC15" s="11"/>
      <c r="QHD15" s="11"/>
      <c r="QHE15" s="11"/>
      <c r="QHF15" s="11"/>
      <c r="QHG15" s="11"/>
      <c r="QHH15" s="11"/>
      <c r="QHI15" s="11"/>
      <c r="QHJ15" s="11"/>
      <c r="QHK15" s="11"/>
      <c r="QHL15" s="11"/>
      <c r="QHM15" s="11"/>
      <c r="QHN15" s="11"/>
      <c r="QHO15" s="11"/>
      <c r="QHP15" s="11"/>
      <c r="QHQ15" s="11"/>
      <c r="QHR15" s="11"/>
      <c r="QHS15" s="11"/>
      <c r="QHT15" s="11"/>
      <c r="QHU15" s="11"/>
      <c r="QHV15" s="11"/>
      <c r="QHW15" s="11"/>
      <c r="QHX15" s="11"/>
      <c r="QHY15" s="11"/>
      <c r="QHZ15" s="11"/>
      <c r="QIA15" s="11"/>
      <c r="QIB15" s="11"/>
      <c r="QIC15" s="11"/>
      <c r="QID15" s="11"/>
      <c r="QIE15" s="11"/>
      <c r="QIF15" s="11"/>
      <c r="QIG15" s="11"/>
      <c r="QIH15" s="11"/>
      <c r="QII15" s="11"/>
      <c r="QIJ15" s="11"/>
      <c r="QIK15" s="11"/>
      <c r="QIL15" s="11"/>
      <c r="QIM15" s="11"/>
      <c r="QIN15" s="11"/>
      <c r="QIO15" s="11"/>
      <c r="QIP15" s="11"/>
      <c r="QIQ15" s="11"/>
      <c r="QIR15" s="11"/>
      <c r="QIS15" s="11"/>
      <c r="QIT15" s="11"/>
      <c r="QIU15" s="11"/>
      <c r="QIV15" s="11"/>
      <c r="QIW15" s="11"/>
      <c r="QIX15" s="11"/>
      <c r="QIY15" s="11"/>
      <c r="QIZ15" s="11"/>
      <c r="QJA15" s="11"/>
      <c r="QJB15" s="11"/>
      <c r="QJC15" s="11"/>
      <c r="QJD15" s="11"/>
      <c r="QJE15" s="11"/>
      <c r="QJF15" s="11"/>
      <c r="QJG15" s="11"/>
      <c r="QJH15" s="11"/>
      <c r="QJI15" s="11"/>
      <c r="QJJ15" s="11"/>
      <c r="QJK15" s="11"/>
      <c r="QJL15" s="11"/>
      <c r="QJM15" s="11"/>
      <c r="QJN15" s="11"/>
      <c r="QJO15" s="11"/>
      <c r="QJP15" s="11"/>
      <c r="QJQ15" s="11"/>
      <c r="QJR15" s="11"/>
      <c r="QJS15" s="11"/>
      <c r="QJT15" s="11"/>
      <c r="QJU15" s="11"/>
      <c r="QJV15" s="11"/>
      <c r="QJW15" s="11"/>
      <c r="QJX15" s="11"/>
      <c r="QJY15" s="11"/>
      <c r="QJZ15" s="11"/>
      <c r="QKA15" s="11"/>
      <c r="QKB15" s="11"/>
      <c r="QKC15" s="11"/>
      <c r="QKD15" s="11"/>
      <c r="QKE15" s="11"/>
      <c r="QKF15" s="11"/>
      <c r="QKG15" s="11"/>
      <c r="QKH15" s="11"/>
      <c r="QKI15" s="11"/>
      <c r="QKJ15" s="11"/>
      <c r="QKK15" s="11"/>
      <c r="QKL15" s="11"/>
      <c r="QKM15" s="11"/>
      <c r="QKN15" s="11"/>
      <c r="QKO15" s="11"/>
      <c r="QKP15" s="11"/>
      <c r="QKQ15" s="11"/>
      <c r="QKR15" s="11"/>
      <c r="QKS15" s="11"/>
      <c r="QKT15" s="11"/>
      <c r="QKU15" s="11"/>
      <c r="QKV15" s="11"/>
      <c r="QKW15" s="11"/>
      <c r="QKX15" s="11"/>
      <c r="QKY15" s="11"/>
      <c r="QKZ15" s="11"/>
      <c r="QLA15" s="11"/>
      <c r="QLB15" s="11"/>
      <c r="QLC15" s="11"/>
      <c r="QLD15" s="11"/>
      <c r="QLE15" s="11"/>
      <c r="QLF15" s="11"/>
      <c r="QLG15" s="11"/>
      <c r="QLH15" s="11"/>
      <c r="QLI15" s="11"/>
      <c r="QLJ15" s="11"/>
      <c r="QLK15" s="11"/>
      <c r="QLL15" s="11"/>
      <c r="QLM15" s="11"/>
      <c r="QLN15" s="11"/>
      <c r="QLO15" s="11"/>
      <c r="QLP15" s="11"/>
      <c r="QLQ15" s="11"/>
      <c r="QLR15" s="11"/>
      <c r="QLS15" s="11"/>
      <c r="QLT15" s="11"/>
      <c r="QLU15" s="11"/>
      <c r="QLV15" s="11"/>
      <c r="QLW15" s="11"/>
      <c r="QLX15" s="11"/>
      <c r="QLY15" s="11"/>
      <c r="QLZ15" s="11"/>
      <c r="QMA15" s="11"/>
      <c r="QMB15" s="11"/>
      <c r="QMC15" s="11"/>
      <c r="QMD15" s="11"/>
      <c r="QME15" s="11"/>
      <c r="QMF15" s="11"/>
      <c r="QMG15" s="11"/>
      <c r="QMH15" s="11"/>
      <c r="QMI15" s="11"/>
      <c r="QMJ15" s="11"/>
      <c r="QMK15" s="11"/>
      <c r="QML15" s="11"/>
      <c r="QMM15" s="11"/>
      <c r="QMN15" s="11"/>
      <c r="QMO15" s="11"/>
      <c r="QMP15" s="11"/>
      <c r="QMQ15" s="11"/>
      <c r="QMR15" s="11"/>
      <c r="QMS15" s="11"/>
      <c r="QMT15" s="11"/>
      <c r="QMU15" s="11"/>
      <c r="QMV15" s="11"/>
      <c r="QMW15" s="11"/>
      <c r="QMX15" s="11"/>
      <c r="QMY15" s="11"/>
      <c r="QMZ15" s="11"/>
      <c r="QNA15" s="11"/>
      <c r="QNB15" s="11"/>
      <c r="QNC15" s="11"/>
      <c r="QND15" s="11"/>
      <c r="QNE15" s="11"/>
      <c r="QNF15" s="11"/>
      <c r="QNG15" s="11"/>
      <c r="QNH15" s="11"/>
      <c r="QNI15" s="11"/>
      <c r="QNJ15" s="11"/>
      <c r="QNK15" s="11"/>
      <c r="QNL15" s="11"/>
      <c r="QNM15" s="11"/>
      <c r="QNN15" s="11"/>
      <c r="QNO15" s="11"/>
      <c r="QNP15" s="11"/>
      <c r="QNQ15" s="11"/>
      <c r="QNR15" s="11"/>
      <c r="QNS15" s="11"/>
      <c r="QNT15" s="11"/>
      <c r="QNU15" s="11"/>
      <c r="QNV15" s="11"/>
      <c r="QNW15" s="11"/>
      <c r="QNX15" s="11"/>
      <c r="QNY15" s="11"/>
      <c r="QNZ15" s="11"/>
      <c r="QOA15" s="11"/>
      <c r="QOB15" s="11"/>
      <c r="QOC15" s="11"/>
      <c r="QOD15" s="11"/>
      <c r="QOE15" s="11"/>
      <c r="QOF15" s="11"/>
      <c r="QOG15" s="11"/>
      <c r="QOH15" s="11"/>
      <c r="QOI15" s="11"/>
      <c r="QOJ15" s="11"/>
      <c r="QOK15" s="11"/>
      <c r="QOL15" s="11"/>
      <c r="QOM15" s="11"/>
      <c r="QON15" s="11"/>
      <c r="QOO15" s="11"/>
      <c r="QOP15" s="11"/>
      <c r="QOQ15" s="11"/>
      <c r="QOR15" s="11"/>
      <c r="QOS15" s="11"/>
      <c r="QOT15" s="11"/>
      <c r="QOU15" s="11"/>
      <c r="QOV15" s="11"/>
      <c r="QOW15" s="11"/>
      <c r="QOX15" s="11"/>
      <c r="QOY15" s="11"/>
      <c r="QOZ15" s="11"/>
      <c r="QPA15" s="11"/>
      <c r="QPB15" s="11"/>
      <c r="QPC15" s="11"/>
      <c r="QPD15" s="11"/>
      <c r="QPE15" s="11"/>
      <c r="QPF15" s="11"/>
      <c r="QPG15" s="11"/>
      <c r="QPH15" s="11"/>
      <c r="QPI15" s="11"/>
      <c r="QPJ15" s="11"/>
      <c r="QPK15" s="11"/>
      <c r="QPL15" s="11"/>
      <c r="QPM15" s="11"/>
      <c r="QPN15" s="11"/>
      <c r="QPO15" s="11"/>
      <c r="QPP15" s="11"/>
      <c r="QPQ15" s="11"/>
      <c r="QPR15" s="11"/>
      <c r="QPS15" s="11"/>
      <c r="QPT15" s="11"/>
      <c r="QPU15" s="11"/>
      <c r="QPV15" s="11"/>
      <c r="QPW15" s="11"/>
      <c r="QPX15" s="11"/>
      <c r="QPY15" s="11"/>
      <c r="QPZ15" s="11"/>
      <c r="QQA15" s="11"/>
      <c r="QQB15" s="11"/>
      <c r="QQC15" s="11"/>
      <c r="QQD15" s="11"/>
      <c r="QQE15" s="11"/>
      <c r="QQF15" s="11"/>
      <c r="QQG15" s="11"/>
      <c r="QQH15" s="11"/>
      <c r="QQI15" s="11"/>
      <c r="QQJ15" s="11"/>
      <c r="QQK15" s="11"/>
      <c r="QQL15" s="11"/>
      <c r="QQM15" s="11"/>
      <c r="QQN15" s="11"/>
      <c r="QQO15" s="11"/>
      <c r="QQP15" s="11"/>
      <c r="QQQ15" s="11"/>
      <c r="QQR15" s="11"/>
      <c r="QQS15" s="11"/>
      <c r="QQT15" s="11"/>
      <c r="QQU15" s="11"/>
      <c r="QQV15" s="11"/>
      <c r="QQW15" s="11"/>
      <c r="QQX15" s="11"/>
      <c r="QQY15" s="11"/>
      <c r="QQZ15" s="11"/>
      <c r="QRA15" s="11"/>
      <c r="QRB15" s="11"/>
      <c r="QRC15" s="11"/>
      <c r="QRD15" s="11"/>
      <c r="QRE15" s="11"/>
      <c r="QRF15" s="11"/>
      <c r="QRG15" s="11"/>
      <c r="QRH15" s="11"/>
      <c r="QRI15" s="11"/>
      <c r="QRJ15" s="11"/>
      <c r="QRK15" s="11"/>
      <c r="QRL15" s="11"/>
      <c r="QRM15" s="11"/>
      <c r="QRN15" s="11"/>
      <c r="QRO15" s="11"/>
      <c r="QRP15" s="11"/>
      <c r="QRQ15" s="11"/>
      <c r="QRR15" s="11"/>
      <c r="QRS15" s="11"/>
      <c r="QRT15" s="11"/>
      <c r="QRU15" s="11"/>
      <c r="QRV15" s="11"/>
      <c r="QRW15" s="11"/>
      <c r="QRX15" s="11"/>
      <c r="QRY15" s="11"/>
      <c r="QRZ15" s="11"/>
      <c r="QSA15" s="11"/>
      <c r="QSB15" s="11"/>
      <c r="QSC15" s="11"/>
      <c r="QSD15" s="11"/>
      <c r="QSE15" s="11"/>
      <c r="QSF15" s="11"/>
      <c r="QSG15" s="11"/>
      <c r="QSH15" s="11"/>
      <c r="QSI15" s="11"/>
      <c r="QSJ15" s="11"/>
      <c r="QSK15" s="11"/>
      <c r="QSL15" s="11"/>
      <c r="QSM15" s="11"/>
      <c r="QSN15" s="11"/>
      <c r="QSO15" s="11"/>
      <c r="QSP15" s="11"/>
      <c r="QSQ15" s="11"/>
      <c r="QSR15" s="11"/>
      <c r="QSS15" s="11"/>
      <c r="QST15" s="11"/>
      <c r="QSU15" s="11"/>
      <c r="QSV15" s="11"/>
      <c r="QSW15" s="11"/>
      <c r="QSX15" s="11"/>
      <c r="QSY15" s="11"/>
      <c r="QSZ15" s="11"/>
      <c r="QTA15" s="11"/>
      <c r="QTB15" s="11"/>
      <c r="QTC15" s="11"/>
      <c r="QTD15" s="11"/>
      <c r="QTE15" s="11"/>
      <c r="QTF15" s="11"/>
      <c r="QTG15" s="11"/>
      <c r="QTH15" s="11"/>
      <c r="QTI15" s="11"/>
      <c r="QTJ15" s="11"/>
      <c r="QTK15" s="11"/>
      <c r="QTL15" s="11"/>
      <c r="QTM15" s="11"/>
      <c r="QTN15" s="11"/>
      <c r="QTO15" s="11"/>
      <c r="QTP15" s="11"/>
      <c r="QTQ15" s="11"/>
      <c r="QTR15" s="11"/>
      <c r="QTS15" s="11"/>
      <c r="QTT15" s="11"/>
      <c r="QTU15" s="11"/>
      <c r="QTV15" s="11"/>
      <c r="QTW15" s="11"/>
      <c r="QTX15" s="11"/>
      <c r="QTY15" s="11"/>
      <c r="QTZ15" s="11"/>
      <c r="QUA15" s="11"/>
      <c r="QUB15" s="11"/>
      <c r="QUC15" s="11"/>
      <c r="QUD15" s="11"/>
      <c r="QUE15" s="11"/>
      <c r="QUF15" s="11"/>
      <c r="QUG15" s="11"/>
      <c r="QUH15" s="11"/>
      <c r="QUI15" s="11"/>
      <c r="QUJ15" s="11"/>
      <c r="QUK15" s="11"/>
      <c r="QUL15" s="11"/>
      <c r="QUM15" s="11"/>
      <c r="QUN15" s="11"/>
      <c r="QUO15" s="11"/>
      <c r="QUP15" s="11"/>
      <c r="QUQ15" s="11"/>
      <c r="QUR15" s="11"/>
      <c r="QUS15" s="11"/>
      <c r="QUT15" s="11"/>
      <c r="QUU15" s="11"/>
      <c r="QUV15" s="11"/>
      <c r="QUW15" s="11"/>
      <c r="QUX15" s="11"/>
      <c r="QUY15" s="11"/>
      <c r="QUZ15" s="11"/>
      <c r="QVA15" s="11"/>
      <c r="QVB15" s="11"/>
      <c r="QVC15" s="11"/>
      <c r="QVD15" s="11"/>
      <c r="QVE15" s="11"/>
      <c r="QVF15" s="11"/>
      <c r="QVG15" s="11"/>
      <c r="QVH15" s="11"/>
      <c r="QVI15" s="11"/>
      <c r="QVJ15" s="11"/>
      <c r="QVK15" s="11"/>
      <c r="QVL15" s="11"/>
      <c r="QVM15" s="11"/>
      <c r="QVN15" s="11"/>
      <c r="QVO15" s="11"/>
      <c r="QVP15" s="11"/>
      <c r="QVQ15" s="11"/>
      <c r="QVR15" s="11"/>
      <c r="QVS15" s="11"/>
      <c r="QVT15" s="11"/>
      <c r="QVU15" s="11"/>
      <c r="QVV15" s="11"/>
      <c r="QVW15" s="11"/>
      <c r="QVX15" s="11"/>
      <c r="QVY15" s="11"/>
      <c r="QVZ15" s="11"/>
      <c r="QWA15" s="11"/>
      <c r="QWB15" s="11"/>
      <c r="QWC15" s="11"/>
      <c r="QWD15" s="11"/>
      <c r="QWE15" s="11"/>
      <c r="QWF15" s="11"/>
      <c r="QWG15" s="11"/>
      <c r="QWH15" s="11"/>
      <c r="QWI15" s="11"/>
      <c r="QWJ15" s="11"/>
      <c r="QWK15" s="11"/>
      <c r="QWL15" s="11"/>
      <c r="QWM15" s="11"/>
      <c r="QWN15" s="11"/>
      <c r="QWO15" s="11"/>
      <c r="QWP15" s="11"/>
      <c r="QWQ15" s="11"/>
      <c r="QWR15" s="11"/>
      <c r="QWS15" s="11"/>
      <c r="QWT15" s="11"/>
      <c r="QWU15" s="11"/>
      <c r="QWV15" s="11"/>
      <c r="QWW15" s="11"/>
      <c r="QWX15" s="11"/>
      <c r="QWY15" s="11"/>
      <c r="QWZ15" s="11"/>
      <c r="QXA15" s="11"/>
      <c r="QXB15" s="11"/>
      <c r="QXC15" s="11"/>
      <c r="QXD15" s="11"/>
      <c r="QXE15" s="11"/>
      <c r="QXF15" s="11"/>
      <c r="QXG15" s="11"/>
      <c r="QXH15" s="11"/>
      <c r="QXI15" s="11"/>
      <c r="QXJ15" s="11"/>
      <c r="QXK15" s="11"/>
      <c r="QXL15" s="11"/>
      <c r="QXM15" s="11"/>
      <c r="QXN15" s="11"/>
      <c r="QXO15" s="11"/>
      <c r="QXP15" s="11"/>
      <c r="QXQ15" s="11"/>
      <c r="QXR15" s="11"/>
      <c r="QXS15" s="11"/>
      <c r="QXT15" s="11"/>
      <c r="QXU15" s="11"/>
      <c r="QXV15" s="11"/>
      <c r="QXW15" s="11"/>
      <c r="QXX15" s="11"/>
      <c r="QXY15" s="11"/>
      <c r="QXZ15" s="11"/>
      <c r="QYA15" s="11"/>
      <c r="QYB15" s="11"/>
      <c r="QYC15" s="11"/>
      <c r="QYD15" s="11"/>
      <c r="QYE15" s="11"/>
      <c r="QYF15" s="11"/>
      <c r="QYG15" s="11"/>
      <c r="QYH15" s="11"/>
      <c r="QYI15" s="11"/>
      <c r="QYJ15" s="11"/>
      <c r="QYK15" s="11"/>
      <c r="QYL15" s="11"/>
      <c r="QYM15" s="11"/>
      <c r="QYN15" s="11"/>
      <c r="QYO15" s="11"/>
      <c r="QYP15" s="11"/>
      <c r="QYQ15" s="11"/>
      <c r="QYR15" s="11"/>
      <c r="QYS15" s="11"/>
      <c r="QYT15" s="11"/>
      <c r="QYU15" s="11"/>
      <c r="QYV15" s="11"/>
      <c r="QYW15" s="11"/>
      <c r="QYX15" s="11"/>
      <c r="QYY15" s="11"/>
      <c r="QYZ15" s="11"/>
      <c r="QZA15" s="11"/>
      <c r="QZB15" s="11"/>
      <c r="QZC15" s="11"/>
      <c r="QZD15" s="11"/>
      <c r="QZE15" s="11"/>
      <c r="QZF15" s="11"/>
      <c r="QZG15" s="11"/>
      <c r="QZH15" s="11"/>
      <c r="QZI15" s="11"/>
      <c r="QZJ15" s="11"/>
      <c r="QZK15" s="11"/>
      <c r="QZL15" s="11"/>
      <c r="QZM15" s="11"/>
      <c r="QZN15" s="11"/>
      <c r="QZO15" s="11"/>
      <c r="QZP15" s="11"/>
      <c r="QZQ15" s="11"/>
      <c r="QZR15" s="11"/>
      <c r="QZS15" s="11"/>
      <c r="QZT15" s="11"/>
      <c r="QZU15" s="11"/>
      <c r="QZV15" s="11"/>
      <c r="QZW15" s="11"/>
      <c r="QZX15" s="11"/>
      <c r="QZY15" s="11"/>
      <c r="QZZ15" s="11"/>
      <c r="RAA15" s="11"/>
      <c r="RAB15" s="11"/>
      <c r="RAC15" s="11"/>
      <c r="RAD15" s="11"/>
      <c r="RAE15" s="11"/>
      <c r="RAF15" s="11"/>
      <c r="RAG15" s="11"/>
      <c r="RAH15" s="11"/>
      <c r="RAI15" s="11"/>
      <c r="RAJ15" s="11"/>
      <c r="RAK15" s="11"/>
      <c r="RAL15" s="11"/>
      <c r="RAM15" s="11"/>
      <c r="RAN15" s="11"/>
      <c r="RAO15" s="11"/>
      <c r="RAP15" s="11"/>
      <c r="RAQ15" s="11"/>
      <c r="RAR15" s="11"/>
      <c r="RAS15" s="11"/>
      <c r="RAT15" s="11"/>
      <c r="RAU15" s="11"/>
      <c r="RAV15" s="11"/>
      <c r="RAW15" s="11"/>
      <c r="RAX15" s="11"/>
      <c r="RAY15" s="11"/>
      <c r="RAZ15" s="11"/>
      <c r="RBA15" s="11"/>
      <c r="RBB15" s="11"/>
      <c r="RBC15" s="11"/>
      <c r="RBD15" s="11"/>
      <c r="RBE15" s="11"/>
      <c r="RBF15" s="11"/>
      <c r="RBG15" s="11"/>
      <c r="RBH15" s="11"/>
      <c r="RBI15" s="11"/>
      <c r="RBJ15" s="11"/>
      <c r="RBK15" s="11"/>
      <c r="RBL15" s="11"/>
      <c r="RBM15" s="11"/>
      <c r="RBN15" s="11"/>
      <c r="RBO15" s="11"/>
      <c r="RBP15" s="11"/>
      <c r="RBQ15" s="11"/>
      <c r="RBR15" s="11"/>
      <c r="RBS15" s="11"/>
      <c r="RBT15" s="11"/>
      <c r="RBU15" s="11"/>
      <c r="RBV15" s="11"/>
      <c r="RBW15" s="11"/>
      <c r="RBX15" s="11"/>
      <c r="RBY15" s="11"/>
      <c r="RBZ15" s="11"/>
      <c r="RCA15" s="11"/>
      <c r="RCB15" s="11"/>
      <c r="RCC15" s="11"/>
      <c r="RCD15" s="11"/>
      <c r="RCE15" s="11"/>
      <c r="RCF15" s="11"/>
      <c r="RCG15" s="11"/>
      <c r="RCH15" s="11"/>
      <c r="RCI15" s="11"/>
      <c r="RCJ15" s="11"/>
      <c r="RCK15" s="11"/>
      <c r="RCL15" s="11"/>
      <c r="RCM15" s="11"/>
      <c r="RCN15" s="11"/>
      <c r="RCO15" s="11"/>
      <c r="RCP15" s="11"/>
      <c r="RCQ15" s="11"/>
      <c r="RCR15" s="11"/>
      <c r="RCS15" s="11"/>
      <c r="RCT15" s="11"/>
      <c r="RCU15" s="11"/>
      <c r="RCV15" s="11"/>
      <c r="RCW15" s="11"/>
      <c r="RCX15" s="11"/>
      <c r="RCY15" s="11"/>
      <c r="RCZ15" s="11"/>
      <c r="RDA15" s="11"/>
      <c r="RDB15" s="11"/>
      <c r="RDC15" s="11"/>
      <c r="RDD15" s="11"/>
      <c r="RDE15" s="11"/>
      <c r="RDF15" s="11"/>
      <c r="RDG15" s="11"/>
      <c r="RDH15" s="11"/>
      <c r="RDI15" s="11"/>
      <c r="RDJ15" s="11"/>
      <c r="RDK15" s="11"/>
      <c r="RDL15" s="11"/>
      <c r="RDM15" s="11"/>
      <c r="RDN15" s="11"/>
      <c r="RDO15" s="11"/>
      <c r="RDP15" s="11"/>
      <c r="RDQ15" s="11"/>
      <c r="RDR15" s="11"/>
      <c r="RDS15" s="11"/>
      <c r="RDT15" s="11"/>
      <c r="RDU15" s="11"/>
      <c r="RDV15" s="11"/>
      <c r="RDW15" s="11"/>
      <c r="RDX15" s="11"/>
      <c r="RDY15" s="11"/>
      <c r="RDZ15" s="11"/>
      <c r="REA15" s="11"/>
      <c r="REB15" s="11"/>
      <c r="REC15" s="11"/>
      <c r="RED15" s="11"/>
      <c r="REE15" s="11"/>
      <c r="REF15" s="11"/>
      <c r="REG15" s="11"/>
      <c r="REH15" s="11"/>
      <c r="REI15" s="11"/>
      <c r="REJ15" s="11"/>
      <c r="REK15" s="11"/>
      <c r="REL15" s="11"/>
      <c r="REM15" s="11"/>
      <c r="REN15" s="11"/>
      <c r="REO15" s="11"/>
      <c r="REP15" s="11"/>
      <c r="REQ15" s="11"/>
      <c r="RER15" s="11"/>
      <c r="RES15" s="11"/>
      <c r="RET15" s="11"/>
      <c r="REU15" s="11"/>
      <c r="REV15" s="11"/>
      <c r="REW15" s="11"/>
      <c r="REX15" s="11"/>
      <c r="REY15" s="11"/>
      <c r="REZ15" s="11"/>
      <c r="RFA15" s="11"/>
      <c r="RFB15" s="11"/>
      <c r="RFC15" s="11"/>
      <c r="RFD15" s="11"/>
      <c r="RFE15" s="11"/>
      <c r="RFF15" s="11"/>
      <c r="RFG15" s="11"/>
      <c r="RFH15" s="11"/>
      <c r="RFI15" s="11"/>
      <c r="RFJ15" s="11"/>
      <c r="RFK15" s="11"/>
      <c r="RFL15" s="11"/>
      <c r="RFM15" s="11"/>
      <c r="RFN15" s="11"/>
      <c r="RFO15" s="11"/>
      <c r="RFP15" s="11"/>
      <c r="RFQ15" s="11"/>
      <c r="RFR15" s="11"/>
      <c r="RFS15" s="11"/>
      <c r="RFT15" s="11"/>
      <c r="RFU15" s="11"/>
      <c r="RFV15" s="11"/>
      <c r="RFW15" s="11"/>
      <c r="RFX15" s="11"/>
      <c r="RFY15" s="11"/>
      <c r="RFZ15" s="11"/>
      <c r="RGA15" s="11"/>
      <c r="RGB15" s="11"/>
      <c r="RGC15" s="11"/>
      <c r="RGD15" s="11"/>
      <c r="RGE15" s="11"/>
      <c r="RGF15" s="11"/>
      <c r="RGG15" s="11"/>
      <c r="RGH15" s="11"/>
      <c r="RGI15" s="11"/>
      <c r="RGJ15" s="11"/>
      <c r="RGK15" s="11"/>
      <c r="RGL15" s="11"/>
      <c r="RGM15" s="11"/>
      <c r="RGN15" s="11"/>
      <c r="RGO15" s="11"/>
      <c r="RGP15" s="11"/>
      <c r="RGQ15" s="11"/>
      <c r="RGR15" s="11"/>
      <c r="RGS15" s="11"/>
      <c r="RGT15" s="11"/>
      <c r="RGU15" s="11"/>
      <c r="RGV15" s="11"/>
      <c r="RGW15" s="11"/>
      <c r="RGX15" s="11"/>
      <c r="RGY15" s="11"/>
      <c r="RGZ15" s="11"/>
      <c r="RHA15" s="11"/>
      <c r="RHB15" s="11"/>
      <c r="RHC15" s="11"/>
      <c r="RHD15" s="11"/>
      <c r="RHE15" s="11"/>
      <c r="RHF15" s="11"/>
      <c r="RHG15" s="11"/>
      <c r="RHH15" s="11"/>
      <c r="RHI15" s="11"/>
      <c r="RHJ15" s="11"/>
      <c r="RHK15" s="11"/>
      <c r="RHL15" s="11"/>
      <c r="RHM15" s="11"/>
      <c r="RHN15" s="11"/>
      <c r="RHO15" s="11"/>
      <c r="RHP15" s="11"/>
      <c r="RHQ15" s="11"/>
      <c r="RHR15" s="11"/>
      <c r="RHS15" s="11"/>
      <c r="RHT15" s="11"/>
      <c r="RHU15" s="11"/>
      <c r="RHV15" s="11"/>
      <c r="RHW15" s="11"/>
      <c r="RHX15" s="11"/>
      <c r="RHY15" s="11"/>
      <c r="RHZ15" s="11"/>
      <c r="RIA15" s="11"/>
      <c r="RIB15" s="11"/>
      <c r="RIC15" s="11"/>
      <c r="RID15" s="11"/>
      <c r="RIE15" s="11"/>
      <c r="RIF15" s="11"/>
      <c r="RIG15" s="11"/>
      <c r="RIH15" s="11"/>
      <c r="RII15" s="11"/>
      <c r="RIJ15" s="11"/>
      <c r="RIK15" s="11"/>
      <c r="RIL15" s="11"/>
      <c r="RIM15" s="11"/>
      <c r="RIN15" s="11"/>
      <c r="RIO15" s="11"/>
      <c r="RIP15" s="11"/>
      <c r="RIQ15" s="11"/>
      <c r="RIR15" s="11"/>
      <c r="RIS15" s="11"/>
      <c r="RIT15" s="11"/>
      <c r="RIU15" s="11"/>
      <c r="RIV15" s="11"/>
      <c r="RIW15" s="11"/>
      <c r="RIX15" s="11"/>
      <c r="RIY15" s="11"/>
      <c r="RIZ15" s="11"/>
      <c r="RJA15" s="11"/>
      <c r="RJB15" s="11"/>
      <c r="RJC15" s="11"/>
      <c r="RJD15" s="11"/>
      <c r="RJE15" s="11"/>
      <c r="RJF15" s="11"/>
      <c r="RJG15" s="11"/>
      <c r="RJH15" s="11"/>
      <c r="RJI15" s="11"/>
      <c r="RJJ15" s="11"/>
      <c r="RJK15" s="11"/>
      <c r="RJL15" s="11"/>
      <c r="RJM15" s="11"/>
      <c r="RJN15" s="11"/>
      <c r="RJO15" s="11"/>
      <c r="RJP15" s="11"/>
      <c r="RJQ15" s="11"/>
      <c r="RJR15" s="11"/>
      <c r="RJS15" s="11"/>
      <c r="RJT15" s="11"/>
      <c r="RJU15" s="11"/>
      <c r="RJV15" s="11"/>
      <c r="RJW15" s="11"/>
      <c r="RJX15" s="11"/>
      <c r="RJY15" s="11"/>
      <c r="RJZ15" s="11"/>
      <c r="RKA15" s="11"/>
      <c r="RKB15" s="11"/>
      <c r="RKC15" s="11"/>
      <c r="RKD15" s="11"/>
      <c r="RKE15" s="11"/>
      <c r="RKF15" s="11"/>
      <c r="RKG15" s="11"/>
      <c r="RKH15" s="11"/>
      <c r="RKI15" s="11"/>
      <c r="RKJ15" s="11"/>
      <c r="RKK15" s="11"/>
      <c r="RKL15" s="11"/>
      <c r="RKM15" s="11"/>
      <c r="RKN15" s="11"/>
      <c r="RKO15" s="11"/>
      <c r="RKP15" s="11"/>
      <c r="RKQ15" s="11"/>
      <c r="RKR15" s="11"/>
      <c r="RKS15" s="11"/>
      <c r="RKT15" s="11"/>
      <c r="RKU15" s="11"/>
      <c r="RKV15" s="11"/>
      <c r="RKW15" s="11"/>
      <c r="RKX15" s="11"/>
      <c r="RKY15" s="11"/>
      <c r="RKZ15" s="11"/>
      <c r="RLA15" s="11"/>
      <c r="RLB15" s="11"/>
      <c r="RLC15" s="11"/>
      <c r="RLD15" s="11"/>
      <c r="RLE15" s="11"/>
      <c r="RLF15" s="11"/>
      <c r="RLG15" s="11"/>
      <c r="RLH15" s="11"/>
      <c r="RLI15" s="11"/>
      <c r="RLJ15" s="11"/>
      <c r="RLK15" s="11"/>
      <c r="RLL15" s="11"/>
      <c r="RLM15" s="11"/>
      <c r="RLN15" s="11"/>
      <c r="RLO15" s="11"/>
      <c r="RLP15" s="11"/>
      <c r="RLQ15" s="11"/>
      <c r="RLR15" s="11"/>
      <c r="RLS15" s="11"/>
      <c r="RLT15" s="11"/>
      <c r="RLU15" s="11"/>
      <c r="RLV15" s="11"/>
      <c r="RLW15" s="11"/>
      <c r="RLX15" s="11"/>
      <c r="RLY15" s="11"/>
      <c r="RLZ15" s="11"/>
      <c r="RMA15" s="11"/>
      <c r="RMB15" s="11"/>
      <c r="RMC15" s="11"/>
      <c r="RMD15" s="11"/>
      <c r="RME15" s="11"/>
      <c r="RMF15" s="11"/>
      <c r="RMG15" s="11"/>
      <c r="RMH15" s="11"/>
      <c r="RMI15" s="11"/>
      <c r="RMJ15" s="11"/>
      <c r="RMK15" s="11"/>
      <c r="RML15" s="11"/>
      <c r="RMM15" s="11"/>
      <c r="RMN15" s="11"/>
      <c r="RMO15" s="11"/>
      <c r="RMP15" s="11"/>
      <c r="RMQ15" s="11"/>
      <c r="RMR15" s="11"/>
      <c r="RMS15" s="11"/>
      <c r="RMT15" s="11"/>
      <c r="RMU15" s="11"/>
      <c r="RMV15" s="11"/>
      <c r="RMW15" s="11"/>
      <c r="RMX15" s="11"/>
      <c r="RMY15" s="11"/>
      <c r="RMZ15" s="11"/>
      <c r="RNA15" s="11"/>
      <c r="RNB15" s="11"/>
      <c r="RNC15" s="11"/>
      <c r="RND15" s="11"/>
      <c r="RNE15" s="11"/>
      <c r="RNF15" s="11"/>
      <c r="RNG15" s="11"/>
      <c r="RNH15" s="11"/>
      <c r="RNI15" s="11"/>
      <c r="RNJ15" s="11"/>
      <c r="RNK15" s="11"/>
      <c r="RNL15" s="11"/>
      <c r="RNM15" s="11"/>
      <c r="RNN15" s="11"/>
      <c r="RNO15" s="11"/>
      <c r="RNP15" s="11"/>
      <c r="RNQ15" s="11"/>
      <c r="RNR15" s="11"/>
      <c r="RNS15" s="11"/>
      <c r="RNT15" s="11"/>
      <c r="RNU15" s="11"/>
      <c r="RNV15" s="11"/>
      <c r="RNW15" s="11"/>
      <c r="RNX15" s="11"/>
      <c r="RNY15" s="11"/>
      <c r="RNZ15" s="11"/>
      <c r="ROA15" s="11"/>
      <c r="ROB15" s="11"/>
      <c r="ROC15" s="11"/>
      <c r="ROD15" s="11"/>
      <c r="ROE15" s="11"/>
      <c r="ROF15" s="11"/>
      <c r="ROG15" s="11"/>
      <c r="ROH15" s="11"/>
      <c r="ROI15" s="11"/>
      <c r="ROJ15" s="11"/>
      <c r="ROK15" s="11"/>
      <c r="ROL15" s="11"/>
      <c r="ROM15" s="11"/>
      <c r="RON15" s="11"/>
      <c r="ROO15" s="11"/>
      <c r="ROP15" s="11"/>
      <c r="ROQ15" s="11"/>
      <c r="ROR15" s="11"/>
      <c r="ROS15" s="11"/>
      <c r="ROT15" s="11"/>
      <c r="ROU15" s="11"/>
      <c r="ROV15" s="11"/>
      <c r="ROW15" s="11"/>
      <c r="ROX15" s="11"/>
      <c r="ROY15" s="11"/>
      <c r="ROZ15" s="11"/>
      <c r="RPA15" s="11"/>
      <c r="RPB15" s="11"/>
      <c r="RPC15" s="11"/>
      <c r="RPD15" s="11"/>
      <c r="RPE15" s="11"/>
      <c r="RPF15" s="11"/>
      <c r="RPG15" s="11"/>
      <c r="RPH15" s="11"/>
      <c r="RPI15" s="11"/>
      <c r="RPJ15" s="11"/>
      <c r="RPK15" s="11"/>
      <c r="RPL15" s="11"/>
      <c r="RPM15" s="11"/>
      <c r="RPN15" s="11"/>
      <c r="RPO15" s="11"/>
      <c r="RPP15" s="11"/>
      <c r="RPQ15" s="11"/>
      <c r="RPR15" s="11"/>
      <c r="RPS15" s="11"/>
      <c r="RPT15" s="11"/>
      <c r="RPU15" s="11"/>
      <c r="RPV15" s="11"/>
      <c r="RPW15" s="11"/>
      <c r="RPX15" s="11"/>
      <c r="RPY15" s="11"/>
      <c r="RPZ15" s="11"/>
      <c r="RQA15" s="11"/>
      <c r="RQB15" s="11"/>
      <c r="RQC15" s="11"/>
      <c r="RQD15" s="11"/>
      <c r="RQE15" s="11"/>
      <c r="RQF15" s="11"/>
      <c r="RQG15" s="11"/>
      <c r="RQH15" s="11"/>
      <c r="RQI15" s="11"/>
      <c r="RQJ15" s="11"/>
      <c r="RQK15" s="11"/>
      <c r="RQL15" s="11"/>
      <c r="RQM15" s="11"/>
      <c r="RQN15" s="11"/>
      <c r="RQO15" s="11"/>
      <c r="RQP15" s="11"/>
      <c r="RQQ15" s="11"/>
      <c r="RQR15" s="11"/>
      <c r="RQS15" s="11"/>
      <c r="RQT15" s="11"/>
      <c r="RQU15" s="11"/>
      <c r="RQV15" s="11"/>
      <c r="RQW15" s="11"/>
      <c r="RQX15" s="11"/>
      <c r="RQY15" s="11"/>
      <c r="RQZ15" s="11"/>
      <c r="RRA15" s="11"/>
      <c r="RRB15" s="11"/>
      <c r="RRC15" s="11"/>
      <c r="RRD15" s="11"/>
      <c r="RRE15" s="11"/>
      <c r="RRF15" s="11"/>
      <c r="RRG15" s="11"/>
      <c r="RRH15" s="11"/>
      <c r="RRI15" s="11"/>
      <c r="RRJ15" s="11"/>
      <c r="RRK15" s="11"/>
      <c r="RRL15" s="11"/>
      <c r="RRM15" s="11"/>
      <c r="RRN15" s="11"/>
      <c r="RRO15" s="11"/>
      <c r="RRP15" s="11"/>
      <c r="RRQ15" s="11"/>
      <c r="RRR15" s="11"/>
      <c r="RRS15" s="11"/>
      <c r="RRT15" s="11"/>
      <c r="RRU15" s="11"/>
      <c r="RRV15" s="11"/>
      <c r="RRW15" s="11"/>
      <c r="RRX15" s="11"/>
      <c r="RRY15" s="11"/>
      <c r="RRZ15" s="11"/>
      <c r="RSA15" s="11"/>
      <c r="RSB15" s="11"/>
      <c r="RSC15" s="11"/>
      <c r="RSD15" s="11"/>
      <c r="RSE15" s="11"/>
      <c r="RSF15" s="11"/>
      <c r="RSG15" s="11"/>
      <c r="RSH15" s="11"/>
      <c r="RSI15" s="11"/>
      <c r="RSJ15" s="11"/>
      <c r="RSK15" s="11"/>
      <c r="RSL15" s="11"/>
      <c r="RSM15" s="11"/>
      <c r="RSN15" s="11"/>
      <c r="RSO15" s="11"/>
      <c r="RSP15" s="11"/>
      <c r="RSQ15" s="11"/>
      <c r="RSR15" s="11"/>
      <c r="RSS15" s="11"/>
      <c r="RST15" s="11"/>
      <c r="RSU15" s="11"/>
      <c r="RSV15" s="11"/>
      <c r="RSW15" s="11"/>
      <c r="RSX15" s="11"/>
      <c r="RSY15" s="11"/>
      <c r="RSZ15" s="11"/>
      <c r="RTA15" s="11"/>
      <c r="RTB15" s="11"/>
      <c r="RTC15" s="11"/>
      <c r="RTD15" s="11"/>
      <c r="RTE15" s="11"/>
      <c r="RTF15" s="11"/>
      <c r="RTG15" s="11"/>
      <c r="RTH15" s="11"/>
      <c r="RTI15" s="11"/>
      <c r="RTJ15" s="11"/>
      <c r="RTK15" s="11"/>
      <c r="RTL15" s="11"/>
      <c r="RTM15" s="11"/>
      <c r="RTN15" s="11"/>
      <c r="RTO15" s="11"/>
      <c r="RTP15" s="11"/>
      <c r="RTQ15" s="11"/>
      <c r="RTR15" s="11"/>
      <c r="RTS15" s="11"/>
      <c r="RTT15" s="11"/>
      <c r="RTU15" s="11"/>
      <c r="RTV15" s="11"/>
      <c r="RTW15" s="11"/>
      <c r="RTX15" s="11"/>
      <c r="RTY15" s="11"/>
      <c r="RTZ15" s="11"/>
      <c r="RUA15" s="11"/>
      <c r="RUB15" s="11"/>
      <c r="RUC15" s="11"/>
      <c r="RUD15" s="11"/>
      <c r="RUE15" s="11"/>
      <c r="RUF15" s="11"/>
      <c r="RUG15" s="11"/>
      <c r="RUH15" s="11"/>
      <c r="RUI15" s="11"/>
      <c r="RUJ15" s="11"/>
      <c r="RUK15" s="11"/>
      <c r="RUL15" s="11"/>
      <c r="RUM15" s="11"/>
      <c r="RUN15" s="11"/>
      <c r="RUO15" s="11"/>
      <c r="RUP15" s="11"/>
      <c r="RUQ15" s="11"/>
      <c r="RUR15" s="11"/>
      <c r="RUS15" s="11"/>
      <c r="RUT15" s="11"/>
      <c r="RUU15" s="11"/>
      <c r="RUV15" s="11"/>
      <c r="RUW15" s="11"/>
      <c r="RUX15" s="11"/>
      <c r="RUY15" s="11"/>
      <c r="RUZ15" s="11"/>
      <c r="RVA15" s="11"/>
      <c r="RVB15" s="11"/>
      <c r="RVC15" s="11"/>
      <c r="RVD15" s="11"/>
      <c r="RVE15" s="11"/>
      <c r="RVF15" s="11"/>
      <c r="RVG15" s="11"/>
      <c r="RVH15" s="11"/>
      <c r="RVI15" s="11"/>
      <c r="RVJ15" s="11"/>
      <c r="RVK15" s="11"/>
      <c r="RVL15" s="11"/>
      <c r="RVM15" s="11"/>
      <c r="RVN15" s="11"/>
      <c r="RVO15" s="11"/>
      <c r="RVP15" s="11"/>
      <c r="RVQ15" s="11"/>
      <c r="RVR15" s="11"/>
      <c r="RVS15" s="11"/>
      <c r="RVT15" s="11"/>
      <c r="RVU15" s="11"/>
      <c r="RVV15" s="11"/>
      <c r="RVW15" s="11"/>
      <c r="RVX15" s="11"/>
      <c r="RVY15" s="11"/>
      <c r="RVZ15" s="11"/>
      <c r="RWA15" s="11"/>
      <c r="RWB15" s="11"/>
      <c r="RWC15" s="11"/>
      <c r="RWD15" s="11"/>
      <c r="RWE15" s="11"/>
      <c r="RWF15" s="11"/>
      <c r="RWG15" s="11"/>
      <c r="RWH15" s="11"/>
      <c r="RWI15" s="11"/>
      <c r="RWJ15" s="11"/>
      <c r="RWK15" s="11"/>
      <c r="RWL15" s="11"/>
      <c r="RWM15" s="11"/>
      <c r="RWN15" s="11"/>
      <c r="RWO15" s="11"/>
      <c r="RWP15" s="11"/>
      <c r="RWQ15" s="11"/>
      <c r="RWR15" s="11"/>
      <c r="RWS15" s="11"/>
      <c r="RWT15" s="11"/>
      <c r="RWU15" s="11"/>
      <c r="RWV15" s="11"/>
      <c r="RWW15" s="11"/>
      <c r="RWX15" s="11"/>
      <c r="RWY15" s="11"/>
      <c r="RWZ15" s="11"/>
      <c r="RXA15" s="11"/>
      <c r="RXB15" s="11"/>
      <c r="RXC15" s="11"/>
      <c r="RXD15" s="11"/>
      <c r="RXE15" s="11"/>
      <c r="RXF15" s="11"/>
      <c r="RXG15" s="11"/>
      <c r="RXH15" s="11"/>
      <c r="RXI15" s="11"/>
      <c r="RXJ15" s="11"/>
      <c r="RXK15" s="11"/>
      <c r="RXL15" s="11"/>
      <c r="RXM15" s="11"/>
      <c r="RXN15" s="11"/>
      <c r="RXO15" s="11"/>
      <c r="RXP15" s="11"/>
      <c r="RXQ15" s="11"/>
      <c r="RXR15" s="11"/>
      <c r="RXS15" s="11"/>
      <c r="RXT15" s="11"/>
      <c r="RXU15" s="11"/>
      <c r="RXV15" s="11"/>
      <c r="RXW15" s="11"/>
      <c r="RXX15" s="11"/>
      <c r="RXY15" s="11"/>
      <c r="RXZ15" s="11"/>
      <c r="RYA15" s="11"/>
      <c r="RYB15" s="11"/>
      <c r="RYC15" s="11"/>
      <c r="RYD15" s="11"/>
      <c r="RYE15" s="11"/>
      <c r="RYF15" s="11"/>
      <c r="RYG15" s="11"/>
      <c r="RYH15" s="11"/>
      <c r="RYI15" s="11"/>
      <c r="RYJ15" s="11"/>
      <c r="RYK15" s="11"/>
      <c r="RYL15" s="11"/>
      <c r="RYM15" s="11"/>
      <c r="RYN15" s="11"/>
      <c r="RYO15" s="11"/>
      <c r="RYP15" s="11"/>
      <c r="RYQ15" s="11"/>
      <c r="RYR15" s="11"/>
      <c r="RYS15" s="11"/>
      <c r="RYT15" s="11"/>
      <c r="RYU15" s="11"/>
      <c r="RYV15" s="11"/>
      <c r="RYW15" s="11"/>
      <c r="RYX15" s="11"/>
      <c r="RYY15" s="11"/>
      <c r="RYZ15" s="11"/>
      <c r="RZA15" s="11"/>
      <c r="RZB15" s="11"/>
      <c r="RZC15" s="11"/>
      <c r="RZD15" s="11"/>
      <c r="RZE15" s="11"/>
      <c r="RZF15" s="11"/>
      <c r="RZG15" s="11"/>
      <c r="RZH15" s="11"/>
      <c r="RZI15" s="11"/>
      <c r="RZJ15" s="11"/>
      <c r="RZK15" s="11"/>
      <c r="RZL15" s="11"/>
      <c r="RZM15" s="11"/>
      <c r="RZN15" s="11"/>
      <c r="RZO15" s="11"/>
      <c r="RZP15" s="11"/>
      <c r="RZQ15" s="11"/>
      <c r="RZR15" s="11"/>
      <c r="RZS15" s="11"/>
      <c r="RZT15" s="11"/>
      <c r="RZU15" s="11"/>
      <c r="RZV15" s="11"/>
      <c r="RZW15" s="11"/>
      <c r="RZX15" s="11"/>
      <c r="RZY15" s="11"/>
      <c r="RZZ15" s="11"/>
      <c r="SAA15" s="11"/>
      <c r="SAB15" s="11"/>
      <c r="SAC15" s="11"/>
      <c r="SAD15" s="11"/>
      <c r="SAE15" s="11"/>
      <c r="SAF15" s="11"/>
      <c r="SAG15" s="11"/>
      <c r="SAH15" s="11"/>
      <c r="SAI15" s="11"/>
      <c r="SAJ15" s="11"/>
      <c r="SAK15" s="11"/>
      <c r="SAL15" s="11"/>
      <c r="SAM15" s="11"/>
      <c r="SAN15" s="11"/>
      <c r="SAO15" s="11"/>
      <c r="SAP15" s="11"/>
      <c r="SAQ15" s="11"/>
      <c r="SAR15" s="11"/>
      <c r="SAS15" s="11"/>
      <c r="SAT15" s="11"/>
      <c r="SAU15" s="11"/>
      <c r="SAV15" s="11"/>
      <c r="SAW15" s="11"/>
      <c r="SAX15" s="11"/>
      <c r="SAY15" s="11"/>
      <c r="SAZ15" s="11"/>
      <c r="SBA15" s="11"/>
      <c r="SBB15" s="11"/>
      <c r="SBC15" s="11"/>
      <c r="SBD15" s="11"/>
      <c r="SBE15" s="11"/>
      <c r="SBF15" s="11"/>
      <c r="SBG15" s="11"/>
      <c r="SBH15" s="11"/>
      <c r="SBI15" s="11"/>
      <c r="SBJ15" s="11"/>
      <c r="SBK15" s="11"/>
      <c r="SBL15" s="11"/>
      <c r="SBM15" s="11"/>
      <c r="SBN15" s="11"/>
      <c r="SBO15" s="11"/>
      <c r="SBP15" s="11"/>
      <c r="SBQ15" s="11"/>
      <c r="SBR15" s="11"/>
      <c r="SBS15" s="11"/>
      <c r="SBT15" s="11"/>
      <c r="SBU15" s="11"/>
      <c r="SBV15" s="11"/>
      <c r="SBW15" s="11"/>
      <c r="SBX15" s="11"/>
      <c r="SBY15" s="11"/>
      <c r="SBZ15" s="11"/>
      <c r="SCA15" s="11"/>
      <c r="SCB15" s="11"/>
      <c r="SCC15" s="11"/>
      <c r="SCD15" s="11"/>
      <c r="SCE15" s="11"/>
      <c r="SCF15" s="11"/>
      <c r="SCG15" s="11"/>
      <c r="SCH15" s="11"/>
      <c r="SCI15" s="11"/>
      <c r="SCJ15" s="11"/>
      <c r="SCK15" s="11"/>
      <c r="SCL15" s="11"/>
      <c r="SCM15" s="11"/>
      <c r="SCN15" s="11"/>
      <c r="SCO15" s="11"/>
      <c r="SCP15" s="11"/>
      <c r="SCQ15" s="11"/>
      <c r="SCR15" s="11"/>
      <c r="SCS15" s="11"/>
      <c r="SCT15" s="11"/>
      <c r="SCU15" s="11"/>
      <c r="SCV15" s="11"/>
      <c r="SCW15" s="11"/>
      <c r="SCX15" s="11"/>
      <c r="SCY15" s="11"/>
      <c r="SCZ15" s="11"/>
      <c r="SDA15" s="11"/>
      <c r="SDB15" s="11"/>
      <c r="SDC15" s="11"/>
      <c r="SDD15" s="11"/>
      <c r="SDE15" s="11"/>
      <c r="SDF15" s="11"/>
      <c r="SDG15" s="11"/>
      <c r="SDH15" s="11"/>
      <c r="SDI15" s="11"/>
      <c r="SDJ15" s="11"/>
      <c r="SDK15" s="11"/>
      <c r="SDL15" s="11"/>
      <c r="SDM15" s="11"/>
      <c r="SDN15" s="11"/>
      <c r="SDO15" s="11"/>
      <c r="SDP15" s="11"/>
      <c r="SDQ15" s="11"/>
      <c r="SDR15" s="11"/>
      <c r="SDS15" s="11"/>
      <c r="SDT15" s="11"/>
      <c r="SDU15" s="11"/>
      <c r="SDV15" s="11"/>
      <c r="SDW15" s="11"/>
      <c r="SDX15" s="11"/>
      <c r="SDY15" s="11"/>
      <c r="SDZ15" s="11"/>
      <c r="SEA15" s="11"/>
      <c r="SEB15" s="11"/>
      <c r="SEC15" s="11"/>
      <c r="SED15" s="11"/>
      <c r="SEE15" s="11"/>
      <c r="SEF15" s="11"/>
      <c r="SEG15" s="11"/>
      <c r="SEH15" s="11"/>
      <c r="SEI15" s="11"/>
      <c r="SEJ15" s="11"/>
      <c r="SEK15" s="11"/>
      <c r="SEL15" s="11"/>
      <c r="SEM15" s="11"/>
      <c r="SEN15" s="11"/>
      <c r="SEO15" s="11"/>
      <c r="SEP15" s="11"/>
      <c r="SEQ15" s="11"/>
      <c r="SER15" s="11"/>
      <c r="SES15" s="11"/>
      <c r="SET15" s="11"/>
      <c r="SEU15" s="11"/>
      <c r="SEV15" s="11"/>
      <c r="SEW15" s="11"/>
      <c r="SEX15" s="11"/>
      <c r="SEY15" s="11"/>
      <c r="SEZ15" s="11"/>
      <c r="SFA15" s="11"/>
      <c r="SFB15" s="11"/>
      <c r="SFC15" s="11"/>
      <c r="SFD15" s="11"/>
      <c r="SFE15" s="11"/>
      <c r="SFF15" s="11"/>
      <c r="SFG15" s="11"/>
      <c r="SFH15" s="11"/>
      <c r="SFI15" s="11"/>
      <c r="SFJ15" s="11"/>
      <c r="SFK15" s="11"/>
      <c r="SFL15" s="11"/>
      <c r="SFM15" s="11"/>
      <c r="SFN15" s="11"/>
      <c r="SFO15" s="11"/>
      <c r="SFP15" s="11"/>
      <c r="SFQ15" s="11"/>
      <c r="SFR15" s="11"/>
      <c r="SFS15" s="11"/>
      <c r="SFT15" s="11"/>
      <c r="SFU15" s="11"/>
      <c r="SFV15" s="11"/>
      <c r="SFW15" s="11"/>
      <c r="SFX15" s="11"/>
      <c r="SFY15" s="11"/>
      <c r="SFZ15" s="11"/>
      <c r="SGA15" s="11"/>
      <c r="SGB15" s="11"/>
      <c r="SGC15" s="11"/>
      <c r="SGD15" s="11"/>
      <c r="SGE15" s="11"/>
      <c r="SGF15" s="11"/>
      <c r="SGG15" s="11"/>
      <c r="SGH15" s="11"/>
      <c r="SGI15" s="11"/>
      <c r="SGJ15" s="11"/>
      <c r="SGK15" s="11"/>
      <c r="SGL15" s="11"/>
      <c r="SGM15" s="11"/>
      <c r="SGN15" s="11"/>
      <c r="SGO15" s="11"/>
      <c r="SGP15" s="11"/>
      <c r="SGQ15" s="11"/>
      <c r="SGR15" s="11"/>
      <c r="SGS15" s="11"/>
      <c r="SGT15" s="11"/>
      <c r="SGU15" s="11"/>
      <c r="SGV15" s="11"/>
      <c r="SGW15" s="11"/>
      <c r="SGX15" s="11"/>
      <c r="SGY15" s="11"/>
      <c r="SGZ15" s="11"/>
      <c r="SHA15" s="11"/>
      <c r="SHB15" s="11"/>
      <c r="SHC15" s="11"/>
      <c r="SHD15" s="11"/>
      <c r="SHE15" s="11"/>
      <c r="SHF15" s="11"/>
      <c r="SHG15" s="11"/>
      <c r="SHH15" s="11"/>
      <c r="SHI15" s="11"/>
      <c r="SHJ15" s="11"/>
      <c r="SHK15" s="11"/>
      <c r="SHL15" s="11"/>
      <c r="SHM15" s="11"/>
      <c r="SHN15" s="11"/>
      <c r="SHO15" s="11"/>
      <c r="SHP15" s="11"/>
      <c r="SHQ15" s="11"/>
      <c r="SHR15" s="11"/>
      <c r="SHS15" s="11"/>
      <c r="SHT15" s="11"/>
      <c r="SHU15" s="11"/>
      <c r="SHV15" s="11"/>
      <c r="SHW15" s="11"/>
      <c r="SHX15" s="11"/>
      <c r="SHY15" s="11"/>
      <c r="SHZ15" s="11"/>
      <c r="SIA15" s="11"/>
      <c r="SIB15" s="11"/>
      <c r="SIC15" s="11"/>
      <c r="SID15" s="11"/>
      <c r="SIE15" s="11"/>
      <c r="SIF15" s="11"/>
      <c r="SIG15" s="11"/>
      <c r="SIH15" s="11"/>
      <c r="SII15" s="11"/>
      <c r="SIJ15" s="11"/>
      <c r="SIK15" s="11"/>
      <c r="SIL15" s="11"/>
      <c r="SIM15" s="11"/>
      <c r="SIN15" s="11"/>
      <c r="SIO15" s="11"/>
      <c r="SIP15" s="11"/>
      <c r="SIQ15" s="11"/>
      <c r="SIR15" s="11"/>
      <c r="SIS15" s="11"/>
      <c r="SIT15" s="11"/>
      <c r="SIU15" s="11"/>
      <c r="SIV15" s="11"/>
      <c r="SIW15" s="11"/>
      <c r="SIX15" s="11"/>
      <c r="SIY15" s="11"/>
      <c r="SIZ15" s="11"/>
      <c r="SJA15" s="11"/>
      <c r="SJB15" s="11"/>
      <c r="SJC15" s="11"/>
      <c r="SJD15" s="11"/>
      <c r="SJE15" s="11"/>
      <c r="SJF15" s="11"/>
      <c r="SJG15" s="11"/>
      <c r="SJH15" s="11"/>
      <c r="SJI15" s="11"/>
      <c r="SJJ15" s="11"/>
      <c r="SJK15" s="11"/>
      <c r="SJL15" s="11"/>
      <c r="SJM15" s="11"/>
      <c r="SJN15" s="11"/>
      <c r="SJO15" s="11"/>
      <c r="SJP15" s="11"/>
      <c r="SJQ15" s="11"/>
      <c r="SJR15" s="11"/>
      <c r="SJS15" s="11"/>
      <c r="SJT15" s="11"/>
      <c r="SJU15" s="11"/>
      <c r="SJV15" s="11"/>
      <c r="SJW15" s="11"/>
      <c r="SJX15" s="11"/>
      <c r="SJY15" s="11"/>
      <c r="SJZ15" s="11"/>
      <c r="SKA15" s="11"/>
      <c r="SKB15" s="11"/>
      <c r="SKC15" s="11"/>
      <c r="SKD15" s="11"/>
      <c r="SKE15" s="11"/>
      <c r="SKF15" s="11"/>
      <c r="SKG15" s="11"/>
      <c r="SKH15" s="11"/>
      <c r="SKI15" s="11"/>
      <c r="SKJ15" s="11"/>
      <c r="SKK15" s="11"/>
      <c r="SKL15" s="11"/>
      <c r="SKM15" s="11"/>
      <c r="SKN15" s="11"/>
      <c r="SKO15" s="11"/>
      <c r="SKP15" s="11"/>
      <c r="SKQ15" s="11"/>
      <c r="SKR15" s="11"/>
      <c r="SKS15" s="11"/>
      <c r="SKT15" s="11"/>
      <c r="SKU15" s="11"/>
      <c r="SKV15" s="11"/>
      <c r="SKW15" s="11"/>
      <c r="SKX15" s="11"/>
      <c r="SKY15" s="11"/>
      <c r="SKZ15" s="11"/>
      <c r="SLA15" s="11"/>
      <c r="SLB15" s="11"/>
      <c r="SLC15" s="11"/>
      <c r="SLD15" s="11"/>
      <c r="SLE15" s="11"/>
      <c r="SLF15" s="11"/>
      <c r="SLG15" s="11"/>
      <c r="SLH15" s="11"/>
      <c r="SLI15" s="11"/>
      <c r="SLJ15" s="11"/>
      <c r="SLK15" s="11"/>
      <c r="SLL15" s="11"/>
      <c r="SLM15" s="11"/>
      <c r="SLN15" s="11"/>
      <c r="SLO15" s="11"/>
      <c r="SLP15" s="11"/>
      <c r="SLQ15" s="11"/>
      <c r="SLR15" s="11"/>
      <c r="SLS15" s="11"/>
      <c r="SLT15" s="11"/>
      <c r="SLU15" s="11"/>
      <c r="SLV15" s="11"/>
      <c r="SLW15" s="11"/>
      <c r="SLX15" s="11"/>
      <c r="SLY15" s="11"/>
      <c r="SLZ15" s="11"/>
      <c r="SMA15" s="11"/>
      <c r="SMB15" s="11"/>
      <c r="SMC15" s="11"/>
      <c r="SMD15" s="11"/>
      <c r="SME15" s="11"/>
      <c r="SMF15" s="11"/>
      <c r="SMG15" s="11"/>
      <c r="SMH15" s="11"/>
      <c r="SMI15" s="11"/>
      <c r="SMJ15" s="11"/>
      <c r="SMK15" s="11"/>
      <c r="SML15" s="11"/>
      <c r="SMM15" s="11"/>
      <c r="SMN15" s="11"/>
      <c r="SMO15" s="11"/>
      <c r="SMP15" s="11"/>
      <c r="SMQ15" s="11"/>
      <c r="SMR15" s="11"/>
      <c r="SMS15" s="11"/>
      <c r="SMT15" s="11"/>
      <c r="SMU15" s="11"/>
      <c r="SMV15" s="11"/>
      <c r="SMW15" s="11"/>
      <c r="SMX15" s="11"/>
      <c r="SMY15" s="11"/>
      <c r="SMZ15" s="11"/>
      <c r="SNA15" s="11"/>
      <c r="SNB15" s="11"/>
      <c r="SNC15" s="11"/>
      <c r="SND15" s="11"/>
      <c r="SNE15" s="11"/>
      <c r="SNF15" s="11"/>
      <c r="SNG15" s="11"/>
      <c r="SNH15" s="11"/>
      <c r="SNI15" s="11"/>
      <c r="SNJ15" s="11"/>
      <c r="SNK15" s="11"/>
      <c r="SNL15" s="11"/>
      <c r="SNM15" s="11"/>
      <c r="SNN15" s="11"/>
      <c r="SNO15" s="11"/>
      <c r="SNP15" s="11"/>
      <c r="SNQ15" s="11"/>
      <c r="SNR15" s="11"/>
      <c r="SNS15" s="11"/>
      <c r="SNT15" s="11"/>
      <c r="SNU15" s="11"/>
      <c r="SNV15" s="11"/>
      <c r="SNW15" s="11"/>
      <c r="SNX15" s="11"/>
      <c r="SNY15" s="11"/>
      <c r="SNZ15" s="11"/>
      <c r="SOA15" s="11"/>
      <c r="SOB15" s="11"/>
      <c r="SOC15" s="11"/>
      <c r="SOD15" s="11"/>
      <c r="SOE15" s="11"/>
      <c r="SOF15" s="11"/>
      <c r="SOG15" s="11"/>
      <c r="SOH15" s="11"/>
      <c r="SOI15" s="11"/>
      <c r="SOJ15" s="11"/>
      <c r="SOK15" s="11"/>
      <c r="SOL15" s="11"/>
      <c r="SOM15" s="11"/>
      <c r="SON15" s="11"/>
      <c r="SOO15" s="11"/>
      <c r="SOP15" s="11"/>
      <c r="SOQ15" s="11"/>
      <c r="SOR15" s="11"/>
      <c r="SOS15" s="11"/>
      <c r="SOT15" s="11"/>
      <c r="SOU15" s="11"/>
      <c r="SOV15" s="11"/>
      <c r="SOW15" s="11"/>
      <c r="SOX15" s="11"/>
      <c r="SOY15" s="11"/>
      <c r="SOZ15" s="11"/>
      <c r="SPA15" s="11"/>
      <c r="SPB15" s="11"/>
      <c r="SPC15" s="11"/>
      <c r="SPD15" s="11"/>
      <c r="SPE15" s="11"/>
      <c r="SPF15" s="11"/>
      <c r="SPG15" s="11"/>
      <c r="SPH15" s="11"/>
      <c r="SPI15" s="11"/>
      <c r="SPJ15" s="11"/>
      <c r="SPK15" s="11"/>
      <c r="SPL15" s="11"/>
      <c r="SPM15" s="11"/>
      <c r="SPN15" s="11"/>
      <c r="SPO15" s="11"/>
      <c r="SPP15" s="11"/>
      <c r="SPQ15" s="11"/>
      <c r="SPR15" s="11"/>
      <c r="SPS15" s="11"/>
      <c r="SPT15" s="11"/>
      <c r="SPU15" s="11"/>
      <c r="SPV15" s="11"/>
      <c r="SPW15" s="11"/>
      <c r="SPX15" s="11"/>
      <c r="SPY15" s="11"/>
      <c r="SPZ15" s="11"/>
      <c r="SQA15" s="11"/>
      <c r="SQB15" s="11"/>
      <c r="SQC15" s="11"/>
      <c r="SQD15" s="11"/>
      <c r="SQE15" s="11"/>
      <c r="SQF15" s="11"/>
      <c r="SQG15" s="11"/>
      <c r="SQH15" s="11"/>
      <c r="SQI15" s="11"/>
      <c r="SQJ15" s="11"/>
      <c r="SQK15" s="11"/>
      <c r="SQL15" s="11"/>
      <c r="SQM15" s="11"/>
      <c r="SQN15" s="11"/>
      <c r="SQO15" s="11"/>
      <c r="SQP15" s="11"/>
      <c r="SQQ15" s="11"/>
      <c r="SQR15" s="11"/>
      <c r="SQS15" s="11"/>
      <c r="SQT15" s="11"/>
      <c r="SQU15" s="11"/>
      <c r="SQV15" s="11"/>
      <c r="SQW15" s="11"/>
      <c r="SQX15" s="11"/>
      <c r="SQY15" s="11"/>
      <c r="SQZ15" s="11"/>
      <c r="SRA15" s="11"/>
      <c r="SRB15" s="11"/>
      <c r="SRC15" s="11"/>
      <c r="SRD15" s="11"/>
      <c r="SRE15" s="11"/>
      <c r="SRF15" s="11"/>
      <c r="SRG15" s="11"/>
      <c r="SRH15" s="11"/>
      <c r="SRI15" s="11"/>
      <c r="SRJ15" s="11"/>
      <c r="SRK15" s="11"/>
      <c r="SRL15" s="11"/>
      <c r="SRM15" s="11"/>
      <c r="SRN15" s="11"/>
      <c r="SRO15" s="11"/>
      <c r="SRP15" s="11"/>
      <c r="SRQ15" s="11"/>
      <c r="SRR15" s="11"/>
      <c r="SRS15" s="11"/>
      <c r="SRT15" s="11"/>
      <c r="SRU15" s="11"/>
      <c r="SRV15" s="11"/>
      <c r="SRW15" s="11"/>
      <c r="SRX15" s="11"/>
      <c r="SRY15" s="11"/>
      <c r="SRZ15" s="11"/>
      <c r="SSA15" s="11"/>
      <c r="SSB15" s="11"/>
      <c r="SSC15" s="11"/>
      <c r="SSD15" s="11"/>
      <c r="SSE15" s="11"/>
      <c r="SSF15" s="11"/>
      <c r="SSG15" s="11"/>
      <c r="SSH15" s="11"/>
      <c r="SSI15" s="11"/>
      <c r="SSJ15" s="11"/>
      <c r="SSK15" s="11"/>
      <c r="SSL15" s="11"/>
      <c r="SSM15" s="11"/>
      <c r="SSN15" s="11"/>
      <c r="SSO15" s="11"/>
      <c r="SSP15" s="11"/>
      <c r="SSQ15" s="11"/>
      <c r="SSR15" s="11"/>
      <c r="SSS15" s="11"/>
      <c r="SST15" s="11"/>
      <c r="SSU15" s="11"/>
      <c r="SSV15" s="11"/>
      <c r="SSW15" s="11"/>
      <c r="SSX15" s="11"/>
      <c r="SSY15" s="11"/>
      <c r="SSZ15" s="11"/>
      <c r="STA15" s="11"/>
      <c r="STB15" s="11"/>
      <c r="STC15" s="11"/>
      <c r="STD15" s="11"/>
      <c r="STE15" s="11"/>
      <c r="STF15" s="11"/>
      <c r="STG15" s="11"/>
      <c r="STH15" s="11"/>
      <c r="STI15" s="11"/>
      <c r="STJ15" s="11"/>
      <c r="STK15" s="11"/>
      <c r="STL15" s="11"/>
      <c r="STM15" s="11"/>
      <c r="STN15" s="11"/>
      <c r="STO15" s="11"/>
      <c r="STP15" s="11"/>
      <c r="STQ15" s="11"/>
      <c r="STR15" s="11"/>
      <c r="STS15" s="11"/>
      <c r="STT15" s="11"/>
      <c r="STU15" s="11"/>
      <c r="STV15" s="11"/>
      <c r="STW15" s="11"/>
      <c r="STX15" s="11"/>
      <c r="STY15" s="11"/>
      <c r="STZ15" s="11"/>
      <c r="SUA15" s="11"/>
      <c r="SUB15" s="11"/>
      <c r="SUC15" s="11"/>
      <c r="SUD15" s="11"/>
      <c r="SUE15" s="11"/>
      <c r="SUF15" s="11"/>
      <c r="SUG15" s="11"/>
      <c r="SUH15" s="11"/>
      <c r="SUI15" s="11"/>
      <c r="SUJ15" s="11"/>
      <c r="SUK15" s="11"/>
      <c r="SUL15" s="11"/>
      <c r="SUM15" s="11"/>
      <c r="SUN15" s="11"/>
      <c r="SUO15" s="11"/>
      <c r="SUP15" s="11"/>
      <c r="SUQ15" s="11"/>
      <c r="SUR15" s="11"/>
      <c r="SUS15" s="11"/>
      <c r="SUT15" s="11"/>
      <c r="SUU15" s="11"/>
      <c r="SUV15" s="11"/>
      <c r="SUW15" s="11"/>
      <c r="SUX15" s="11"/>
      <c r="SUY15" s="11"/>
      <c r="SUZ15" s="11"/>
      <c r="SVA15" s="11"/>
      <c r="SVB15" s="11"/>
      <c r="SVC15" s="11"/>
      <c r="SVD15" s="11"/>
      <c r="SVE15" s="11"/>
      <c r="SVF15" s="11"/>
      <c r="SVG15" s="11"/>
      <c r="SVH15" s="11"/>
      <c r="SVI15" s="11"/>
      <c r="SVJ15" s="11"/>
      <c r="SVK15" s="11"/>
      <c r="SVL15" s="11"/>
      <c r="SVM15" s="11"/>
      <c r="SVN15" s="11"/>
      <c r="SVO15" s="11"/>
      <c r="SVP15" s="11"/>
      <c r="SVQ15" s="11"/>
      <c r="SVR15" s="11"/>
      <c r="SVS15" s="11"/>
      <c r="SVT15" s="11"/>
      <c r="SVU15" s="11"/>
      <c r="SVV15" s="11"/>
      <c r="SVW15" s="11"/>
      <c r="SVX15" s="11"/>
      <c r="SVY15" s="11"/>
      <c r="SVZ15" s="11"/>
      <c r="SWA15" s="11"/>
      <c r="SWB15" s="11"/>
      <c r="SWC15" s="11"/>
      <c r="SWD15" s="11"/>
      <c r="SWE15" s="11"/>
      <c r="SWF15" s="11"/>
      <c r="SWG15" s="11"/>
      <c r="SWH15" s="11"/>
      <c r="SWI15" s="11"/>
      <c r="SWJ15" s="11"/>
      <c r="SWK15" s="11"/>
      <c r="SWL15" s="11"/>
      <c r="SWM15" s="11"/>
      <c r="SWN15" s="11"/>
      <c r="SWO15" s="11"/>
      <c r="SWP15" s="11"/>
      <c r="SWQ15" s="11"/>
      <c r="SWR15" s="11"/>
      <c r="SWS15" s="11"/>
      <c r="SWT15" s="11"/>
      <c r="SWU15" s="11"/>
      <c r="SWV15" s="11"/>
      <c r="SWW15" s="11"/>
      <c r="SWX15" s="11"/>
      <c r="SWY15" s="11"/>
      <c r="SWZ15" s="11"/>
      <c r="SXA15" s="11"/>
      <c r="SXB15" s="11"/>
      <c r="SXC15" s="11"/>
      <c r="SXD15" s="11"/>
      <c r="SXE15" s="11"/>
      <c r="SXF15" s="11"/>
      <c r="SXG15" s="11"/>
      <c r="SXH15" s="11"/>
      <c r="SXI15" s="11"/>
      <c r="SXJ15" s="11"/>
      <c r="SXK15" s="11"/>
      <c r="SXL15" s="11"/>
      <c r="SXM15" s="11"/>
      <c r="SXN15" s="11"/>
      <c r="SXO15" s="11"/>
      <c r="SXP15" s="11"/>
      <c r="SXQ15" s="11"/>
      <c r="SXR15" s="11"/>
      <c r="SXS15" s="11"/>
      <c r="SXT15" s="11"/>
      <c r="SXU15" s="11"/>
      <c r="SXV15" s="11"/>
      <c r="SXW15" s="11"/>
      <c r="SXX15" s="11"/>
      <c r="SXY15" s="11"/>
      <c r="SXZ15" s="11"/>
      <c r="SYA15" s="11"/>
      <c r="SYB15" s="11"/>
      <c r="SYC15" s="11"/>
      <c r="SYD15" s="11"/>
      <c r="SYE15" s="11"/>
      <c r="SYF15" s="11"/>
      <c r="SYG15" s="11"/>
      <c r="SYH15" s="11"/>
      <c r="SYI15" s="11"/>
      <c r="SYJ15" s="11"/>
      <c r="SYK15" s="11"/>
      <c r="SYL15" s="11"/>
      <c r="SYM15" s="11"/>
      <c r="SYN15" s="11"/>
      <c r="SYO15" s="11"/>
      <c r="SYP15" s="11"/>
      <c r="SYQ15" s="11"/>
      <c r="SYR15" s="11"/>
      <c r="SYS15" s="11"/>
      <c r="SYT15" s="11"/>
      <c r="SYU15" s="11"/>
      <c r="SYV15" s="11"/>
      <c r="SYW15" s="11"/>
      <c r="SYX15" s="11"/>
      <c r="SYY15" s="11"/>
      <c r="SYZ15" s="11"/>
      <c r="SZA15" s="11"/>
      <c r="SZB15" s="11"/>
      <c r="SZC15" s="11"/>
      <c r="SZD15" s="11"/>
      <c r="SZE15" s="11"/>
      <c r="SZF15" s="11"/>
      <c r="SZG15" s="11"/>
      <c r="SZH15" s="11"/>
      <c r="SZI15" s="11"/>
      <c r="SZJ15" s="11"/>
      <c r="SZK15" s="11"/>
      <c r="SZL15" s="11"/>
      <c r="SZM15" s="11"/>
      <c r="SZN15" s="11"/>
      <c r="SZO15" s="11"/>
      <c r="SZP15" s="11"/>
      <c r="SZQ15" s="11"/>
      <c r="SZR15" s="11"/>
      <c r="SZS15" s="11"/>
      <c r="SZT15" s="11"/>
      <c r="SZU15" s="11"/>
      <c r="SZV15" s="11"/>
      <c r="SZW15" s="11"/>
      <c r="SZX15" s="11"/>
      <c r="SZY15" s="11"/>
      <c r="SZZ15" s="11"/>
      <c r="TAA15" s="11"/>
      <c r="TAB15" s="11"/>
      <c r="TAC15" s="11"/>
      <c r="TAD15" s="11"/>
      <c r="TAE15" s="11"/>
      <c r="TAF15" s="11"/>
      <c r="TAG15" s="11"/>
      <c r="TAH15" s="11"/>
      <c r="TAI15" s="11"/>
      <c r="TAJ15" s="11"/>
      <c r="TAK15" s="11"/>
      <c r="TAL15" s="11"/>
      <c r="TAM15" s="11"/>
      <c r="TAN15" s="11"/>
      <c r="TAO15" s="11"/>
      <c r="TAP15" s="11"/>
      <c r="TAQ15" s="11"/>
      <c r="TAR15" s="11"/>
      <c r="TAS15" s="11"/>
      <c r="TAT15" s="11"/>
      <c r="TAU15" s="11"/>
      <c r="TAV15" s="11"/>
      <c r="TAW15" s="11"/>
      <c r="TAX15" s="11"/>
      <c r="TAY15" s="11"/>
      <c r="TAZ15" s="11"/>
      <c r="TBA15" s="11"/>
      <c r="TBB15" s="11"/>
      <c r="TBC15" s="11"/>
      <c r="TBD15" s="11"/>
      <c r="TBE15" s="11"/>
      <c r="TBF15" s="11"/>
      <c r="TBG15" s="11"/>
      <c r="TBH15" s="11"/>
      <c r="TBI15" s="11"/>
      <c r="TBJ15" s="11"/>
      <c r="TBK15" s="11"/>
      <c r="TBL15" s="11"/>
      <c r="TBM15" s="11"/>
      <c r="TBN15" s="11"/>
      <c r="TBO15" s="11"/>
      <c r="TBP15" s="11"/>
      <c r="TBQ15" s="11"/>
      <c r="TBR15" s="11"/>
      <c r="TBS15" s="11"/>
      <c r="TBT15" s="11"/>
      <c r="TBU15" s="11"/>
      <c r="TBV15" s="11"/>
      <c r="TBW15" s="11"/>
      <c r="TBX15" s="11"/>
      <c r="TBY15" s="11"/>
      <c r="TBZ15" s="11"/>
      <c r="TCA15" s="11"/>
      <c r="TCB15" s="11"/>
      <c r="TCC15" s="11"/>
      <c r="TCD15" s="11"/>
      <c r="TCE15" s="11"/>
      <c r="TCF15" s="11"/>
      <c r="TCG15" s="11"/>
      <c r="TCH15" s="11"/>
      <c r="TCI15" s="11"/>
      <c r="TCJ15" s="11"/>
      <c r="TCK15" s="11"/>
      <c r="TCL15" s="11"/>
      <c r="TCM15" s="11"/>
      <c r="TCN15" s="11"/>
      <c r="TCO15" s="11"/>
      <c r="TCP15" s="11"/>
      <c r="TCQ15" s="11"/>
      <c r="TCR15" s="11"/>
      <c r="TCS15" s="11"/>
      <c r="TCT15" s="11"/>
      <c r="TCU15" s="11"/>
      <c r="TCV15" s="11"/>
      <c r="TCW15" s="11"/>
      <c r="TCX15" s="11"/>
      <c r="TCY15" s="11"/>
      <c r="TCZ15" s="11"/>
      <c r="TDA15" s="11"/>
      <c r="TDB15" s="11"/>
      <c r="TDC15" s="11"/>
      <c r="TDD15" s="11"/>
      <c r="TDE15" s="11"/>
      <c r="TDF15" s="11"/>
      <c r="TDG15" s="11"/>
      <c r="TDH15" s="11"/>
      <c r="TDI15" s="11"/>
      <c r="TDJ15" s="11"/>
      <c r="TDK15" s="11"/>
      <c r="TDL15" s="11"/>
      <c r="TDM15" s="11"/>
      <c r="TDN15" s="11"/>
      <c r="TDO15" s="11"/>
      <c r="TDP15" s="11"/>
      <c r="TDQ15" s="11"/>
      <c r="TDR15" s="11"/>
      <c r="TDS15" s="11"/>
      <c r="TDT15" s="11"/>
      <c r="TDU15" s="11"/>
      <c r="TDV15" s="11"/>
      <c r="TDW15" s="11"/>
      <c r="TDX15" s="11"/>
      <c r="TDY15" s="11"/>
      <c r="TDZ15" s="11"/>
      <c r="TEA15" s="11"/>
      <c r="TEB15" s="11"/>
      <c r="TEC15" s="11"/>
      <c r="TED15" s="11"/>
      <c r="TEE15" s="11"/>
      <c r="TEF15" s="11"/>
      <c r="TEG15" s="11"/>
      <c r="TEH15" s="11"/>
      <c r="TEI15" s="11"/>
      <c r="TEJ15" s="11"/>
      <c r="TEK15" s="11"/>
      <c r="TEL15" s="11"/>
      <c r="TEM15" s="11"/>
      <c r="TEN15" s="11"/>
      <c r="TEO15" s="11"/>
      <c r="TEP15" s="11"/>
      <c r="TEQ15" s="11"/>
      <c r="TER15" s="11"/>
      <c r="TES15" s="11"/>
      <c r="TET15" s="11"/>
      <c r="TEU15" s="11"/>
      <c r="TEV15" s="11"/>
      <c r="TEW15" s="11"/>
      <c r="TEX15" s="11"/>
      <c r="TEY15" s="11"/>
      <c r="TEZ15" s="11"/>
      <c r="TFA15" s="11"/>
      <c r="TFB15" s="11"/>
      <c r="TFC15" s="11"/>
      <c r="TFD15" s="11"/>
      <c r="TFE15" s="11"/>
      <c r="TFF15" s="11"/>
      <c r="TFG15" s="11"/>
      <c r="TFH15" s="11"/>
      <c r="TFI15" s="11"/>
      <c r="TFJ15" s="11"/>
      <c r="TFK15" s="11"/>
      <c r="TFL15" s="11"/>
      <c r="TFM15" s="11"/>
      <c r="TFN15" s="11"/>
      <c r="TFO15" s="11"/>
      <c r="TFP15" s="11"/>
      <c r="TFQ15" s="11"/>
      <c r="TFR15" s="11"/>
      <c r="TFS15" s="11"/>
      <c r="TFT15" s="11"/>
      <c r="TFU15" s="11"/>
      <c r="TFV15" s="11"/>
      <c r="TFW15" s="11"/>
      <c r="TFX15" s="11"/>
      <c r="TFY15" s="11"/>
      <c r="TFZ15" s="11"/>
      <c r="TGA15" s="11"/>
      <c r="TGB15" s="11"/>
      <c r="TGC15" s="11"/>
      <c r="TGD15" s="11"/>
      <c r="TGE15" s="11"/>
      <c r="TGF15" s="11"/>
      <c r="TGG15" s="11"/>
      <c r="TGH15" s="11"/>
      <c r="TGI15" s="11"/>
      <c r="TGJ15" s="11"/>
      <c r="TGK15" s="11"/>
      <c r="TGL15" s="11"/>
      <c r="TGM15" s="11"/>
      <c r="TGN15" s="11"/>
      <c r="TGO15" s="11"/>
      <c r="TGP15" s="11"/>
      <c r="TGQ15" s="11"/>
      <c r="TGR15" s="11"/>
      <c r="TGS15" s="11"/>
      <c r="TGT15" s="11"/>
      <c r="TGU15" s="11"/>
      <c r="TGV15" s="11"/>
      <c r="TGW15" s="11"/>
      <c r="TGX15" s="11"/>
      <c r="TGY15" s="11"/>
      <c r="TGZ15" s="11"/>
      <c r="THA15" s="11"/>
      <c r="THB15" s="11"/>
      <c r="THC15" s="11"/>
      <c r="THD15" s="11"/>
      <c r="THE15" s="11"/>
      <c r="THF15" s="11"/>
      <c r="THG15" s="11"/>
      <c r="THH15" s="11"/>
      <c r="THI15" s="11"/>
      <c r="THJ15" s="11"/>
      <c r="THK15" s="11"/>
      <c r="THL15" s="11"/>
      <c r="THM15" s="11"/>
      <c r="THN15" s="11"/>
      <c r="THO15" s="11"/>
      <c r="THP15" s="11"/>
      <c r="THQ15" s="11"/>
      <c r="THR15" s="11"/>
      <c r="THS15" s="11"/>
      <c r="THT15" s="11"/>
      <c r="THU15" s="11"/>
      <c r="THV15" s="11"/>
      <c r="THW15" s="11"/>
      <c r="THX15" s="11"/>
      <c r="THY15" s="11"/>
      <c r="THZ15" s="11"/>
      <c r="TIA15" s="11"/>
      <c r="TIB15" s="11"/>
      <c r="TIC15" s="11"/>
      <c r="TID15" s="11"/>
      <c r="TIE15" s="11"/>
      <c r="TIF15" s="11"/>
      <c r="TIG15" s="11"/>
      <c r="TIH15" s="11"/>
      <c r="TII15" s="11"/>
      <c r="TIJ15" s="11"/>
      <c r="TIK15" s="11"/>
      <c r="TIL15" s="11"/>
      <c r="TIM15" s="11"/>
      <c r="TIN15" s="11"/>
      <c r="TIO15" s="11"/>
      <c r="TIP15" s="11"/>
      <c r="TIQ15" s="11"/>
      <c r="TIR15" s="11"/>
      <c r="TIS15" s="11"/>
      <c r="TIT15" s="11"/>
      <c r="TIU15" s="11"/>
      <c r="TIV15" s="11"/>
      <c r="TIW15" s="11"/>
      <c r="TIX15" s="11"/>
      <c r="TIY15" s="11"/>
      <c r="TIZ15" s="11"/>
      <c r="TJA15" s="11"/>
      <c r="TJB15" s="11"/>
      <c r="TJC15" s="11"/>
      <c r="TJD15" s="11"/>
      <c r="TJE15" s="11"/>
      <c r="TJF15" s="11"/>
      <c r="TJG15" s="11"/>
      <c r="TJH15" s="11"/>
      <c r="TJI15" s="11"/>
      <c r="TJJ15" s="11"/>
      <c r="TJK15" s="11"/>
      <c r="TJL15" s="11"/>
      <c r="TJM15" s="11"/>
      <c r="TJN15" s="11"/>
      <c r="TJO15" s="11"/>
      <c r="TJP15" s="11"/>
      <c r="TJQ15" s="11"/>
      <c r="TJR15" s="11"/>
      <c r="TJS15" s="11"/>
      <c r="TJT15" s="11"/>
      <c r="TJU15" s="11"/>
      <c r="TJV15" s="11"/>
      <c r="TJW15" s="11"/>
      <c r="TJX15" s="11"/>
      <c r="TJY15" s="11"/>
      <c r="TJZ15" s="11"/>
      <c r="TKA15" s="11"/>
      <c r="TKB15" s="11"/>
      <c r="TKC15" s="11"/>
      <c r="TKD15" s="11"/>
      <c r="TKE15" s="11"/>
      <c r="TKF15" s="11"/>
      <c r="TKG15" s="11"/>
      <c r="TKH15" s="11"/>
      <c r="TKI15" s="11"/>
      <c r="TKJ15" s="11"/>
      <c r="TKK15" s="11"/>
      <c r="TKL15" s="11"/>
      <c r="TKM15" s="11"/>
      <c r="TKN15" s="11"/>
      <c r="TKO15" s="11"/>
      <c r="TKP15" s="11"/>
      <c r="TKQ15" s="11"/>
      <c r="TKR15" s="11"/>
      <c r="TKS15" s="11"/>
      <c r="TKT15" s="11"/>
      <c r="TKU15" s="11"/>
      <c r="TKV15" s="11"/>
      <c r="TKW15" s="11"/>
      <c r="TKX15" s="11"/>
      <c r="TKY15" s="11"/>
      <c r="TKZ15" s="11"/>
      <c r="TLA15" s="11"/>
      <c r="TLB15" s="11"/>
      <c r="TLC15" s="11"/>
      <c r="TLD15" s="11"/>
      <c r="TLE15" s="11"/>
      <c r="TLF15" s="11"/>
      <c r="TLG15" s="11"/>
      <c r="TLH15" s="11"/>
      <c r="TLI15" s="11"/>
      <c r="TLJ15" s="11"/>
      <c r="TLK15" s="11"/>
      <c r="TLL15" s="11"/>
      <c r="TLM15" s="11"/>
      <c r="TLN15" s="11"/>
      <c r="TLO15" s="11"/>
      <c r="TLP15" s="11"/>
      <c r="TLQ15" s="11"/>
      <c r="TLR15" s="11"/>
      <c r="TLS15" s="11"/>
      <c r="TLT15" s="11"/>
      <c r="TLU15" s="11"/>
      <c r="TLV15" s="11"/>
      <c r="TLW15" s="11"/>
      <c r="TLX15" s="11"/>
      <c r="TLY15" s="11"/>
      <c r="TLZ15" s="11"/>
      <c r="TMA15" s="11"/>
      <c r="TMB15" s="11"/>
      <c r="TMC15" s="11"/>
      <c r="TMD15" s="11"/>
      <c r="TME15" s="11"/>
      <c r="TMF15" s="11"/>
      <c r="TMG15" s="11"/>
      <c r="TMH15" s="11"/>
      <c r="TMI15" s="11"/>
      <c r="TMJ15" s="11"/>
      <c r="TMK15" s="11"/>
      <c r="TML15" s="11"/>
      <c r="TMM15" s="11"/>
      <c r="TMN15" s="11"/>
      <c r="TMO15" s="11"/>
      <c r="TMP15" s="11"/>
      <c r="TMQ15" s="11"/>
      <c r="TMR15" s="11"/>
      <c r="TMS15" s="11"/>
      <c r="TMT15" s="11"/>
      <c r="TMU15" s="11"/>
      <c r="TMV15" s="11"/>
      <c r="TMW15" s="11"/>
      <c r="TMX15" s="11"/>
      <c r="TMY15" s="11"/>
      <c r="TMZ15" s="11"/>
      <c r="TNA15" s="11"/>
      <c r="TNB15" s="11"/>
      <c r="TNC15" s="11"/>
      <c r="TND15" s="11"/>
      <c r="TNE15" s="11"/>
      <c r="TNF15" s="11"/>
      <c r="TNG15" s="11"/>
      <c r="TNH15" s="11"/>
      <c r="TNI15" s="11"/>
      <c r="TNJ15" s="11"/>
      <c r="TNK15" s="11"/>
      <c r="TNL15" s="11"/>
      <c r="TNM15" s="11"/>
      <c r="TNN15" s="11"/>
      <c r="TNO15" s="11"/>
      <c r="TNP15" s="11"/>
      <c r="TNQ15" s="11"/>
      <c r="TNR15" s="11"/>
      <c r="TNS15" s="11"/>
      <c r="TNT15" s="11"/>
      <c r="TNU15" s="11"/>
      <c r="TNV15" s="11"/>
      <c r="TNW15" s="11"/>
      <c r="TNX15" s="11"/>
      <c r="TNY15" s="11"/>
      <c r="TNZ15" s="11"/>
      <c r="TOA15" s="11"/>
      <c r="TOB15" s="11"/>
      <c r="TOC15" s="11"/>
      <c r="TOD15" s="11"/>
      <c r="TOE15" s="11"/>
      <c r="TOF15" s="11"/>
      <c r="TOG15" s="11"/>
      <c r="TOH15" s="11"/>
      <c r="TOI15" s="11"/>
      <c r="TOJ15" s="11"/>
      <c r="TOK15" s="11"/>
      <c r="TOL15" s="11"/>
      <c r="TOM15" s="11"/>
      <c r="TON15" s="11"/>
      <c r="TOO15" s="11"/>
      <c r="TOP15" s="11"/>
      <c r="TOQ15" s="11"/>
      <c r="TOR15" s="11"/>
      <c r="TOS15" s="11"/>
      <c r="TOT15" s="11"/>
      <c r="TOU15" s="11"/>
      <c r="TOV15" s="11"/>
      <c r="TOW15" s="11"/>
      <c r="TOX15" s="11"/>
      <c r="TOY15" s="11"/>
      <c r="TOZ15" s="11"/>
      <c r="TPA15" s="11"/>
      <c r="TPB15" s="11"/>
      <c r="TPC15" s="11"/>
      <c r="TPD15" s="11"/>
      <c r="TPE15" s="11"/>
      <c r="TPF15" s="11"/>
      <c r="TPG15" s="11"/>
      <c r="TPH15" s="11"/>
      <c r="TPI15" s="11"/>
      <c r="TPJ15" s="11"/>
      <c r="TPK15" s="11"/>
      <c r="TPL15" s="11"/>
      <c r="TPM15" s="11"/>
      <c r="TPN15" s="11"/>
      <c r="TPO15" s="11"/>
      <c r="TPP15" s="11"/>
      <c r="TPQ15" s="11"/>
      <c r="TPR15" s="11"/>
      <c r="TPS15" s="11"/>
      <c r="TPT15" s="11"/>
      <c r="TPU15" s="11"/>
      <c r="TPV15" s="11"/>
      <c r="TPW15" s="11"/>
      <c r="TPX15" s="11"/>
      <c r="TPY15" s="11"/>
      <c r="TPZ15" s="11"/>
      <c r="TQA15" s="11"/>
      <c r="TQB15" s="11"/>
      <c r="TQC15" s="11"/>
      <c r="TQD15" s="11"/>
      <c r="TQE15" s="11"/>
      <c r="TQF15" s="11"/>
      <c r="TQG15" s="11"/>
      <c r="TQH15" s="11"/>
      <c r="TQI15" s="11"/>
      <c r="TQJ15" s="11"/>
      <c r="TQK15" s="11"/>
      <c r="TQL15" s="11"/>
      <c r="TQM15" s="11"/>
      <c r="TQN15" s="11"/>
      <c r="TQO15" s="11"/>
      <c r="TQP15" s="11"/>
      <c r="TQQ15" s="11"/>
      <c r="TQR15" s="11"/>
      <c r="TQS15" s="11"/>
      <c r="TQT15" s="11"/>
      <c r="TQU15" s="11"/>
      <c r="TQV15" s="11"/>
      <c r="TQW15" s="11"/>
      <c r="TQX15" s="11"/>
      <c r="TQY15" s="11"/>
      <c r="TQZ15" s="11"/>
      <c r="TRA15" s="11"/>
      <c r="TRB15" s="11"/>
      <c r="TRC15" s="11"/>
      <c r="TRD15" s="11"/>
      <c r="TRE15" s="11"/>
      <c r="TRF15" s="11"/>
      <c r="TRG15" s="11"/>
      <c r="TRH15" s="11"/>
      <c r="TRI15" s="11"/>
      <c r="TRJ15" s="11"/>
      <c r="TRK15" s="11"/>
      <c r="TRL15" s="11"/>
      <c r="TRM15" s="11"/>
      <c r="TRN15" s="11"/>
      <c r="TRO15" s="11"/>
      <c r="TRP15" s="11"/>
      <c r="TRQ15" s="11"/>
      <c r="TRR15" s="11"/>
      <c r="TRS15" s="11"/>
      <c r="TRT15" s="11"/>
      <c r="TRU15" s="11"/>
      <c r="TRV15" s="11"/>
      <c r="TRW15" s="11"/>
      <c r="TRX15" s="11"/>
      <c r="TRY15" s="11"/>
      <c r="TRZ15" s="11"/>
      <c r="TSA15" s="11"/>
      <c r="TSB15" s="11"/>
      <c r="TSC15" s="11"/>
      <c r="TSD15" s="11"/>
      <c r="TSE15" s="11"/>
      <c r="TSF15" s="11"/>
      <c r="TSG15" s="11"/>
      <c r="TSH15" s="11"/>
      <c r="TSI15" s="11"/>
      <c r="TSJ15" s="11"/>
      <c r="TSK15" s="11"/>
      <c r="TSL15" s="11"/>
      <c r="TSM15" s="11"/>
      <c r="TSN15" s="11"/>
      <c r="TSO15" s="11"/>
      <c r="TSP15" s="11"/>
      <c r="TSQ15" s="11"/>
      <c r="TSR15" s="11"/>
      <c r="TSS15" s="11"/>
      <c r="TST15" s="11"/>
      <c r="TSU15" s="11"/>
      <c r="TSV15" s="11"/>
      <c r="TSW15" s="11"/>
      <c r="TSX15" s="11"/>
      <c r="TSY15" s="11"/>
      <c r="TSZ15" s="11"/>
      <c r="TTA15" s="11"/>
      <c r="TTB15" s="11"/>
      <c r="TTC15" s="11"/>
      <c r="TTD15" s="11"/>
      <c r="TTE15" s="11"/>
      <c r="TTF15" s="11"/>
      <c r="TTG15" s="11"/>
      <c r="TTH15" s="11"/>
      <c r="TTI15" s="11"/>
      <c r="TTJ15" s="11"/>
      <c r="TTK15" s="11"/>
      <c r="TTL15" s="11"/>
      <c r="TTM15" s="11"/>
      <c r="TTN15" s="11"/>
      <c r="TTO15" s="11"/>
      <c r="TTP15" s="11"/>
      <c r="TTQ15" s="11"/>
      <c r="TTR15" s="11"/>
      <c r="TTS15" s="11"/>
      <c r="TTT15" s="11"/>
      <c r="TTU15" s="11"/>
      <c r="TTV15" s="11"/>
      <c r="TTW15" s="11"/>
      <c r="TTX15" s="11"/>
      <c r="TTY15" s="11"/>
      <c r="TTZ15" s="11"/>
      <c r="TUA15" s="11"/>
      <c r="TUB15" s="11"/>
      <c r="TUC15" s="11"/>
      <c r="TUD15" s="11"/>
      <c r="TUE15" s="11"/>
      <c r="TUF15" s="11"/>
      <c r="TUG15" s="11"/>
      <c r="TUH15" s="11"/>
      <c r="TUI15" s="11"/>
      <c r="TUJ15" s="11"/>
      <c r="TUK15" s="11"/>
      <c r="TUL15" s="11"/>
      <c r="TUM15" s="11"/>
      <c r="TUN15" s="11"/>
      <c r="TUO15" s="11"/>
      <c r="TUP15" s="11"/>
      <c r="TUQ15" s="11"/>
      <c r="TUR15" s="11"/>
      <c r="TUS15" s="11"/>
      <c r="TUT15" s="11"/>
      <c r="TUU15" s="11"/>
      <c r="TUV15" s="11"/>
      <c r="TUW15" s="11"/>
      <c r="TUX15" s="11"/>
      <c r="TUY15" s="11"/>
      <c r="TUZ15" s="11"/>
      <c r="TVA15" s="11"/>
      <c r="TVB15" s="11"/>
      <c r="TVC15" s="11"/>
      <c r="TVD15" s="11"/>
      <c r="TVE15" s="11"/>
      <c r="TVF15" s="11"/>
      <c r="TVG15" s="11"/>
      <c r="TVH15" s="11"/>
      <c r="TVI15" s="11"/>
      <c r="TVJ15" s="11"/>
      <c r="TVK15" s="11"/>
      <c r="TVL15" s="11"/>
      <c r="TVM15" s="11"/>
      <c r="TVN15" s="11"/>
      <c r="TVO15" s="11"/>
      <c r="TVP15" s="11"/>
      <c r="TVQ15" s="11"/>
      <c r="TVR15" s="11"/>
      <c r="TVS15" s="11"/>
      <c r="TVT15" s="11"/>
      <c r="TVU15" s="11"/>
      <c r="TVV15" s="11"/>
      <c r="TVW15" s="11"/>
      <c r="TVX15" s="11"/>
      <c r="TVY15" s="11"/>
      <c r="TVZ15" s="11"/>
      <c r="TWA15" s="11"/>
      <c r="TWB15" s="11"/>
      <c r="TWC15" s="11"/>
      <c r="TWD15" s="11"/>
      <c r="TWE15" s="11"/>
      <c r="TWF15" s="11"/>
      <c r="TWG15" s="11"/>
      <c r="TWH15" s="11"/>
      <c r="TWI15" s="11"/>
      <c r="TWJ15" s="11"/>
      <c r="TWK15" s="11"/>
      <c r="TWL15" s="11"/>
      <c r="TWM15" s="11"/>
      <c r="TWN15" s="11"/>
      <c r="TWO15" s="11"/>
      <c r="TWP15" s="11"/>
      <c r="TWQ15" s="11"/>
      <c r="TWR15" s="11"/>
      <c r="TWS15" s="11"/>
      <c r="TWT15" s="11"/>
      <c r="TWU15" s="11"/>
      <c r="TWV15" s="11"/>
      <c r="TWW15" s="11"/>
      <c r="TWX15" s="11"/>
      <c r="TWY15" s="11"/>
      <c r="TWZ15" s="11"/>
      <c r="TXA15" s="11"/>
      <c r="TXB15" s="11"/>
      <c r="TXC15" s="11"/>
      <c r="TXD15" s="11"/>
      <c r="TXE15" s="11"/>
      <c r="TXF15" s="11"/>
      <c r="TXG15" s="11"/>
      <c r="TXH15" s="11"/>
      <c r="TXI15" s="11"/>
      <c r="TXJ15" s="11"/>
      <c r="TXK15" s="11"/>
      <c r="TXL15" s="11"/>
      <c r="TXM15" s="11"/>
      <c r="TXN15" s="11"/>
      <c r="TXO15" s="11"/>
      <c r="TXP15" s="11"/>
      <c r="TXQ15" s="11"/>
      <c r="TXR15" s="11"/>
      <c r="TXS15" s="11"/>
      <c r="TXT15" s="11"/>
      <c r="TXU15" s="11"/>
      <c r="TXV15" s="11"/>
      <c r="TXW15" s="11"/>
      <c r="TXX15" s="11"/>
      <c r="TXY15" s="11"/>
      <c r="TXZ15" s="11"/>
      <c r="TYA15" s="11"/>
      <c r="TYB15" s="11"/>
      <c r="TYC15" s="11"/>
      <c r="TYD15" s="11"/>
      <c r="TYE15" s="11"/>
      <c r="TYF15" s="11"/>
      <c r="TYG15" s="11"/>
      <c r="TYH15" s="11"/>
      <c r="TYI15" s="11"/>
      <c r="TYJ15" s="11"/>
      <c r="TYK15" s="11"/>
      <c r="TYL15" s="11"/>
      <c r="TYM15" s="11"/>
      <c r="TYN15" s="11"/>
      <c r="TYO15" s="11"/>
      <c r="TYP15" s="11"/>
      <c r="TYQ15" s="11"/>
      <c r="TYR15" s="11"/>
      <c r="TYS15" s="11"/>
      <c r="TYT15" s="11"/>
      <c r="TYU15" s="11"/>
      <c r="TYV15" s="11"/>
      <c r="TYW15" s="11"/>
      <c r="TYX15" s="11"/>
      <c r="TYY15" s="11"/>
      <c r="TYZ15" s="11"/>
      <c r="TZA15" s="11"/>
      <c r="TZB15" s="11"/>
      <c r="TZC15" s="11"/>
      <c r="TZD15" s="11"/>
      <c r="TZE15" s="11"/>
      <c r="TZF15" s="11"/>
      <c r="TZG15" s="11"/>
      <c r="TZH15" s="11"/>
      <c r="TZI15" s="11"/>
      <c r="TZJ15" s="11"/>
      <c r="TZK15" s="11"/>
      <c r="TZL15" s="11"/>
      <c r="TZM15" s="11"/>
      <c r="TZN15" s="11"/>
      <c r="TZO15" s="11"/>
      <c r="TZP15" s="11"/>
      <c r="TZQ15" s="11"/>
      <c r="TZR15" s="11"/>
      <c r="TZS15" s="11"/>
      <c r="TZT15" s="11"/>
      <c r="TZU15" s="11"/>
      <c r="TZV15" s="11"/>
      <c r="TZW15" s="11"/>
      <c r="TZX15" s="11"/>
      <c r="TZY15" s="11"/>
      <c r="TZZ15" s="11"/>
      <c r="UAA15" s="11"/>
      <c r="UAB15" s="11"/>
      <c r="UAC15" s="11"/>
      <c r="UAD15" s="11"/>
      <c r="UAE15" s="11"/>
      <c r="UAF15" s="11"/>
      <c r="UAG15" s="11"/>
      <c r="UAH15" s="11"/>
      <c r="UAI15" s="11"/>
      <c r="UAJ15" s="11"/>
      <c r="UAK15" s="11"/>
      <c r="UAL15" s="11"/>
      <c r="UAM15" s="11"/>
      <c r="UAN15" s="11"/>
      <c r="UAO15" s="11"/>
      <c r="UAP15" s="11"/>
      <c r="UAQ15" s="11"/>
      <c r="UAR15" s="11"/>
      <c r="UAS15" s="11"/>
      <c r="UAT15" s="11"/>
      <c r="UAU15" s="11"/>
      <c r="UAV15" s="11"/>
      <c r="UAW15" s="11"/>
      <c r="UAX15" s="11"/>
      <c r="UAY15" s="11"/>
      <c r="UAZ15" s="11"/>
      <c r="UBA15" s="11"/>
      <c r="UBB15" s="11"/>
      <c r="UBC15" s="11"/>
      <c r="UBD15" s="11"/>
      <c r="UBE15" s="11"/>
      <c r="UBF15" s="11"/>
      <c r="UBG15" s="11"/>
      <c r="UBH15" s="11"/>
      <c r="UBI15" s="11"/>
      <c r="UBJ15" s="11"/>
      <c r="UBK15" s="11"/>
      <c r="UBL15" s="11"/>
      <c r="UBM15" s="11"/>
      <c r="UBN15" s="11"/>
      <c r="UBO15" s="11"/>
      <c r="UBP15" s="11"/>
      <c r="UBQ15" s="11"/>
      <c r="UBR15" s="11"/>
      <c r="UBS15" s="11"/>
      <c r="UBT15" s="11"/>
      <c r="UBU15" s="11"/>
      <c r="UBV15" s="11"/>
      <c r="UBW15" s="11"/>
      <c r="UBX15" s="11"/>
      <c r="UBY15" s="11"/>
      <c r="UBZ15" s="11"/>
      <c r="UCA15" s="11"/>
      <c r="UCB15" s="11"/>
      <c r="UCC15" s="11"/>
      <c r="UCD15" s="11"/>
      <c r="UCE15" s="11"/>
      <c r="UCF15" s="11"/>
      <c r="UCG15" s="11"/>
      <c r="UCH15" s="11"/>
      <c r="UCI15" s="11"/>
      <c r="UCJ15" s="11"/>
      <c r="UCK15" s="11"/>
      <c r="UCL15" s="11"/>
      <c r="UCM15" s="11"/>
      <c r="UCN15" s="11"/>
      <c r="UCO15" s="11"/>
      <c r="UCP15" s="11"/>
      <c r="UCQ15" s="11"/>
      <c r="UCR15" s="11"/>
      <c r="UCS15" s="11"/>
      <c r="UCT15" s="11"/>
      <c r="UCU15" s="11"/>
      <c r="UCV15" s="11"/>
      <c r="UCW15" s="11"/>
      <c r="UCX15" s="11"/>
      <c r="UCY15" s="11"/>
      <c r="UCZ15" s="11"/>
      <c r="UDA15" s="11"/>
      <c r="UDB15" s="11"/>
      <c r="UDC15" s="11"/>
      <c r="UDD15" s="11"/>
      <c r="UDE15" s="11"/>
      <c r="UDF15" s="11"/>
      <c r="UDG15" s="11"/>
      <c r="UDH15" s="11"/>
      <c r="UDI15" s="11"/>
      <c r="UDJ15" s="11"/>
      <c r="UDK15" s="11"/>
      <c r="UDL15" s="11"/>
      <c r="UDM15" s="11"/>
      <c r="UDN15" s="11"/>
      <c r="UDO15" s="11"/>
      <c r="UDP15" s="11"/>
      <c r="UDQ15" s="11"/>
      <c r="UDR15" s="11"/>
      <c r="UDS15" s="11"/>
      <c r="UDT15" s="11"/>
      <c r="UDU15" s="11"/>
      <c r="UDV15" s="11"/>
      <c r="UDW15" s="11"/>
      <c r="UDX15" s="11"/>
      <c r="UDY15" s="11"/>
      <c r="UDZ15" s="11"/>
      <c r="UEA15" s="11"/>
      <c r="UEB15" s="11"/>
      <c r="UEC15" s="11"/>
      <c r="UED15" s="11"/>
      <c r="UEE15" s="11"/>
      <c r="UEF15" s="11"/>
      <c r="UEG15" s="11"/>
      <c r="UEH15" s="11"/>
      <c r="UEI15" s="11"/>
      <c r="UEJ15" s="11"/>
      <c r="UEK15" s="11"/>
      <c r="UEL15" s="11"/>
      <c r="UEM15" s="11"/>
      <c r="UEN15" s="11"/>
      <c r="UEO15" s="11"/>
      <c r="UEP15" s="11"/>
      <c r="UEQ15" s="11"/>
      <c r="UER15" s="11"/>
      <c r="UES15" s="11"/>
      <c r="UET15" s="11"/>
      <c r="UEU15" s="11"/>
      <c r="UEV15" s="11"/>
      <c r="UEW15" s="11"/>
      <c r="UEX15" s="11"/>
      <c r="UEY15" s="11"/>
      <c r="UEZ15" s="11"/>
      <c r="UFA15" s="11"/>
      <c r="UFB15" s="11"/>
      <c r="UFC15" s="11"/>
      <c r="UFD15" s="11"/>
      <c r="UFE15" s="11"/>
      <c r="UFF15" s="11"/>
      <c r="UFG15" s="11"/>
      <c r="UFH15" s="11"/>
      <c r="UFI15" s="11"/>
      <c r="UFJ15" s="11"/>
      <c r="UFK15" s="11"/>
      <c r="UFL15" s="11"/>
      <c r="UFM15" s="11"/>
      <c r="UFN15" s="11"/>
      <c r="UFO15" s="11"/>
      <c r="UFP15" s="11"/>
      <c r="UFQ15" s="11"/>
      <c r="UFR15" s="11"/>
      <c r="UFS15" s="11"/>
      <c r="UFT15" s="11"/>
      <c r="UFU15" s="11"/>
      <c r="UFV15" s="11"/>
      <c r="UFW15" s="11"/>
      <c r="UFX15" s="11"/>
      <c r="UFY15" s="11"/>
      <c r="UFZ15" s="11"/>
      <c r="UGA15" s="11"/>
      <c r="UGB15" s="11"/>
      <c r="UGC15" s="11"/>
      <c r="UGD15" s="11"/>
      <c r="UGE15" s="11"/>
      <c r="UGF15" s="11"/>
      <c r="UGG15" s="11"/>
      <c r="UGH15" s="11"/>
      <c r="UGI15" s="11"/>
      <c r="UGJ15" s="11"/>
      <c r="UGK15" s="11"/>
      <c r="UGL15" s="11"/>
      <c r="UGM15" s="11"/>
      <c r="UGN15" s="11"/>
      <c r="UGO15" s="11"/>
      <c r="UGP15" s="11"/>
      <c r="UGQ15" s="11"/>
      <c r="UGR15" s="11"/>
      <c r="UGS15" s="11"/>
      <c r="UGT15" s="11"/>
      <c r="UGU15" s="11"/>
      <c r="UGV15" s="11"/>
      <c r="UGW15" s="11"/>
      <c r="UGX15" s="11"/>
      <c r="UGY15" s="11"/>
      <c r="UGZ15" s="11"/>
      <c r="UHA15" s="11"/>
      <c r="UHB15" s="11"/>
      <c r="UHC15" s="11"/>
      <c r="UHD15" s="11"/>
      <c r="UHE15" s="11"/>
      <c r="UHF15" s="11"/>
      <c r="UHG15" s="11"/>
      <c r="UHH15" s="11"/>
      <c r="UHI15" s="11"/>
      <c r="UHJ15" s="11"/>
      <c r="UHK15" s="11"/>
      <c r="UHL15" s="11"/>
      <c r="UHM15" s="11"/>
      <c r="UHN15" s="11"/>
      <c r="UHO15" s="11"/>
      <c r="UHP15" s="11"/>
      <c r="UHQ15" s="11"/>
      <c r="UHR15" s="11"/>
      <c r="UHS15" s="11"/>
      <c r="UHT15" s="11"/>
      <c r="UHU15" s="11"/>
      <c r="UHV15" s="11"/>
      <c r="UHW15" s="11"/>
      <c r="UHX15" s="11"/>
      <c r="UHY15" s="11"/>
      <c r="UHZ15" s="11"/>
      <c r="UIA15" s="11"/>
      <c r="UIB15" s="11"/>
      <c r="UIC15" s="11"/>
      <c r="UID15" s="11"/>
      <c r="UIE15" s="11"/>
      <c r="UIF15" s="11"/>
      <c r="UIG15" s="11"/>
      <c r="UIH15" s="11"/>
      <c r="UII15" s="11"/>
      <c r="UIJ15" s="11"/>
      <c r="UIK15" s="11"/>
      <c r="UIL15" s="11"/>
      <c r="UIM15" s="11"/>
      <c r="UIN15" s="11"/>
      <c r="UIO15" s="11"/>
      <c r="UIP15" s="11"/>
      <c r="UIQ15" s="11"/>
      <c r="UIR15" s="11"/>
      <c r="UIS15" s="11"/>
      <c r="UIT15" s="11"/>
      <c r="UIU15" s="11"/>
      <c r="UIV15" s="11"/>
      <c r="UIW15" s="11"/>
      <c r="UIX15" s="11"/>
      <c r="UIY15" s="11"/>
      <c r="UIZ15" s="11"/>
      <c r="UJA15" s="11"/>
      <c r="UJB15" s="11"/>
      <c r="UJC15" s="11"/>
      <c r="UJD15" s="11"/>
      <c r="UJE15" s="11"/>
      <c r="UJF15" s="11"/>
      <c r="UJG15" s="11"/>
      <c r="UJH15" s="11"/>
      <c r="UJI15" s="11"/>
      <c r="UJJ15" s="11"/>
      <c r="UJK15" s="11"/>
      <c r="UJL15" s="11"/>
      <c r="UJM15" s="11"/>
      <c r="UJN15" s="11"/>
      <c r="UJO15" s="11"/>
      <c r="UJP15" s="11"/>
      <c r="UJQ15" s="11"/>
      <c r="UJR15" s="11"/>
      <c r="UJS15" s="11"/>
      <c r="UJT15" s="11"/>
      <c r="UJU15" s="11"/>
      <c r="UJV15" s="11"/>
      <c r="UJW15" s="11"/>
      <c r="UJX15" s="11"/>
      <c r="UJY15" s="11"/>
      <c r="UJZ15" s="11"/>
      <c r="UKA15" s="11"/>
      <c r="UKB15" s="11"/>
      <c r="UKC15" s="11"/>
      <c r="UKD15" s="11"/>
      <c r="UKE15" s="11"/>
      <c r="UKF15" s="11"/>
      <c r="UKG15" s="11"/>
      <c r="UKH15" s="11"/>
      <c r="UKI15" s="11"/>
      <c r="UKJ15" s="11"/>
      <c r="UKK15" s="11"/>
      <c r="UKL15" s="11"/>
      <c r="UKM15" s="11"/>
      <c r="UKN15" s="11"/>
      <c r="UKO15" s="11"/>
      <c r="UKP15" s="11"/>
      <c r="UKQ15" s="11"/>
      <c r="UKR15" s="11"/>
      <c r="UKS15" s="11"/>
      <c r="UKT15" s="11"/>
      <c r="UKU15" s="11"/>
      <c r="UKV15" s="11"/>
      <c r="UKW15" s="11"/>
      <c r="UKX15" s="11"/>
      <c r="UKY15" s="11"/>
      <c r="UKZ15" s="11"/>
      <c r="ULA15" s="11"/>
      <c r="ULB15" s="11"/>
      <c r="ULC15" s="11"/>
      <c r="ULD15" s="11"/>
      <c r="ULE15" s="11"/>
      <c r="ULF15" s="11"/>
      <c r="ULG15" s="11"/>
      <c r="ULH15" s="11"/>
      <c r="ULI15" s="11"/>
      <c r="ULJ15" s="11"/>
      <c r="ULK15" s="11"/>
      <c r="ULL15" s="11"/>
      <c r="ULM15" s="11"/>
      <c r="ULN15" s="11"/>
      <c r="ULO15" s="11"/>
      <c r="ULP15" s="11"/>
      <c r="ULQ15" s="11"/>
      <c r="ULR15" s="11"/>
      <c r="ULS15" s="11"/>
      <c r="ULT15" s="11"/>
      <c r="ULU15" s="11"/>
      <c r="ULV15" s="11"/>
      <c r="ULW15" s="11"/>
      <c r="ULX15" s="11"/>
      <c r="ULY15" s="11"/>
      <c r="ULZ15" s="11"/>
      <c r="UMA15" s="11"/>
      <c r="UMB15" s="11"/>
      <c r="UMC15" s="11"/>
      <c r="UMD15" s="11"/>
      <c r="UME15" s="11"/>
      <c r="UMF15" s="11"/>
      <c r="UMG15" s="11"/>
      <c r="UMH15" s="11"/>
      <c r="UMI15" s="11"/>
      <c r="UMJ15" s="11"/>
      <c r="UMK15" s="11"/>
      <c r="UML15" s="11"/>
      <c r="UMM15" s="11"/>
      <c r="UMN15" s="11"/>
      <c r="UMO15" s="11"/>
      <c r="UMP15" s="11"/>
      <c r="UMQ15" s="11"/>
      <c r="UMR15" s="11"/>
      <c r="UMS15" s="11"/>
      <c r="UMT15" s="11"/>
      <c r="UMU15" s="11"/>
      <c r="UMV15" s="11"/>
      <c r="UMW15" s="11"/>
      <c r="UMX15" s="11"/>
      <c r="UMY15" s="11"/>
      <c r="UMZ15" s="11"/>
      <c r="UNA15" s="11"/>
      <c r="UNB15" s="11"/>
      <c r="UNC15" s="11"/>
      <c r="UND15" s="11"/>
      <c r="UNE15" s="11"/>
      <c r="UNF15" s="11"/>
      <c r="UNG15" s="11"/>
      <c r="UNH15" s="11"/>
      <c r="UNI15" s="11"/>
      <c r="UNJ15" s="11"/>
      <c r="UNK15" s="11"/>
      <c r="UNL15" s="11"/>
      <c r="UNM15" s="11"/>
      <c r="UNN15" s="11"/>
      <c r="UNO15" s="11"/>
      <c r="UNP15" s="11"/>
      <c r="UNQ15" s="11"/>
      <c r="UNR15" s="11"/>
      <c r="UNS15" s="11"/>
      <c r="UNT15" s="11"/>
      <c r="UNU15" s="11"/>
      <c r="UNV15" s="11"/>
      <c r="UNW15" s="11"/>
      <c r="UNX15" s="11"/>
      <c r="UNY15" s="11"/>
      <c r="UNZ15" s="11"/>
      <c r="UOA15" s="11"/>
      <c r="UOB15" s="11"/>
      <c r="UOC15" s="11"/>
      <c r="UOD15" s="11"/>
      <c r="UOE15" s="11"/>
      <c r="UOF15" s="11"/>
      <c r="UOG15" s="11"/>
      <c r="UOH15" s="11"/>
      <c r="UOI15" s="11"/>
      <c r="UOJ15" s="11"/>
      <c r="UOK15" s="11"/>
      <c r="UOL15" s="11"/>
      <c r="UOM15" s="11"/>
      <c r="UON15" s="11"/>
      <c r="UOO15" s="11"/>
      <c r="UOP15" s="11"/>
      <c r="UOQ15" s="11"/>
      <c r="UOR15" s="11"/>
      <c r="UOS15" s="11"/>
      <c r="UOT15" s="11"/>
      <c r="UOU15" s="11"/>
      <c r="UOV15" s="11"/>
      <c r="UOW15" s="11"/>
      <c r="UOX15" s="11"/>
      <c r="UOY15" s="11"/>
      <c r="UOZ15" s="11"/>
      <c r="UPA15" s="11"/>
      <c r="UPB15" s="11"/>
      <c r="UPC15" s="11"/>
      <c r="UPD15" s="11"/>
      <c r="UPE15" s="11"/>
      <c r="UPF15" s="11"/>
      <c r="UPG15" s="11"/>
      <c r="UPH15" s="11"/>
      <c r="UPI15" s="11"/>
      <c r="UPJ15" s="11"/>
      <c r="UPK15" s="11"/>
      <c r="UPL15" s="11"/>
      <c r="UPM15" s="11"/>
      <c r="UPN15" s="11"/>
      <c r="UPO15" s="11"/>
      <c r="UPP15" s="11"/>
      <c r="UPQ15" s="11"/>
      <c r="UPR15" s="11"/>
      <c r="UPS15" s="11"/>
      <c r="UPT15" s="11"/>
      <c r="UPU15" s="11"/>
      <c r="UPV15" s="11"/>
      <c r="UPW15" s="11"/>
      <c r="UPX15" s="11"/>
      <c r="UPY15" s="11"/>
      <c r="UPZ15" s="11"/>
      <c r="UQA15" s="11"/>
      <c r="UQB15" s="11"/>
      <c r="UQC15" s="11"/>
      <c r="UQD15" s="11"/>
      <c r="UQE15" s="11"/>
      <c r="UQF15" s="11"/>
      <c r="UQG15" s="11"/>
      <c r="UQH15" s="11"/>
      <c r="UQI15" s="11"/>
      <c r="UQJ15" s="11"/>
      <c r="UQK15" s="11"/>
      <c r="UQL15" s="11"/>
      <c r="UQM15" s="11"/>
      <c r="UQN15" s="11"/>
      <c r="UQO15" s="11"/>
      <c r="UQP15" s="11"/>
      <c r="UQQ15" s="11"/>
      <c r="UQR15" s="11"/>
      <c r="UQS15" s="11"/>
      <c r="UQT15" s="11"/>
      <c r="UQU15" s="11"/>
      <c r="UQV15" s="11"/>
      <c r="UQW15" s="11"/>
      <c r="UQX15" s="11"/>
      <c r="UQY15" s="11"/>
      <c r="UQZ15" s="11"/>
      <c r="URA15" s="11"/>
      <c r="URB15" s="11"/>
      <c r="URC15" s="11"/>
      <c r="URD15" s="11"/>
      <c r="URE15" s="11"/>
      <c r="URF15" s="11"/>
      <c r="URG15" s="11"/>
      <c r="URH15" s="11"/>
      <c r="URI15" s="11"/>
      <c r="URJ15" s="11"/>
      <c r="URK15" s="11"/>
      <c r="URL15" s="11"/>
      <c r="URM15" s="11"/>
      <c r="URN15" s="11"/>
      <c r="URO15" s="11"/>
      <c r="URP15" s="11"/>
      <c r="URQ15" s="11"/>
      <c r="URR15" s="11"/>
      <c r="URS15" s="11"/>
      <c r="URT15" s="11"/>
      <c r="URU15" s="11"/>
      <c r="URV15" s="11"/>
      <c r="URW15" s="11"/>
      <c r="URX15" s="11"/>
      <c r="URY15" s="11"/>
      <c r="URZ15" s="11"/>
      <c r="USA15" s="11"/>
      <c r="USB15" s="11"/>
      <c r="USC15" s="11"/>
      <c r="USD15" s="11"/>
      <c r="USE15" s="11"/>
      <c r="USF15" s="11"/>
      <c r="USG15" s="11"/>
      <c r="USH15" s="11"/>
      <c r="USI15" s="11"/>
      <c r="USJ15" s="11"/>
      <c r="USK15" s="11"/>
      <c r="USL15" s="11"/>
      <c r="USM15" s="11"/>
      <c r="USN15" s="11"/>
      <c r="USO15" s="11"/>
      <c r="USP15" s="11"/>
      <c r="USQ15" s="11"/>
      <c r="USR15" s="11"/>
      <c r="USS15" s="11"/>
      <c r="UST15" s="11"/>
      <c r="USU15" s="11"/>
      <c r="USV15" s="11"/>
      <c r="USW15" s="11"/>
      <c r="USX15" s="11"/>
      <c r="USY15" s="11"/>
      <c r="USZ15" s="11"/>
      <c r="UTA15" s="11"/>
      <c r="UTB15" s="11"/>
      <c r="UTC15" s="11"/>
      <c r="UTD15" s="11"/>
      <c r="UTE15" s="11"/>
      <c r="UTF15" s="11"/>
      <c r="UTG15" s="11"/>
      <c r="UTH15" s="11"/>
      <c r="UTI15" s="11"/>
      <c r="UTJ15" s="11"/>
      <c r="UTK15" s="11"/>
      <c r="UTL15" s="11"/>
      <c r="UTM15" s="11"/>
      <c r="UTN15" s="11"/>
      <c r="UTO15" s="11"/>
      <c r="UTP15" s="11"/>
      <c r="UTQ15" s="11"/>
      <c r="UTR15" s="11"/>
      <c r="UTS15" s="11"/>
      <c r="UTT15" s="11"/>
      <c r="UTU15" s="11"/>
      <c r="UTV15" s="11"/>
      <c r="UTW15" s="11"/>
      <c r="UTX15" s="11"/>
      <c r="UTY15" s="11"/>
      <c r="UTZ15" s="11"/>
      <c r="UUA15" s="11"/>
      <c r="UUB15" s="11"/>
      <c r="UUC15" s="11"/>
      <c r="UUD15" s="11"/>
      <c r="UUE15" s="11"/>
      <c r="UUF15" s="11"/>
      <c r="UUG15" s="11"/>
      <c r="UUH15" s="11"/>
      <c r="UUI15" s="11"/>
      <c r="UUJ15" s="11"/>
      <c r="UUK15" s="11"/>
      <c r="UUL15" s="11"/>
      <c r="UUM15" s="11"/>
      <c r="UUN15" s="11"/>
      <c r="UUO15" s="11"/>
      <c r="UUP15" s="11"/>
      <c r="UUQ15" s="11"/>
      <c r="UUR15" s="11"/>
      <c r="UUS15" s="11"/>
      <c r="UUT15" s="11"/>
      <c r="UUU15" s="11"/>
      <c r="UUV15" s="11"/>
      <c r="UUW15" s="11"/>
      <c r="UUX15" s="11"/>
      <c r="UUY15" s="11"/>
      <c r="UUZ15" s="11"/>
      <c r="UVA15" s="11"/>
      <c r="UVB15" s="11"/>
      <c r="UVC15" s="11"/>
      <c r="UVD15" s="11"/>
      <c r="UVE15" s="11"/>
      <c r="UVF15" s="11"/>
      <c r="UVG15" s="11"/>
      <c r="UVH15" s="11"/>
      <c r="UVI15" s="11"/>
      <c r="UVJ15" s="11"/>
      <c r="UVK15" s="11"/>
      <c r="UVL15" s="11"/>
      <c r="UVM15" s="11"/>
      <c r="UVN15" s="11"/>
      <c r="UVO15" s="11"/>
      <c r="UVP15" s="11"/>
      <c r="UVQ15" s="11"/>
      <c r="UVR15" s="11"/>
      <c r="UVS15" s="11"/>
      <c r="UVT15" s="11"/>
      <c r="UVU15" s="11"/>
      <c r="UVV15" s="11"/>
      <c r="UVW15" s="11"/>
      <c r="UVX15" s="11"/>
      <c r="UVY15" s="11"/>
      <c r="UVZ15" s="11"/>
      <c r="UWA15" s="11"/>
      <c r="UWB15" s="11"/>
      <c r="UWC15" s="11"/>
      <c r="UWD15" s="11"/>
      <c r="UWE15" s="11"/>
      <c r="UWF15" s="11"/>
      <c r="UWG15" s="11"/>
      <c r="UWH15" s="11"/>
      <c r="UWI15" s="11"/>
      <c r="UWJ15" s="11"/>
      <c r="UWK15" s="11"/>
      <c r="UWL15" s="11"/>
      <c r="UWM15" s="11"/>
      <c r="UWN15" s="11"/>
      <c r="UWO15" s="11"/>
      <c r="UWP15" s="11"/>
      <c r="UWQ15" s="11"/>
      <c r="UWR15" s="11"/>
      <c r="UWS15" s="11"/>
      <c r="UWT15" s="11"/>
      <c r="UWU15" s="11"/>
      <c r="UWV15" s="11"/>
      <c r="UWW15" s="11"/>
      <c r="UWX15" s="11"/>
      <c r="UWY15" s="11"/>
      <c r="UWZ15" s="11"/>
      <c r="UXA15" s="11"/>
      <c r="UXB15" s="11"/>
      <c r="UXC15" s="11"/>
      <c r="UXD15" s="11"/>
      <c r="UXE15" s="11"/>
      <c r="UXF15" s="11"/>
      <c r="UXG15" s="11"/>
      <c r="UXH15" s="11"/>
      <c r="UXI15" s="11"/>
      <c r="UXJ15" s="11"/>
      <c r="UXK15" s="11"/>
      <c r="UXL15" s="11"/>
      <c r="UXM15" s="11"/>
      <c r="UXN15" s="11"/>
      <c r="UXO15" s="11"/>
      <c r="UXP15" s="11"/>
      <c r="UXQ15" s="11"/>
      <c r="UXR15" s="11"/>
      <c r="UXS15" s="11"/>
      <c r="UXT15" s="11"/>
      <c r="UXU15" s="11"/>
      <c r="UXV15" s="11"/>
      <c r="UXW15" s="11"/>
      <c r="UXX15" s="11"/>
      <c r="UXY15" s="11"/>
      <c r="UXZ15" s="11"/>
      <c r="UYA15" s="11"/>
      <c r="UYB15" s="11"/>
      <c r="UYC15" s="11"/>
      <c r="UYD15" s="11"/>
      <c r="UYE15" s="11"/>
      <c r="UYF15" s="11"/>
      <c r="UYG15" s="11"/>
      <c r="UYH15" s="11"/>
      <c r="UYI15" s="11"/>
      <c r="UYJ15" s="11"/>
      <c r="UYK15" s="11"/>
      <c r="UYL15" s="11"/>
      <c r="UYM15" s="11"/>
      <c r="UYN15" s="11"/>
      <c r="UYO15" s="11"/>
      <c r="UYP15" s="11"/>
      <c r="UYQ15" s="11"/>
      <c r="UYR15" s="11"/>
      <c r="UYS15" s="11"/>
      <c r="UYT15" s="11"/>
      <c r="UYU15" s="11"/>
      <c r="UYV15" s="11"/>
      <c r="UYW15" s="11"/>
      <c r="UYX15" s="11"/>
      <c r="UYY15" s="11"/>
      <c r="UYZ15" s="11"/>
      <c r="UZA15" s="11"/>
      <c r="UZB15" s="11"/>
      <c r="UZC15" s="11"/>
      <c r="UZD15" s="11"/>
      <c r="UZE15" s="11"/>
      <c r="UZF15" s="11"/>
      <c r="UZG15" s="11"/>
      <c r="UZH15" s="11"/>
      <c r="UZI15" s="11"/>
      <c r="UZJ15" s="11"/>
      <c r="UZK15" s="11"/>
      <c r="UZL15" s="11"/>
      <c r="UZM15" s="11"/>
      <c r="UZN15" s="11"/>
      <c r="UZO15" s="11"/>
      <c r="UZP15" s="11"/>
      <c r="UZQ15" s="11"/>
      <c r="UZR15" s="11"/>
      <c r="UZS15" s="11"/>
      <c r="UZT15" s="11"/>
      <c r="UZU15" s="11"/>
      <c r="UZV15" s="11"/>
      <c r="UZW15" s="11"/>
      <c r="UZX15" s="11"/>
      <c r="UZY15" s="11"/>
      <c r="UZZ15" s="11"/>
      <c r="VAA15" s="11"/>
      <c r="VAB15" s="11"/>
      <c r="VAC15" s="11"/>
      <c r="VAD15" s="11"/>
      <c r="VAE15" s="11"/>
      <c r="VAF15" s="11"/>
      <c r="VAG15" s="11"/>
      <c r="VAH15" s="11"/>
      <c r="VAI15" s="11"/>
      <c r="VAJ15" s="11"/>
      <c r="VAK15" s="11"/>
      <c r="VAL15" s="11"/>
      <c r="VAM15" s="11"/>
      <c r="VAN15" s="11"/>
      <c r="VAO15" s="11"/>
      <c r="VAP15" s="11"/>
      <c r="VAQ15" s="11"/>
      <c r="VAR15" s="11"/>
      <c r="VAS15" s="11"/>
      <c r="VAT15" s="11"/>
      <c r="VAU15" s="11"/>
      <c r="VAV15" s="11"/>
      <c r="VAW15" s="11"/>
      <c r="VAX15" s="11"/>
      <c r="VAY15" s="11"/>
      <c r="VAZ15" s="11"/>
      <c r="VBA15" s="11"/>
      <c r="VBB15" s="11"/>
      <c r="VBC15" s="11"/>
      <c r="VBD15" s="11"/>
      <c r="VBE15" s="11"/>
      <c r="VBF15" s="11"/>
      <c r="VBG15" s="11"/>
      <c r="VBH15" s="11"/>
      <c r="VBI15" s="11"/>
      <c r="VBJ15" s="11"/>
      <c r="VBK15" s="11"/>
      <c r="VBL15" s="11"/>
      <c r="VBM15" s="11"/>
      <c r="VBN15" s="11"/>
      <c r="VBO15" s="11"/>
      <c r="VBP15" s="11"/>
      <c r="VBQ15" s="11"/>
      <c r="VBR15" s="11"/>
      <c r="VBS15" s="11"/>
      <c r="VBT15" s="11"/>
      <c r="VBU15" s="11"/>
      <c r="VBV15" s="11"/>
      <c r="VBW15" s="11"/>
      <c r="VBX15" s="11"/>
      <c r="VBY15" s="11"/>
      <c r="VBZ15" s="11"/>
      <c r="VCA15" s="11"/>
      <c r="VCB15" s="11"/>
      <c r="VCC15" s="11"/>
      <c r="VCD15" s="11"/>
      <c r="VCE15" s="11"/>
      <c r="VCF15" s="11"/>
      <c r="VCG15" s="11"/>
      <c r="VCH15" s="11"/>
      <c r="VCI15" s="11"/>
      <c r="VCJ15" s="11"/>
      <c r="VCK15" s="11"/>
      <c r="VCL15" s="11"/>
      <c r="VCM15" s="11"/>
      <c r="VCN15" s="11"/>
      <c r="VCO15" s="11"/>
      <c r="VCP15" s="11"/>
      <c r="VCQ15" s="11"/>
      <c r="VCR15" s="11"/>
      <c r="VCS15" s="11"/>
      <c r="VCT15" s="11"/>
      <c r="VCU15" s="11"/>
      <c r="VCV15" s="11"/>
      <c r="VCW15" s="11"/>
      <c r="VCX15" s="11"/>
      <c r="VCY15" s="11"/>
      <c r="VCZ15" s="11"/>
      <c r="VDA15" s="11"/>
      <c r="VDB15" s="11"/>
      <c r="VDC15" s="11"/>
      <c r="VDD15" s="11"/>
      <c r="VDE15" s="11"/>
      <c r="VDF15" s="11"/>
      <c r="VDG15" s="11"/>
      <c r="VDH15" s="11"/>
      <c r="VDI15" s="11"/>
      <c r="VDJ15" s="11"/>
      <c r="VDK15" s="11"/>
      <c r="VDL15" s="11"/>
      <c r="VDM15" s="11"/>
      <c r="VDN15" s="11"/>
      <c r="VDO15" s="11"/>
      <c r="VDP15" s="11"/>
      <c r="VDQ15" s="11"/>
      <c r="VDR15" s="11"/>
      <c r="VDS15" s="11"/>
      <c r="VDT15" s="11"/>
      <c r="VDU15" s="11"/>
      <c r="VDV15" s="11"/>
      <c r="VDW15" s="11"/>
      <c r="VDX15" s="11"/>
      <c r="VDY15" s="11"/>
      <c r="VDZ15" s="11"/>
      <c r="VEA15" s="11"/>
      <c r="VEB15" s="11"/>
      <c r="VEC15" s="11"/>
      <c r="VED15" s="11"/>
      <c r="VEE15" s="11"/>
      <c r="VEF15" s="11"/>
      <c r="VEG15" s="11"/>
      <c r="VEH15" s="11"/>
      <c r="VEI15" s="11"/>
      <c r="VEJ15" s="11"/>
      <c r="VEK15" s="11"/>
      <c r="VEL15" s="11"/>
      <c r="VEM15" s="11"/>
      <c r="VEN15" s="11"/>
      <c r="VEO15" s="11"/>
      <c r="VEP15" s="11"/>
      <c r="VEQ15" s="11"/>
      <c r="VER15" s="11"/>
      <c r="VES15" s="11"/>
      <c r="VET15" s="11"/>
      <c r="VEU15" s="11"/>
      <c r="VEV15" s="11"/>
      <c r="VEW15" s="11"/>
      <c r="VEX15" s="11"/>
      <c r="VEY15" s="11"/>
      <c r="VEZ15" s="11"/>
      <c r="VFA15" s="11"/>
      <c r="VFB15" s="11"/>
      <c r="VFC15" s="11"/>
      <c r="VFD15" s="11"/>
      <c r="VFE15" s="11"/>
      <c r="VFF15" s="11"/>
      <c r="VFG15" s="11"/>
      <c r="VFH15" s="11"/>
      <c r="VFI15" s="11"/>
      <c r="VFJ15" s="11"/>
      <c r="VFK15" s="11"/>
      <c r="VFL15" s="11"/>
      <c r="VFM15" s="11"/>
      <c r="VFN15" s="11"/>
      <c r="VFO15" s="11"/>
      <c r="VFP15" s="11"/>
      <c r="VFQ15" s="11"/>
      <c r="VFR15" s="11"/>
      <c r="VFS15" s="11"/>
      <c r="VFT15" s="11"/>
      <c r="VFU15" s="11"/>
      <c r="VFV15" s="11"/>
      <c r="VFW15" s="11"/>
      <c r="VFX15" s="11"/>
      <c r="VFY15" s="11"/>
      <c r="VFZ15" s="11"/>
      <c r="VGA15" s="11"/>
      <c r="VGB15" s="11"/>
      <c r="VGC15" s="11"/>
      <c r="VGD15" s="11"/>
      <c r="VGE15" s="11"/>
      <c r="VGF15" s="11"/>
      <c r="VGG15" s="11"/>
      <c r="VGH15" s="11"/>
      <c r="VGI15" s="11"/>
      <c r="VGJ15" s="11"/>
      <c r="VGK15" s="11"/>
      <c r="VGL15" s="11"/>
      <c r="VGM15" s="11"/>
      <c r="VGN15" s="11"/>
      <c r="VGO15" s="11"/>
      <c r="VGP15" s="11"/>
      <c r="VGQ15" s="11"/>
      <c r="VGR15" s="11"/>
      <c r="VGS15" s="11"/>
      <c r="VGT15" s="11"/>
      <c r="VGU15" s="11"/>
      <c r="VGV15" s="11"/>
      <c r="VGW15" s="11"/>
      <c r="VGX15" s="11"/>
      <c r="VGY15" s="11"/>
      <c r="VGZ15" s="11"/>
      <c r="VHA15" s="11"/>
      <c r="VHB15" s="11"/>
      <c r="VHC15" s="11"/>
      <c r="VHD15" s="11"/>
      <c r="VHE15" s="11"/>
      <c r="VHF15" s="11"/>
      <c r="VHG15" s="11"/>
      <c r="VHH15" s="11"/>
      <c r="VHI15" s="11"/>
      <c r="VHJ15" s="11"/>
      <c r="VHK15" s="11"/>
      <c r="VHL15" s="11"/>
      <c r="VHM15" s="11"/>
      <c r="VHN15" s="11"/>
      <c r="VHO15" s="11"/>
      <c r="VHP15" s="11"/>
      <c r="VHQ15" s="11"/>
      <c r="VHR15" s="11"/>
      <c r="VHS15" s="11"/>
      <c r="VHT15" s="11"/>
      <c r="VHU15" s="11"/>
      <c r="VHV15" s="11"/>
      <c r="VHW15" s="11"/>
      <c r="VHX15" s="11"/>
      <c r="VHY15" s="11"/>
      <c r="VHZ15" s="11"/>
      <c r="VIA15" s="11"/>
      <c r="VIB15" s="11"/>
      <c r="VIC15" s="11"/>
      <c r="VID15" s="11"/>
      <c r="VIE15" s="11"/>
      <c r="VIF15" s="11"/>
      <c r="VIG15" s="11"/>
      <c r="VIH15" s="11"/>
      <c r="VII15" s="11"/>
      <c r="VIJ15" s="11"/>
      <c r="VIK15" s="11"/>
      <c r="VIL15" s="11"/>
      <c r="VIM15" s="11"/>
      <c r="VIN15" s="11"/>
      <c r="VIO15" s="11"/>
      <c r="VIP15" s="11"/>
      <c r="VIQ15" s="11"/>
      <c r="VIR15" s="11"/>
      <c r="VIS15" s="11"/>
      <c r="VIT15" s="11"/>
      <c r="VIU15" s="11"/>
      <c r="VIV15" s="11"/>
      <c r="VIW15" s="11"/>
      <c r="VIX15" s="11"/>
      <c r="VIY15" s="11"/>
      <c r="VIZ15" s="11"/>
      <c r="VJA15" s="11"/>
      <c r="VJB15" s="11"/>
      <c r="VJC15" s="11"/>
      <c r="VJD15" s="11"/>
      <c r="VJE15" s="11"/>
      <c r="VJF15" s="11"/>
      <c r="VJG15" s="11"/>
      <c r="VJH15" s="11"/>
      <c r="VJI15" s="11"/>
      <c r="VJJ15" s="11"/>
      <c r="VJK15" s="11"/>
      <c r="VJL15" s="11"/>
      <c r="VJM15" s="11"/>
      <c r="VJN15" s="11"/>
      <c r="VJO15" s="11"/>
      <c r="VJP15" s="11"/>
      <c r="VJQ15" s="11"/>
      <c r="VJR15" s="11"/>
      <c r="VJS15" s="11"/>
      <c r="VJT15" s="11"/>
      <c r="VJU15" s="11"/>
      <c r="VJV15" s="11"/>
      <c r="VJW15" s="11"/>
      <c r="VJX15" s="11"/>
      <c r="VJY15" s="11"/>
      <c r="VJZ15" s="11"/>
      <c r="VKA15" s="11"/>
      <c r="VKB15" s="11"/>
      <c r="VKC15" s="11"/>
      <c r="VKD15" s="11"/>
      <c r="VKE15" s="11"/>
      <c r="VKF15" s="11"/>
      <c r="VKG15" s="11"/>
      <c r="VKH15" s="11"/>
      <c r="VKI15" s="11"/>
      <c r="VKJ15" s="11"/>
      <c r="VKK15" s="11"/>
      <c r="VKL15" s="11"/>
      <c r="VKM15" s="11"/>
      <c r="VKN15" s="11"/>
      <c r="VKO15" s="11"/>
      <c r="VKP15" s="11"/>
      <c r="VKQ15" s="11"/>
      <c r="VKR15" s="11"/>
      <c r="VKS15" s="11"/>
      <c r="VKT15" s="11"/>
      <c r="VKU15" s="11"/>
      <c r="VKV15" s="11"/>
      <c r="VKW15" s="11"/>
      <c r="VKX15" s="11"/>
      <c r="VKY15" s="11"/>
      <c r="VKZ15" s="11"/>
      <c r="VLA15" s="11"/>
      <c r="VLB15" s="11"/>
      <c r="VLC15" s="11"/>
      <c r="VLD15" s="11"/>
      <c r="VLE15" s="11"/>
      <c r="VLF15" s="11"/>
      <c r="VLG15" s="11"/>
      <c r="VLH15" s="11"/>
      <c r="VLI15" s="11"/>
      <c r="VLJ15" s="11"/>
      <c r="VLK15" s="11"/>
      <c r="VLL15" s="11"/>
      <c r="VLM15" s="11"/>
      <c r="VLN15" s="11"/>
      <c r="VLO15" s="11"/>
      <c r="VLP15" s="11"/>
      <c r="VLQ15" s="11"/>
      <c r="VLR15" s="11"/>
      <c r="VLS15" s="11"/>
      <c r="VLT15" s="11"/>
      <c r="VLU15" s="11"/>
      <c r="VLV15" s="11"/>
      <c r="VLW15" s="11"/>
      <c r="VLX15" s="11"/>
      <c r="VLY15" s="11"/>
      <c r="VLZ15" s="11"/>
      <c r="VMA15" s="11"/>
      <c r="VMB15" s="11"/>
      <c r="VMC15" s="11"/>
      <c r="VMD15" s="11"/>
      <c r="VME15" s="11"/>
      <c r="VMF15" s="11"/>
      <c r="VMG15" s="11"/>
      <c r="VMH15" s="11"/>
      <c r="VMI15" s="11"/>
      <c r="VMJ15" s="11"/>
      <c r="VMK15" s="11"/>
      <c r="VML15" s="11"/>
      <c r="VMM15" s="11"/>
      <c r="VMN15" s="11"/>
      <c r="VMO15" s="11"/>
      <c r="VMP15" s="11"/>
      <c r="VMQ15" s="11"/>
      <c r="VMR15" s="11"/>
      <c r="VMS15" s="11"/>
      <c r="VMT15" s="11"/>
      <c r="VMU15" s="11"/>
      <c r="VMV15" s="11"/>
      <c r="VMW15" s="11"/>
      <c r="VMX15" s="11"/>
      <c r="VMY15" s="11"/>
      <c r="VMZ15" s="11"/>
      <c r="VNA15" s="11"/>
      <c r="VNB15" s="11"/>
      <c r="VNC15" s="11"/>
      <c r="VND15" s="11"/>
      <c r="VNE15" s="11"/>
      <c r="VNF15" s="11"/>
      <c r="VNG15" s="11"/>
      <c r="VNH15" s="11"/>
      <c r="VNI15" s="11"/>
      <c r="VNJ15" s="11"/>
      <c r="VNK15" s="11"/>
      <c r="VNL15" s="11"/>
      <c r="VNM15" s="11"/>
      <c r="VNN15" s="11"/>
      <c r="VNO15" s="11"/>
      <c r="VNP15" s="11"/>
      <c r="VNQ15" s="11"/>
      <c r="VNR15" s="11"/>
      <c r="VNS15" s="11"/>
      <c r="VNT15" s="11"/>
      <c r="VNU15" s="11"/>
      <c r="VNV15" s="11"/>
      <c r="VNW15" s="11"/>
      <c r="VNX15" s="11"/>
      <c r="VNY15" s="11"/>
      <c r="VNZ15" s="11"/>
      <c r="VOA15" s="11"/>
      <c r="VOB15" s="11"/>
      <c r="VOC15" s="11"/>
      <c r="VOD15" s="11"/>
      <c r="VOE15" s="11"/>
      <c r="VOF15" s="11"/>
      <c r="VOG15" s="11"/>
      <c r="VOH15" s="11"/>
      <c r="VOI15" s="11"/>
      <c r="VOJ15" s="11"/>
      <c r="VOK15" s="11"/>
      <c r="VOL15" s="11"/>
      <c r="VOM15" s="11"/>
      <c r="VON15" s="11"/>
      <c r="VOO15" s="11"/>
      <c r="VOP15" s="11"/>
      <c r="VOQ15" s="11"/>
      <c r="VOR15" s="11"/>
      <c r="VOS15" s="11"/>
      <c r="VOT15" s="11"/>
      <c r="VOU15" s="11"/>
      <c r="VOV15" s="11"/>
      <c r="VOW15" s="11"/>
      <c r="VOX15" s="11"/>
      <c r="VOY15" s="11"/>
      <c r="VOZ15" s="11"/>
      <c r="VPA15" s="11"/>
      <c r="VPB15" s="11"/>
      <c r="VPC15" s="11"/>
      <c r="VPD15" s="11"/>
      <c r="VPE15" s="11"/>
      <c r="VPF15" s="11"/>
      <c r="VPG15" s="11"/>
      <c r="VPH15" s="11"/>
      <c r="VPI15" s="11"/>
      <c r="VPJ15" s="11"/>
      <c r="VPK15" s="11"/>
      <c r="VPL15" s="11"/>
      <c r="VPM15" s="11"/>
      <c r="VPN15" s="11"/>
      <c r="VPO15" s="11"/>
      <c r="VPP15" s="11"/>
      <c r="VPQ15" s="11"/>
      <c r="VPR15" s="11"/>
      <c r="VPS15" s="11"/>
      <c r="VPT15" s="11"/>
      <c r="VPU15" s="11"/>
      <c r="VPV15" s="11"/>
      <c r="VPW15" s="11"/>
      <c r="VPX15" s="11"/>
      <c r="VPY15" s="11"/>
      <c r="VPZ15" s="11"/>
      <c r="VQA15" s="11"/>
      <c r="VQB15" s="11"/>
      <c r="VQC15" s="11"/>
      <c r="VQD15" s="11"/>
      <c r="VQE15" s="11"/>
      <c r="VQF15" s="11"/>
      <c r="VQG15" s="11"/>
      <c r="VQH15" s="11"/>
      <c r="VQI15" s="11"/>
      <c r="VQJ15" s="11"/>
      <c r="VQK15" s="11"/>
      <c r="VQL15" s="11"/>
      <c r="VQM15" s="11"/>
      <c r="VQN15" s="11"/>
      <c r="VQO15" s="11"/>
      <c r="VQP15" s="11"/>
      <c r="VQQ15" s="11"/>
      <c r="VQR15" s="11"/>
      <c r="VQS15" s="11"/>
      <c r="VQT15" s="11"/>
      <c r="VQU15" s="11"/>
      <c r="VQV15" s="11"/>
      <c r="VQW15" s="11"/>
      <c r="VQX15" s="11"/>
      <c r="VQY15" s="11"/>
      <c r="VQZ15" s="11"/>
      <c r="VRA15" s="11"/>
      <c r="VRB15" s="11"/>
      <c r="VRC15" s="11"/>
      <c r="VRD15" s="11"/>
      <c r="VRE15" s="11"/>
      <c r="VRF15" s="11"/>
      <c r="VRG15" s="11"/>
      <c r="VRH15" s="11"/>
      <c r="VRI15" s="11"/>
      <c r="VRJ15" s="11"/>
      <c r="VRK15" s="11"/>
      <c r="VRL15" s="11"/>
      <c r="VRM15" s="11"/>
      <c r="VRN15" s="11"/>
      <c r="VRO15" s="11"/>
      <c r="VRP15" s="11"/>
      <c r="VRQ15" s="11"/>
      <c r="VRR15" s="11"/>
      <c r="VRS15" s="11"/>
      <c r="VRT15" s="11"/>
      <c r="VRU15" s="11"/>
      <c r="VRV15" s="11"/>
      <c r="VRW15" s="11"/>
      <c r="VRX15" s="11"/>
      <c r="VRY15" s="11"/>
      <c r="VRZ15" s="11"/>
      <c r="VSA15" s="11"/>
      <c r="VSB15" s="11"/>
      <c r="VSC15" s="11"/>
      <c r="VSD15" s="11"/>
      <c r="VSE15" s="11"/>
      <c r="VSF15" s="11"/>
      <c r="VSG15" s="11"/>
      <c r="VSH15" s="11"/>
      <c r="VSI15" s="11"/>
      <c r="VSJ15" s="11"/>
      <c r="VSK15" s="11"/>
      <c r="VSL15" s="11"/>
      <c r="VSM15" s="11"/>
      <c r="VSN15" s="11"/>
      <c r="VSO15" s="11"/>
      <c r="VSP15" s="11"/>
      <c r="VSQ15" s="11"/>
      <c r="VSR15" s="11"/>
      <c r="VSS15" s="11"/>
      <c r="VST15" s="11"/>
      <c r="VSU15" s="11"/>
      <c r="VSV15" s="11"/>
      <c r="VSW15" s="11"/>
      <c r="VSX15" s="11"/>
      <c r="VSY15" s="11"/>
      <c r="VSZ15" s="11"/>
      <c r="VTA15" s="11"/>
      <c r="VTB15" s="11"/>
      <c r="VTC15" s="11"/>
      <c r="VTD15" s="11"/>
      <c r="VTE15" s="11"/>
      <c r="VTF15" s="11"/>
      <c r="VTG15" s="11"/>
      <c r="VTH15" s="11"/>
      <c r="VTI15" s="11"/>
      <c r="VTJ15" s="11"/>
      <c r="VTK15" s="11"/>
      <c r="VTL15" s="11"/>
      <c r="VTM15" s="11"/>
      <c r="VTN15" s="11"/>
      <c r="VTO15" s="11"/>
      <c r="VTP15" s="11"/>
      <c r="VTQ15" s="11"/>
      <c r="VTR15" s="11"/>
      <c r="VTS15" s="11"/>
      <c r="VTT15" s="11"/>
      <c r="VTU15" s="11"/>
      <c r="VTV15" s="11"/>
      <c r="VTW15" s="11"/>
      <c r="VTX15" s="11"/>
      <c r="VTY15" s="11"/>
      <c r="VTZ15" s="11"/>
      <c r="VUA15" s="11"/>
      <c r="VUB15" s="11"/>
      <c r="VUC15" s="11"/>
      <c r="VUD15" s="11"/>
      <c r="VUE15" s="11"/>
      <c r="VUF15" s="11"/>
      <c r="VUG15" s="11"/>
      <c r="VUH15" s="11"/>
      <c r="VUI15" s="11"/>
      <c r="VUJ15" s="11"/>
      <c r="VUK15" s="11"/>
      <c r="VUL15" s="11"/>
      <c r="VUM15" s="11"/>
      <c r="VUN15" s="11"/>
      <c r="VUO15" s="11"/>
      <c r="VUP15" s="11"/>
      <c r="VUQ15" s="11"/>
      <c r="VUR15" s="11"/>
      <c r="VUS15" s="11"/>
      <c r="VUT15" s="11"/>
      <c r="VUU15" s="11"/>
      <c r="VUV15" s="11"/>
      <c r="VUW15" s="11"/>
      <c r="VUX15" s="11"/>
      <c r="VUY15" s="11"/>
      <c r="VUZ15" s="11"/>
      <c r="VVA15" s="11"/>
      <c r="VVB15" s="11"/>
      <c r="VVC15" s="11"/>
      <c r="VVD15" s="11"/>
      <c r="VVE15" s="11"/>
      <c r="VVF15" s="11"/>
      <c r="VVG15" s="11"/>
      <c r="VVH15" s="11"/>
      <c r="VVI15" s="11"/>
      <c r="VVJ15" s="11"/>
      <c r="VVK15" s="11"/>
      <c r="VVL15" s="11"/>
      <c r="VVM15" s="11"/>
      <c r="VVN15" s="11"/>
      <c r="VVO15" s="11"/>
      <c r="VVP15" s="11"/>
      <c r="VVQ15" s="11"/>
      <c r="VVR15" s="11"/>
      <c r="VVS15" s="11"/>
      <c r="VVT15" s="11"/>
      <c r="VVU15" s="11"/>
      <c r="VVV15" s="11"/>
      <c r="VVW15" s="11"/>
      <c r="VVX15" s="11"/>
      <c r="VVY15" s="11"/>
      <c r="VVZ15" s="11"/>
      <c r="VWA15" s="11"/>
      <c r="VWB15" s="11"/>
      <c r="VWC15" s="11"/>
      <c r="VWD15" s="11"/>
      <c r="VWE15" s="11"/>
      <c r="VWF15" s="11"/>
      <c r="VWG15" s="11"/>
      <c r="VWH15" s="11"/>
      <c r="VWI15" s="11"/>
      <c r="VWJ15" s="11"/>
      <c r="VWK15" s="11"/>
      <c r="VWL15" s="11"/>
      <c r="VWM15" s="11"/>
      <c r="VWN15" s="11"/>
      <c r="VWO15" s="11"/>
      <c r="VWP15" s="11"/>
      <c r="VWQ15" s="11"/>
      <c r="VWR15" s="11"/>
      <c r="VWS15" s="11"/>
      <c r="VWT15" s="11"/>
      <c r="VWU15" s="11"/>
      <c r="VWV15" s="11"/>
      <c r="VWW15" s="11"/>
      <c r="VWX15" s="11"/>
      <c r="VWY15" s="11"/>
      <c r="VWZ15" s="11"/>
      <c r="VXA15" s="11"/>
      <c r="VXB15" s="11"/>
      <c r="VXC15" s="11"/>
      <c r="VXD15" s="11"/>
      <c r="VXE15" s="11"/>
      <c r="VXF15" s="11"/>
      <c r="VXG15" s="11"/>
      <c r="VXH15" s="11"/>
      <c r="VXI15" s="11"/>
      <c r="VXJ15" s="11"/>
      <c r="VXK15" s="11"/>
      <c r="VXL15" s="11"/>
      <c r="VXM15" s="11"/>
      <c r="VXN15" s="11"/>
      <c r="VXO15" s="11"/>
      <c r="VXP15" s="11"/>
      <c r="VXQ15" s="11"/>
      <c r="VXR15" s="11"/>
      <c r="VXS15" s="11"/>
      <c r="VXT15" s="11"/>
      <c r="VXU15" s="11"/>
      <c r="VXV15" s="11"/>
      <c r="VXW15" s="11"/>
      <c r="VXX15" s="11"/>
      <c r="VXY15" s="11"/>
      <c r="VXZ15" s="11"/>
      <c r="VYA15" s="11"/>
      <c r="VYB15" s="11"/>
      <c r="VYC15" s="11"/>
      <c r="VYD15" s="11"/>
      <c r="VYE15" s="11"/>
      <c r="VYF15" s="11"/>
      <c r="VYG15" s="11"/>
      <c r="VYH15" s="11"/>
      <c r="VYI15" s="11"/>
      <c r="VYJ15" s="11"/>
      <c r="VYK15" s="11"/>
      <c r="VYL15" s="11"/>
      <c r="VYM15" s="11"/>
      <c r="VYN15" s="11"/>
      <c r="VYO15" s="11"/>
      <c r="VYP15" s="11"/>
      <c r="VYQ15" s="11"/>
      <c r="VYR15" s="11"/>
      <c r="VYS15" s="11"/>
      <c r="VYT15" s="11"/>
      <c r="VYU15" s="11"/>
      <c r="VYV15" s="11"/>
      <c r="VYW15" s="11"/>
      <c r="VYX15" s="11"/>
      <c r="VYY15" s="11"/>
      <c r="VYZ15" s="11"/>
      <c r="VZA15" s="11"/>
      <c r="VZB15" s="11"/>
      <c r="VZC15" s="11"/>
      <c r="VZD15" s="11"/>
      <c r="VZE15" s="11"/>
      <c r="VZF15" s="11"/>
      <c r="VZG15" s="11"/>
      <c r="VZH15" s="11"/>
      <c r="VZI15" s="11"/>
      <c r="VZJ15" s="11"/>
      <c r="VZK15" s="11"/>
      <c r="VZL15" s="11"/>
      <c r="VZM15" s="11"/>
      <c r="VZN15" s="11"/>
      <c r="VZO15" s="11"/>
      <c r="VZP15" s="11"/>
      <c r="VZQ15" s="11"/>
      <c r="VZR15" s="11"/>
      <c r="VZS15" s="11"/>
      <c r="VZT15" s="11"/>
      <c r="VZU15" s="11"/>
      <c r="VZV15" s="11"/>
      <c r="VZW15" s="11"/>
      <c r="VZX15" s="11"/>
      <c r="VZY15" s="11"/>
      <c r="VZZ15" s="11"/>
      <c r="WAA15" s="11"/>
      <c r="WAB15" s="11"/>
      <c r="WAC15" s="11"/>
      <c r="WAD15" s="11"/>
      <c r="WAE15" s="11"/>
      <c r="WAF15" s="11"/>
      <c r="WAG15" s="11"/>
      <c r="WAH15" s="11"/>
      <c r="WAI15" s="11"/>
      <c r="WAJ15" s="11"/>
      <c r="WAK15" s="11"/>
      <c r="WAL15" s="11"/>
      <c r="WAM15" s="11"/>
      <c r="WAN15" s="11"/>
      <c r="WAO15" s="11"/>
      <c r="WAP15" s="11"/>
      <c r="WAQ15" s="11"/>
      <c r="WAR15" s="11"/>
      <c r="WAS15" s="11"/>
      <c r="WAT15" s="11"/>
      <c r="WAU15" s="11"/>
      <c r="WAV15" s="11"/>
      <c r="WAW15" s="11"/>
      <c r="WAX15" s="11"/>
      <c r="WAY15" s="11"/>
      <c r="WAZ15" s="11"/>
      <c r="WBA15" s="11"/>
      <c r="WBB15" s="11"/>
      <c r="WBC15" s="11"/>
      <c r="WBD15" s="11"/>
      <c r="WBE15" s="11"/>
      <c r="WBF15" s="11"/>
      <c r="WBG15" s="11"/>
      <c r="WBH15" s="11"/>
      <c r="WBI15" s="11"/>
      <c r="WBJ15" s="11"/>
      <c r="WBK15" s="11"/>
      <c r="WBL15" s="11"/>
      <c r="WBM15" s="11"/>
      <c r="WBN15" s="11"/>
      <c r="WBO15" s="11"/>
      <c r="WBP15" s="11"/>
      <c r="WBQ15" s="11"/>
      <c r="WBR15" s="11"/>
      <c r="WBS15" s="11"/>
      <c r="WBT15" s="11"/>
      <c r="WBU15" s="11"/>
      <c r="WBV15" s="11"/>
      <c r="WBW15" s="11"/>
      <c r="WBX15" s="11"/>
      <c r="WBY15" s="11"/>
      <c r="WBZ15" s="11"/>
      <c r="WCA15" s="11"/>
      <c r="WCB15" s="11"/>
      <c r="WCC15" s="11"/>
      <c r="WCD15" s="11"/>
      <c r="WCE15" s="11"/>
      <c r="WCF15" s="11"/>
      <c r="WCG15" s="11"/>
      <c r="WCH15" s="11"/>
      <c r="WCI15" s="11"/>
      <c r="WCJ15" s="11"/>
      <c r="WCK15" s="11"/>
      <c r="WCL15" s="11"/>
      <c r="WCM15" s="11"/>
      <c r="WCN15" s="11"/>
      <c r="WCO15" s="11"/>
      <c r="WCP15" s="11"/>
      <c r="WCQ15" s="11"/>
      <c r="WCR15" s="11"/>
      <c r="WCS15" s="11"/>
      <c r="WCT15" s="11"/>
      <c r="WCU15" s="11"/>
      <c r="WCV15" s="11"/>
      <c r="WCW15" s="11"/>
      <c r="WCX15" s="11"/>
      <c r="WCY15" s="11"/>
      <c r="WCZ15" s="11"/>
      <c r="WDA15" s="11"/>
      <c r="WDB15" s="11"/>
      <c r="WDC15" s="11"/>
      <c r="WDD15" s="11"/>
      <c r="WDE15" s="11"/>
      <c r="WDF15" s="11"/>
      <c r="WDG15" s="11"/>
      <c r="WDH15" s="11"/>
      <c r="WDI15" s="11"/>
      <c r="WDJ15" s="11"/>
      <c r="WDK15" s="11"/>
      <c r="WDL15" s="11"/>
      <c r="WDM15" s="11"/>
      <c r="WDN15" s="11"/>
      <c r="WDO15" s="11"/>
      <c r="WDP15" s="11"/>
      <c r="WDQ15" s="11"/>
      <c r="WDR15" s="11"/>
      <c r="WDS15" s="11"/>
      <c r="WDT15" s="11"/>
      <c r="WDU15" s="11"/>
      <c r="WDV15" s="11"/>
      <c r="WDW15" s="11"/>
      <c r="WDX15" s="11"/>
      <c r="WDY15" s="11"/>
      <c r="WDZ15" s="11"/>
      <c r="WEA15" s="11"/>
      <c r="WEB15" s="11"/>
      <c r="WEC15" s="11"/>
      <c r="WED15" s="11"/>
      <c r="WEE15" s="11"/>
      <c r="WEF15" s="11"/>
      <c r="WEG15" s="11"/>
      <c r="WEH15" s="11"/>
      <c r="WEI15" s="11"/>
      <c r="WEJ15" s="11"/>
      <c r="WEK15" s="11"/>
      <c r="WEL15" s="11"/>
      <c r="WEM15" s="11"/>
      <c r="WEN15" s="11"/>
      <c r="WEO15" s="11"/>
      <c r="WEP15" s="11"/>
      <c r="WEQ15" s="11"/>
      <c r="WER15" s="11"/>
      <c r="WES15" s="11"/>
      <c r="WET15" s="11"/>
      <c r="WEU15" s="11"/>
      <c r="WEV15" s="11"/>
      <c r="WEW15" s="11"/>
      <c r="WEX15" s="11"/>
      <c r="WEY15" s="11"/>
      <c r="WEZ15" s="11"/>
      <c r="WFA15" s="11"/>
      <c r="WFB15" s="11"/>
      <c r="WFC15" s="11"/>
      <c r="WFD15" s="11"/>
      <c r="WFE15" s="11"/>
      <c r="WFF15" s="11"/>
      <c r="WFG15" s="11"/>
      <c r="WFH15" s="11"/>
      <c r="WFI15" s="11"/>
      <c r="WFJ15" s="11"/>
      <c r="WFK15" s="11"/>
      <c r="WFL15" s="11"/>
      <c r="WFM15" s="11"/>
      <c r="WFN15" s="11"/>
      <c r="WFO15" s="11"/>
      <c r="WFP15" s="11"/>
      <c r="WFQ15" s="11"/>
      <c r="WFR15" s="11"/>
      <c r="WFS15" s="11"/>
      <c r="WFT15" s="11"/>
      <c r="WFU15" s="11"/>
      <c r="WFV15" s="11"/>
      <c r="WFW15" s="11"/>
      <c r="WFX15" s="11"/>
      <c r="WFY15" s="11"/>
      <c r="WFZ15" s="11"/>
      <c r="WGA15" s="11"/>
      <c r="WGB15" s="11"/>
      <c r="WGC15" s="11"/>
      <c r="WGD15" s="11"/>
      <c r="WGE15" s="11"/>
      <c r="WGF15" s="11"/>
      <c r="WGG15" s="11"/>
      <c r="WGH15" s="11"/>
      <c r="WGI15" s="11"/>
      <c r="WGJ15" s="11"/>
      <c r="WGK15" s="11"/>
      <c r="WGL15" s="11"/>
      <c r="WGM15" s="11"/>
      <c r="WGN15" s="11"/>
      <c r="WGO15" s="11"/>
      <c r="WGP15" s="11"/>
      <c r="WGQ15" s="11"/>
      <c r="WGR15" s="11"/>
      <c r="WGS15" s="11"/>
      <c r="WGT15" s="11"/>
      <c r="WGU15" s="11"/>
      <c r="WGV15" s="11"/>
      <c r="WGW15" s="11"/>
      <c r="WGX15" s="11"/>
      <c r="WGY15" s="11"/>
      <c r="WGZ15" s="11"/>
      <c r="WHA15" s="11"/>
      <c r="WHB15" s="11"/>
      <c r="WHC15" s="11"/>
      <c r="WHD15" s="11"/>
      <c r="WHE15" s="11"/>
      <c r="WHF15" s="11"/>
      <c r="WHG15" s="11"/>
      <c r="WHH15" s="11"/>
      <c r="WHI15" s="11"/>
      <c r="WHJ15" s="11"/>
      <c r="WHK15" s="11"/>
      <c r="WHL15" s="11"/>
      <c r="WHM15" s="11"/>
      <c r="WHN15" s="11"/>
      <c r="WHO15" s="11"/>
      <c r="WHP15" s="11"/>
      <c r="WHQ15" s="11"/>
      <c r="WHR15" s="11"/>
      <c r="WHS15" s="11"/>
      <c r="WHT15" s="11"/>
      <c r="WHU15" s="11"/>
      <c r="WHV15" s="11"/>
      <c r="WHW15" s="11"/>
      <c r="WHX15" s="11"/>
      <c r="WHY15" s="11"/>
      <c r="WHZ15" s="11"/>
      <c r="WIA15" s="11"/>
      <c r="WIB15" s="11"/>
      <c r="WIC15" s="11"/>
      <c r="WID15" s="11"/>
      <c r="WIE15" s="11"/>
      <c r="WIF15" s="11"/>
      <c r="WIG15" s="11"/>
      <c r="WIH15" s="11"/>
      <c r="WII15" s="11"/>
      <c r="WIJ15" s="11"/>
      <c r="WIK15" s="11"/>
      <c r="WIL15" s="11"/>
      <c r="WIM15" s="11"/>
      <c r="WIN15" s="11"/>
      <c r="WIO15" s="11"/>
      <c r="WIP15" s="11"/>
      <c r="WIQ15" s="11"/>
      <c r="WIR15" s="11"/>
      <c r="WIS15" s="11"/>
      <c r="WIT15" s="11"/>
      <c r="WIU15" s="11"/>
      <c r="WIV15" s="11"/>
      <c r="WIW15" s="11"/>
      <c r="WIX15" s="11"/>
      <c r="WIY15" s="11"/>
      <c r="WIZ15" s="11"/>
      <c r="WJA15" s="11"/>
      <c r="WJB15" s="11"/>
      <c r="WJC15" s="11"/>
      <c r="WJD15" s="11"/>
      <c r="WJE15" s="11"/>
      <c r="WJF15" s="11"/>
      <c r="WJG15" s="11"/>
      <c r="WJH15" s="11"/>
      <c r="WJI15" s="11"/>
      <c r="WJJ15" s="11"/>
      <c r="WJK15" s="11"/>
      <c r="WJL15" s="11"/>
      <c r="WJM15" s="11"/>
      <c r="WJN15" s="11"/>
      <c r="WJO15" s="11"/>
      <c r="WJP15" s="11"/>
      <c r="WJQ15" s="11"/>
      <c r="WJR15" s="11"/>
      <c r="WJS15" s="11"/>
      <c r="WJT15" s="11"/>
      <c r="WJU15" s="11"/>
      <c r="WJV15" s="11"/>
      <c r="WJW15" s="11"/>
      <c r="WJX15" s="11"/>
      <c r="WJY15" s="11"/>
      <c r="WJZ15" s="11"/>
      <c r="WKA15" s="11"/>
      <c r="WKB15" s="11"/>
      <c r="WKC15" s="11"/>
      <c r="WKD15" s="11"/>
      <c r="WKE15" s="11"/>
      <c r="WKF15" s="11"/>
      <c r="WKG15" s="11"/>
      <c r="WKH15" s="11"/>
      <c r="WKI15" s="11"/>
      <c r="WKJ15" s="11"/>
      <c r="WKK15" s="11"/>
      <c r="WKL15" s="11"/>
      <c r="WKM15" s="11"/>
      <c r="WKN15" s="11"/>
      <c r="WKO15" s="11"/>
      <c r="WKP15" s="11"/>
      <c r="WKQ15" s="11"/>
      <c r="WKR15" s="11"/>
      <c r="WKS15" s="11"/>
      <c r="WKT15" s="11"/>
      <c r="WKU15" s="11"/>
      <c r="WKV15" s="11"/>
      <c r="WKW15" s="11"/>
      <c r="WKX15" s="11"/>
      <c r="WKY15" s="11"/>
      <c r="WKZ15" s="11"/>
      <c r="WLA15" s="11"/>
      <c r="WLB15" s="11"/>
      <c r="WLC15" s="11"/>
      <c r="WLD15" s="11"/>
      <c r="WLE15" s="11"/>
      <c r="WLF15" s="11"/>
      <c r="WLG15" s="11"/>
      <c r="WLH15" s="11"/>
      <c r="WLI15" s="11"/>
      <c r="WLJ15" s="11"/>
      <c r="WLK15" s="11"/>
      <c r="WLL15" s="11"/>
      <c r="WLM15" s="11"/>
      <c r="WLN15" s="11"/>
      <c r="WLO15" s="11"/>
      <c r="WLP15" s="11"/>
      <c r="WLQ15" s="11"/>
      <c r="WLR15" s="11"/>
      <c r="WLS15" s="11"/>
      <c r="WLT15" s="11"/>
      <c r="WLU15" s="11"/>
      <c r="WLV15" s="11"/>
      <c r="WLW15" s="11"/>
      <c r="WLX15" s="11"/>
      <c r="WLY15" s="11"/>
      <c r="WLZ15" s="11"/>
      <c r="WMA15" s="11"/>
      <c r="WMB15" s="11"/>
      <c r="WMC15" s="11"/>
      <c r="WMD15" s="11"/>
      <c r="WME15" s="11"/>
      <c r="WMF15" s="11"/>
      <c r="WMG15" s="11"/>
      <c r="WMH15" s="11"/>
      <c r="WMI15" s="11"/>
      <c r="WMJ15" s="11"/>
      <c r="WMK15" s="11"/>
      <c r="WML15" s="11"/>
      <c r="WMM15" s="11"/>
      <c r="WMN15" s="11"/>
      <c r="WMO15" s="11"/>
      <c r="WMP15" s="11"/>
      <c r="WMQ15" s="11"/>
      <c r="WMR15" s="11"/>
      <c r="WMS15" s="11"/>
      <c r="WMT15" s="11"/>
      <c r="WMU15" s="11"/>
      <c r="WMV15" s="11"/>
      <c r="WMW15" s="11"/>
      <c r="WMX15" s="11"/>
      <c r="WMY15" s="11"/>
      <c r="WMZ15" s="11"/>
      <c r="WNA15" s="11"/>
      <c r="WNB15" s="11"/>
      <c r="WNC15" s="11"/>
      <c r="WND15" s="11"/>
      <c r="WNE15" s="11"/>
      <c r="WNF15" s="11"/>
      <c r="WNG15" s="11"/>
      <c r="WNH15" s="11"/>
      <c r="WNI15" s="11"/>
      <c r="WNJ15" s="11"/>
      <c r="WNK15" s="11"/>
      <c r="WNL15" s="11"/>
      <c r="WNM15" s="11"/>
      <c r="WNN15" s="11"/>
      <c r="WNO15" s="11"/>
      <c r="WNP15" s="11"/>
      <c r="WNQ15" s="11"/>
      <c r="WNR15" s="11"/>
      <c r="WNS15" s="11"/>
      <c r="WNT15" s="11"/>
      <c r="WNU15" s="11"/>
      <c r="WNV15" s="11"/>
      <c r="WNW15" s="11"/>
      <c r="WNX15" s="11"/>
      <c r="WNY15" s="11"/>
      <c r="WNZ15" s="11"/>
      <c r="WOA15" s="11"/>
      <c r="WOB15" s="11"/>
      <c r="WOC15" s="11"/>
      <c r="WOD15" s="11"/>
      <c r="WOE15" s="11"/>
      <c r="WOF15" s="11"/>
      <c r="WOG15" s="11"/>
      <c r="WOH15" s="11"/>
      <c r="WOI15" s="11"/>
      <c r="WOJ15" s="11"/>
      <c r="WOK15" s="11"/>
      <c r="WOL15" s="11"/>
      <c r="WOM15" s="11"/>
      <c r="WON15" s="11"/>
      <c r="WOO15" s="11"/>
      <c r="WOP15" s="11"/>
      <c r="WOQ15" s="11"/>
      <c r="WOR15" s="11"/>
      <c r="WOS15" s="11"/>
      <c r="WOT15" s="11"/>
      <c r="WOU15" s="11"/>
      <c r="WOV15" s="11"/>
      <c r="WOW15" s="11"/>
      <c r="WOX15" s="11"/>
      <c r="WOY15" s="11"/>
      <c r="WOZ15" s="11"/>
      <c r="WPA15" s="11"/>
      <c r="WPB15" s="11"/>
      <c r="WPC15" s="11"/>
      <c r="WPD15" s="11"/>
      <c r="WPE15" s="11"/>
      <c r="WPF15" s="11"/>
      <c r="WPG15" s="11"/>
      <c r="WPH15" s="11"/>
      <c r="WPI15" s="11"/>
      <c r="WPJ15" s="11"/>
      <c r="WPK15" s="11"/>
      <c r="WPL15" s="11"/>
      <c r="WPM15" s="11"/>
      <c r="WPN15" s="11"/>
      <c r="WPO15" s="11"/>
      <c r="WPP15" s="11"/>
      <c r="WPQ15" s="11"/>
      <c r="WPR15" s="11"/>
      <c r="WPS15" s="11"/>
      <c r="WPT15" s="11"/>
      <c r="WPU15" s="11"/>
      <c r="WPV15" s="11"/>
      <c r="WPW15" s="11"/>
      <c r="WPX15" s="11"/>
      <c r="WPY15" s="11"/>
      <c r="WPZ15" s="11"/>
      <c r="WQA15" s="11"/>
      <c r="WQB15" s="11"/>
      <c r="WQC15" s="11"/>
      <c r="WQD15" s="11"/>
      <c r="WQE15" s="11"/>
      <c r="WQF15" s="11"/>
      <c r="WQG15" s="11"/>
      <c r="WQH15" s="11"/>
      <c r="WQI15" s="11"/>
      <c r="WQJ15" s="11"/>
      <c r="WQK15" s="11"/>
      <c r="WQL15" s="11"/>
      <c r="WQM15" s="11"/>
      <c r="WQN15" s="11"/>
      <c r="WQO15" s="11"/>
      <c r="WQP15" s="11"/>
      <c r="WQQ15" s="11"/>
      <c r="WQR15" s="11"/>
      <c r="WQS15" s="11"/>
      <c r="WQT15" s="11"/>
      <c r="WQU15" s="11"/>
      <c r="WQV15" s="11"/>
      <c r="WQW15" s="11"/>
      <c r="WQX15" s="11"/>
      <c r="WQY15" s="11"/>
      <c r="WQZ15" s="11"/>
      <c r="WRA15" s="11"/>
      <c r="WRB15" s="11"/>
      <c r="WRC15" s="11"/>
      <c r="WRD15" s="11"/>
      <c r="WRE15" s="11"/>
      <c r="WRF15" s="11"/>
      <c r="WRG15" s="11"/>
      <c r="WRH15" s="11"/>
      <c r="WRI15" s="11"/>
      <c r="WRJ15" s="11"/>
      <c r="WRK15" s="11"/>
      <c r="WRL15" s="11"/>
      <c r="WRM15" s="11"/>
      <c r="WRN15" s="11"/>
      <c r="WRO15" s="11"/>
      <c r="WRP15" s="11"/>
      <c r="WRQ15" s="11"/>
      <c r="WRR15" s="11"/>
      <c r="WRS15" s="11"/>
      <c r="WRT15" s="11"/>
      <c r="WRU15" s="11"/>
      <c r="WRV15" s="11"/>
      <c r="WRW15" s="11"/>
      <c r="WRX15" s="11"/>
      <c r="WRY15" s="11"/>
      <c r="WRZ15" s="11"/>
      <c r="WSA15" s="11"/>
      <c r="WSB15" s="11"/>
      <c r="WSC15" s="11"/>
      <c r="WSD15" s="11"/>
      <c r="WSE15" s="11"/>
      <c r="WSF15" s="11"/>
      <c r="WSG15" s="11"/>
      <c r="WSH15" s="11"/>
      <c r="WSI15" s="11"/>
      <c r="WSJ15" s="11"/>
      <c r="WSK15" s="11"/>
      <c r="WSL15" s="11"/>
      <c r="WSM15" s="11"/>
      <c r="WSN15" s="11"/>
      <c r="WSO15" s="11"/>
      <c r="WSP15" s="11"/>
      <c r="WSQ15" s="11"/>
      <c r="WSR15" s="11"/>
      <c r="WSS15" s="11"/>
      <c r="WST15" s="11"/>
      <c r="WSU15" s="11"/>
      <c r="WSV15" s="11"/>
      <c r="WSW15" s="11"/>
      <c r="WSX15" s="11"/>
      <c r="WSY15" s="11"/>
      <c r="WSZ15" s="11"/>
      <c r="WTA15" s="11"/>
      <c r="WTB15" s="11"/>
      <c r="WTC15" s="11"/>
      <c r="WTD15" s="11"/>
      <c r="WTE15" s="11"/>
      <c r="WTF15" s="11"/>
      <c r="WTG15" s="11"/>
      <c r="WTH15" s="11"/>
      <c r="WTI15" s="11"/>
      <c r="WTJ15" s="11"/>
      <c r="WTK15" s="11"/>
      <c r="WTL15" s="11"/>
      <c r="WTM15" s="11"/>
      <c r="WTN15" s="11"/>
      <c r="WTO15" s="11"/>
      <c r="WTP15" s="11"/>
      <c r="WTQ15" s="11"/>
      <c r="WTR15" s="11"/>
      <c r="WTS15" s="11"/>
      <c r="WTT15" s="11"/>
      <c r="WTU15" s="11"/>
      <c r="WTV15" s="11"/>
      <c r="WTW15" s="11"/>
      <c r="WTX15" s="11"/>
      <c r="WTY15" s="11"/>
      <c r="WTZ15" s="11"/>
      <c r="WUA15" s="11"/>
      <c r="WUB15" s="11"/>
      <c r="WUC15" s="11"/>
      <c r="WUD15" s="11"/>
      <c r="WUE15" s="11"/>
      <c r="WUF15" s="11"/>
      <c r="WUG15" s="11"/>
      <c r="WUH15" s="11"/>
      <c r="WUI15" s="11"/>
      <c r="WUJ15" s="11"/>
      <c r="WUK15" s="11"/>
      <c r="WUL15" s="11"/>
      <c r="WUM15" s="11"/>
      <c r="WUN15" s="11"/>
      <c r="WUO15" s="11"/>
      <c r="WUP15" s="11"/>
      <c r="WUQ15" s="11"/>
      <c r="WUR15" s="11"/>
      <c r="WUS15" s="11"/>
      <c r="WUT15" s="11"/>
      <c r="WUU15" s="11"/>
      <c r="WUV15" s="11"/>
      <c r="WUW15" s="11"/>
      <c r="WUX15" s="11"/>
      <c r="WUY15" s="11"/>
      <c r="WUZ15" s="11"/>
      <c r="WVA15" s="11"/>
      <c r="WVB15" s="11"/>
      <c r="WVC15" s="11"/>
      <c r="WVD15" s="11"/>
      <c r="WVE15" s="11"/>
      <c r="WVF15" s="11"/>
      <c r="WVG15" s="11"/>
      <c r="WVH15" s="11"/>
      <c r="WVI15" s="11"/>
      <c r="WVJ15" s="11"/>
      <c r="WVK15" s="11"/>
      <c r="WVL15" s="11"/>
      <c r="WVM15" s="11"/>
      <c r="WVN15" s="11"/>
      <c r="WVO15" s="11"/>
      <c r="WVP15" s="11"/>
      <c r="WVQ15" s="11"/>
      <c r="WVR15" s="11"/>
      <c r="WVS15" s="11"/>
      <c r="WVT15" s="11"/>
      <c r="WVU15" s="11"/>
      <c r="WVV15" s="11"/>
      <c r="WVW15" s="11"/>
      <c r="WVX15" s="11"/>
      <c r="WVY15" s="11"/>
      <c r="WVZ15" s="11"/>
      <c r="WWA15" s="11"/>
      <c r="WWB15" s="11"/>
      <c r="WWC15" s="11"/>
      <c r="WWD15" s="11"/>
      <c r="WWE15" s="11"/>
      <c r="WWF15" s="11"/>
      <c r="WWG15" s="11"/>
      <c r="WWH15" s="11"/>
      <c r="WWI15" s="11"/>
      <c r="WWJ15" s="11"/>
      <c r="WWK15" s="11"/>
      <c r="WWL15" s="11"/>
      <c r="WWM15" s="11"/>
      <c r="WWN15" s="11"/>
      <c r="WWO15" s="11"/>
      <c r="WWP15" s="11"/>
      <c r="WWQ15" s="11"/>
      <c r="WWR15" s="11"/>
      <c r="WWS15" s="11"/>
      <c r="WWT15" s="11"/>
      <c r="WWU15" s="11"/>
      <c r="WWV15" s="11"/>
      <c r="WWW15" s="11"/>
      <c r="WWX15" s="11"/>
      <c r="WWY15" s="11"/>
      <c r="WWZ15" s="11"/>
      <c r="WXA15" s="11"/>
      <c r="WXB15" s="11"/>
      <c r="WXC15" s="11"/>
      <c r="WXD15" s="11"/>
      <c r="WXE15" s="11"/>
      <c r="WXF15" s="11"/>
      <c r="WXG15" s="11"/>
      <c r="WXH15" s="11"/>
      <c r="WXI15" s="11"/>
      <c r="WXJ15" s="11"/>
      <c r="WXK15" s="11"/>
      <c r="WXL15" s="11"/>
      <c r="WXM15" s="11"/>
      <c r="WXN15" s="11"/>
      <c r="WXO15" s="11"/>
      <c r="WXP15" s="11"/>
      <c r="WXQ15" s="11"/>
      <c r="WXR15" s="11"/>
      <c r="WXS15" s="11"/>
      <c r="WXT15" s="11"/>
      <c r="WXU15" s="11"/>
      <c r="WXV15" s="11"/>
      <c r="WXW15" s="11"/>
      <c r="WXX15" s="11"/>
      <c r="WXY15" s="11"/>
      <c r="WXZ15" s="11"/>
      <c r="WYA15" s="11"/>
      <c r="WYB15" s="11"/>
      <c r="WYC15" s="11"/>
      <c r="WYD15" s="11"/>
      <c r="WYE15" s="11"/>
      <c r="WYF15" s="11"/>
      <c r="WYG15" s="11"/>
      <c r="WYH15" s="11"/>
      <c r="WYI15" s="11"/>
      <c r="WYJ15" s="11"/>
      <c r="WYK15" s="11"/>
      <c r="WYL15" s="11"/>
      <c r="WYM15" s="11"/>
      <c r="WYN15" s="11"/>
      <c r="WYO15" s="11"/>
      <c r="WYP15" s="11"/>
      <c r="WYQ15" s="11"/>
      <c r="WYR15" s="11"/>
      <c r="WYS15" s="11"/>
      <c r="WYT15" s="11"/>
      <c r="WYU15" s="11"/>
      <c r="WYV15" s="11"/>
      <c r="WYW15" s="11"/>
      <c r="WYX15" s="11"/>
      <c r="WYY15" s="11"/>
      <c r="WYZ15" s="11"/>
      <c r="WZA15" s="11"/>
      <c r="WZB15" s="11"/>
      <c r="WZC15" s="11"/>
      <c r="WZD15" s="11"/>
      <c r="WZE15" s="11"/>
      <c r="WZF15" s="11"/>
      <c r="WZG15" s="11"/>
      <c r="WZH15" s="11"/>
      <c r="WZI15" s="11"/>
      <c r="WZJ15" s="11"/>
      <c r="WZK15" s="11"/>
      <c r="WZL15" s="11"/>
      <c r="WZM15" s="11"/>
      <c r="WZN15" s="11"/>
      <c r="WZO15" s="11"/>
      <c r="WZP15" s="11"/>
      <c r="WZQ15" s="11"/>
      <c r="WZR15" s="11"/>
      <c r="WZS15" s="11"/>
      <c r="WZT15" s="11"/>
      <c r="WZU15" s="11"/>
      <c r="WZV15" s="11"/>
      <c r="WZW15" s="11"/>
      <c r="WZX15" s="11"/>
      <c r="WZY15" s="11"/>
      <c r="WZZ15" s="11"/>
      <c r="XAA15" s="11"/>
      <c r="XAB15" s="11"/>
      <c r="XAC15" s="11"/>
      <c r="XAD15" s="11"/>
      <c r="XAE15" s="11"/>
      <c r="XAF15" s="11"/>
      <c r="XAG15" s="11"/>
      <c r="XAH15" s="11"/>
      <c r="XAI15" s="11"/>
      <c r="XAJ15" s="11"/>
      <c r="XAK15" s="11"/>
      <c r="XAL15" s="11"/>
      <c r="XAM15" s="11"/>
      <c r="XAN15" s="11"/>
      <c r="XAO15" s="11"/>
      <c r="XAP15" s="11"/>
      <c r="XAQ15" s="11"/>
      <c r="XAR15" s="11"/>
      <c r="XAS15" s="11"/>
      <c r="XAT15" s="11"/>
      <c r="XAU15" s="11"/>
      <c r="XAV15" s="11"/>
      <c r="XAW15" s="11"/>
      <c r="XAX15" s="11"/>
      <c r="XAY15" s="11"/>
      <c r="XAZ15" s="11"/>
      <c r="XBA15" s="11"/>
      <c r="XBB15" s="11"/>
      <c r="XBC15" s="11"/>
      <c r="XBD15" s="11"/>
      <c r="XBE15" s="11"/>
      <c r="XBF15" s="11"/>
      <c r="XBG15" s="11"/>
      <c r="XBH15" s="11"/>
      <c r="XBI15" s="11"/>
      <c r="XBJ15" s="11"/>
      <c r="XBK15" s="11"/>
      <c r="XBL15" s="11"/>
      <c r="XBM15" s="11"/>
      <c r="XBN15" s="11"/>
      <c r="XBO15" s="11"/>
      <c r="XBP15" s="11"/>
      <c r="XBQ15" s="11"/>
      <c r="XBR15" s="11"/>
      <c r="XBS15" s="11"/>
      <c r="XBT15" s="11"/>
      <c r="XBU15" s="11"/>
      <c r="XBV15" s="11"/>
      <c r="XBW15" s="11"/>
      <c r="XBX15" s="11"/>
      <c r="XBY15" s="11"/>
      <c r="XBZ15" s="11"/>
      <c r="XCA15" s="11"/>
      <c r="XCB15" s="11"/>
      <c r="XCC15" s="11"/>
      <c r="XCD15" s="11"/>
      <c r="XCE15" s="11"/>
      <c r="XCF15" s="11"/>
      <c r="XCG15" s="11"/>
      <c r="XCH15" s="11"/>
      <c r="XCI15" s="11"/>
      <c r="XCJ15" s="11"/>
      <c r="XCK15" s="11"/>
      <c r="XCL15" s="11"/>
      <c r="XCM15" s="11"/>
      <c r="XCN15" s="11"/>
      <c r="XCO15" s="11"/>
      <c r="XCP15" s="11"/>
      <c r="XCQ15" s="11"/>
      <c r="XCR15" s="11"/>
      <c r="XCS15" s="11"/>
      <c r="XCT15" s="11"/>
      <c r="XCU15" s="11"/>
      <c r="XCV15" s="11"/>
      <c r="XCW15" s="11"/>
      <c r="XCX15" s="11"/>
      <c r="XCY15" s="11"/>
      <c r="XCZ15" s="11"/>
      <c r="XDA15" s="11"/>
      <c r="XDB15" s="11"/>
      <c r="XDC15" s="11"/>
      <c r="XDD15" s="11"/>
      <c r="XDE15" s="11"/>
      <c r="XDF15" s="11"/>
      <c r="XDG15" s="11"/>
      <c r="XDH15" s="11"/>
      <c r="XDI15" s="11"/>
      <c r="XDJ15" s="11"/>
      <c r="XDK15" s="11"/>
      <c r="XDL15" s="11"/>
      <c r="XDM15" s="11"/>
      <c r="XDN15" s="11"/>
      <c r="XDO15" s="11"/>
      <c r="XDP15" s="11"/>
      <c r="XDQ15" s="11"/>
      <c r="XDR15" s="11"/>
      <c r="XDS15" s="11"/>
      <c r="XDT15" s="11"/>
      <c r="XDU15" s="11"/>
      <c r="XDV15" s="11"/>
      <c r="XDW15" s="11"/>
      <c r="XDX15" s="11"/>
      <c r="XDY15" s="11"/>
      <c r="XDZ15" s="11"/>
      <c r="XEA15" s="11"/>
      <c r="XEB15" s="11"/>
      <c r="XEC15" s="11"/>
      <c r="XED15" s="11"/>
      <c r="XEE15" s="11"/>
      <c r="XEF15" s="11"/>
      <c r="XEG15" s="11"/>
      <c r="XEH15" s="11"/>
      <c r="XEI15" s="11"/>
      <c r="XEJ15" s="11"/>
      <c r="XEK15" s="11"/>
      <c r="XEL15" s="11"/>
      <c r="XEM15" s="11"/>
      <c r="XEN15" s="11"/>
      <c r="XEO15" s="11"/>
      <c r="XEP15" s="11"/>
      <c r="XEQ15" s="11"/>
      <c r="XER15" s="11"/>
      <c r="XES15" s="11"/>
      <c r="XET15" s="11"/>
      <c r="XEU15" s="11"/>
      <c r="XEV15" s="11"/>
      <c r="XEW15" s="11"/>
      <c r="XEX15" s="11"/>
      <c r="XEY15" s="11"/>
      <c r="XEZ15" s="11"/>
      <c r="XFA15" s="11"/>
      <c r="XFB15" s="11"/>
      <c r="XFC15" s="11"/>
      <c r="XFD15" s="11"/>
    </row>
    <row r="16" spans="1:16384">
      <c r="A16" s="11"/>
      <c r="C16" s="18" t="s">
        <v>72</v>
      </c>
      <c r="D16" s="11"/>
      <c r="E16" s="11"/>
      <c r="F16" s="11"/>
      <c r="G16" s="11"/>
      <c r="H16" s="11"/>
      <c r="I16" s="11"/>
    </row>
    <row r="17" spans="1:10">
      <c r="A17" s="11"/>
      <c r="B17" s="11"/>
      <c r="C17" s="11"/>
      <c r="D17" s="11"/>
      <c r="E17" s="11"/>
      <c r="F17" s="11"/>
      <c r="G17" s="11"/>
      <c r="H17" s="11"/>
      <c r="I17" s="11"/>
      <c r="J17" s="13"/>
    </row>
    <row r="18" spans="1:10">
      <c r="A18" s="11"/>
      <c r="D18" s="15" t="str">
        <f>Calc_Network_Cost_Alloc!$D$36</f>
        <v>System and Non-System Assets Error Check</v>
      </c>
      <c r="E18" s="11"/>
      <c r="F18" s="11"/>
      <c r="G18" s="11"/>
      <c r="H18" s="268" t="str">
        <f>Calc_Network_Cost_Alloc!$H$36</f>
        <v>Ok</v>
      </c>
      <c r="I18" s="11"/>
    </row>
    <row r="19" spans="1:10">
      <c r="A19" s="11"/>
      <c r="D19" s="15" t="str">
        <f>Calc_Network_Cost_Alloc!$D$45</f>
        <v>Land Allocation Error Check</v>
      </c>
      <c r="E19" s="11"/>
      <c r="F19" s="11"/>
      <c r="G19" s="11"/>
      <c r="H19" s="268" t="str">
        <f>Calc_Network_Cost_Alloc!$H$45</f>
        <v>Ok</v>
      </c>
      <c r="I19" s="11"/>
      <c r="J19" s="13"/>
    </row>
    <row r="20" spans="1:10">
      <c r="A20" s="11"/>
      <c r="D20" s="15" t="str">
        <f>Calc_Network_Cost_Alloc!$D$58</f>
        <v>Reallocate System Shared Assets and Remove Non-System Shared Assets Error Check</v>
      </c>
      <c r="E20" s="11"/>
      <c r="F20" s="11"/>
      <c r="G20" s="11"/>
      <c r="H20" s="268" t="str">
        <f>Calc_Network_Cost_Alloc!$H$58</f>
        <v>Ok</v>
      </c>
      <c r="I20" s="11"/>
      <c r="J20" s="13"/>
    </row>
    <row r="21" spans="1:10" s="13" customFormat="1">
      <c r="A21" s="11"/>
      <c r="D21" s="15"/>
      <c r="E21" s="11"/>
      <c r="F21" s="11"/>
      <c r="G21" s="11"/>
      <c r="H21" s="45"/>
      <c r="I21" s="11"/>
    </row>
    <row r="22" spans="1:10" s="13" customFormat="1">
      <c r="A22" s="11"/>
      <c r="D22" s="15" t="str">
        <f>Calc_Network_Cost_Alloc!$D$73</f>
        <v>Allocate Optimised Replacement Cost Across Voltages Error Check</v>
      </c>
      <c r="E22" s="11"/>
      <c r="F22" s="11"/>
      <c r="G22" s="11"/>
      <c r="H22" s="268" t="str">
        <f>Calc_Network_Cost_Alloc!$I$73</f>
        <v>Ok</v>
      </c>
      <c r="I22" s="11"/>
    </row>
    <row r="23" spans="1:10" s="13" customFormat="1">
      <c r="A23" s="11"/>
      <c r="D23" s="15" t="str">
        <f>Output_Cost_of_Supply!$D$33</f>
        <v>Cost Error Check</v>
      </c>
      <c r="E23" s="11"/>
      <c r="F23" s="11"/>
      <c r="G23" s="11"/>
      <c r="H23" s="268" t="str">
        <f>Output_Cost_of_Supply!$G$33</f>
        <v>Ok</v>
      </c>
      <c r="I23" s="11"/>
    </row>
    <row r="24" spans="1:10" s="13" customFormat="1">
      <c r="A24" s="11"/>
      <c r="D24" s="15" t="str">
        <f>Output_Cost_of_Supply!$D$55</f>
        <v>Allocation Error Check</v>
      </c>
      <c r="E24" s="11"/>
      <c r="F24" s="11"/>
      <c r="G24" s="11"/>
      <c r="H24" s="268" t="str">
        <f>Output_Cost_of_Supply!$G$55</f>
        <v>Ok</v>
      </c>
      <c r="I24" s="11"/>
    </row>
    <row r="25" spans="1:10" s="13" customFormat="1">
      <c r="A25" s="11"/>
      <c r="D25" s="15" t="str">
        <f>Output_Cost_of_Supply!$D$34</f>
        <v>Network Cost Error Check</v>
      </c>
      <c r="E25" s="11"/>
      <c r="F25" s="11"/>
      <c r="G25" s="11"/>
      <c r="H25" s="268" t="str">
        <f>Output_Cost_of_Supply!$N$34</f>
        <v>Ok</v>
      </c>
      <c r="I25" s="11"/>
    </row>
    <row r="26" spans="1:10" s="13" customFormat="1">
      <c r="A26" s="11"/>
      <c r="D26" s="15"/>
      <c r="E26" s="11"/>
      <c r="F26" s="11"/>
      <c r="G26" s="11"/>
      <c r="H26" s="45"/>
      <c r="I26" s="11"/>
    </row>
    <row r="27" spans="1:10" s="13" customFormat="1">
      <c r="A27" s="11"/>
      <c r="D27" s="62" t="s">
        <v>73</v>
      </c>
      <c r="E27" s="11"/>
      <c r="F27" s="11"/>
      <c r="G27" s="11"/>
      <c r="H27" s="354">
        <f>COUNTIF($H$18:$H$26,Error)</f>
        <v>0</v>
      </c>
      <c r="I27" s="11"/>
    </row>
    <row r="28" spans="1:10" s="13" customFormat="1">
      <c r="A28" s="11"/>
      <c r="B28" s="39"/>
      <c r="C28" s="11"/>
      <c r="D28" s="63"/>
      <c r="E28" s="11"/>
      <c r="F28" s="11"/>
      <c r="G28" s="11"/>
      <c r="H28" s="46"/>
      <c r="I28" s="11"/>
    </row>
    <row r="29" spans="1:10">
      <c r="C29" s="18" t="s">
        <v>74</v>
      </c>
      <c r="H29" s="354">
        <f>H27</f>
        <v>0</v>
      </c>
    </row>
    <row r="31" spans="1:10" s="7" customFormat="1" ht="15.6">
      <c r="B31" s="7" t="s">
        <v>80</v>
      </c>
    </row>
  </sheetData>
  <conditionalFormatting sqref="B8 B12:B13 B2 B5:B6">
    <cfRule type="cellIs" dxfId="2" priority="4" operator="notEqual">
      <formula>"No Errors Found"</formula>
    </cfRule>
  </conditionalFormatting>
  <conditionalFormatting sqref="H18:H20">
    <cfRule type="expression" dxfId="1" priority="2">
      <formula>H18&lt;&gt;Ok</formula>
    </cfRule>
  </conditionalFormatting>
  <conditionalFormatting sqref="H22:H25">
    <cfRule type="expression" dxfId="0" priority="1">
      <formula>H22&lt;&gt;Ok</formula>
    </cfRule>
  </conditionalFormatting>
  <hyperlinks>
    <hyperlink ref="B4" location="'ToC'!$A$1" tooltip="Go To Table of Contents" display="='ToC'!B1" xr:uid="{00000000-0004-0000-1000-000000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O29"/>
  <sheetViews>
    <sheetView showGridLines="0" zoomScaleNormal="100" workbookViewId="0">
      <pane xSplit="1" ySplit="4" topLeftCell="B5" activePane="bottomRight" state="frozen"/>
      <selection activeCell="D17" sqref="D17"/>
      <selection pane="topRight" activeCell="D17" sqref="D17"/>
      <selection pane="bottomLeft" activeCell="D17" sqref="D17"/>
      <selection pane="bottomRight" activeCell="B5" sqref="B5"/>
    </sheetView>
  </sheetViews>
  <sheetFormatPr defaultColWidth="0" defaultRowHeight="10.199999999999999"/>
  <cols>
    <col min="1" max="3" width="2.41015625" style="456" customWidth="1"/>
    <col min="4" max="4" width="32.29296875" style="456" customWidth="1"/>
    <col min="5" max="8" width="9.29296875" style="456" customWidth="1"/>
    <col min="9" max="9" width="40" style="456" customWidth="1"/>
    <col min="10" max="15" width="9.29296875" style="456" hidden="1" customWidth="1"/>
    <col min="16" max="16384" width="8" style="456" hidden="1"/>
  </cols>
  <sheetData>
    <row r="1" spans="2:9" ht="18.899999999999999">
      <c r="B1" s="455" t="s">
        <v>96</v>
      </c>
    </row>
    <row r="2" spans="2:9">
      <c r="B2" s="457" t="str">
        <f>Title_Msg</f>
        <v>No Errors Found</v>
      </c>
    </row>
    <row r="3" spans="2:9" ht="12.9">
      <c r="B3" s="465" t="s">
        <v>548</v>
      </c>
      <c r="C3" s="458"/>
      <c r="D3" s="458"/>
      <c r="E3" s="459"/>
    </row>
    <row r="4" spans="2:9" ht="12.3">
      <c r="B4" s="460" t="str">
        <f>Model_Name</f>
        <v>Power and Water Corporation (PWC) Network Pricing Model</v>
      </c>
    </row>
    <row r="6" spans="2:9" s="461" customFormat="1" ht="15">
      <c r="B6" s="461" t="str">
        <f>B1</f>
        <v>Table of Contents</v>
      </c>
    </row>
    <row r="7" spans="2:9" s="462" customFormat="1" ht="4.5" customHeight="1"/>
    <row r="8" spans="2:9" s="463" customFormat="1" ht="14.1">
      <c r="C8" s="463" t="s">
        <v>551</v>
      </c>
    </row>
    <row r="9" spans="2:9" s="462" customFormat="1" ht="4.5" customHeight="1"/>
    <row r="10" spans="2:9" s="462" customFormat="1" ht="20.25" customHeight="1">
      <c r="D10" s="464" t="str">
        <f>Sources!$B$1</f>
        <v>Sources</v>
      </c>
      <c r="E10" s="483" t="s">
        <v>453</v>
      </c>
      <c r="F10" s="483"/>
      <c r="G10" s="483"/>
      <c r="H10" s="483"/>
    </row>
    <row r="11" spans="2:9" s="462" customFormat="1" ht="21" customHeight="1">
      <c r="D11" s="464" t="str">
        <f>Inputs_General!B1</f>
        <v>Inputs | General</v>
      </c>
      <c r="E11" s="483" t="s">
        <v>98</v>
      </c>
      <c r="F11" s="483"/>
      <c r="G11" s="483"/>
      <c r="H11" s="483"/>
    </row>
    <row r="12" spans="2:9" s="462" customFormat="1" ht="21.4" customHeight="1">
      <c r="D12" s="475" t="str">
        <f>'Inputs_&gt;750MWh'!B1</f>
        <v>Inputs | Data for customers &gt;750 MWh</v>
      </c>
      <c r="E12" s="484" t="s">
        <v>454</v>
      </c>
      <c r="F12" s="484"/>
      <c r="G12" s="484"/>
      <c r="H12" s="484"/>
      <c r="I12" s="474" t="s">
        <v>554</v>
      </c>
    </row>
    <row r="13" spans="2:9" s="462" customFormat="1" ht="80.25" customHeight="1">
      <c r="D13" s="464" t="str">
        <f>Calc_Cost_of_Supply!B1</f>
        <v>Calc | Cost of supply</v>
      </c>
      <c r="E13" s="483" t="s">
        <v>102</v>
      </c>
      <c r="F13" s="483"/>
      <c r="G13" s="483"/>
      <c r="H13" s="483"/>
    </row>
    <row r="14" spans="2:9" s="462" customFormat="1" ht="30.4" customHeight="1">
      <c r="D14" s="464" t="str">
        <f>Calc_A_SA_Costs!B1</f>
        <v>Calc | Avoidable &amp; stand-alone costs</v>
      </c>
      <c r="E14" s="483" t="s">
        <v>103</v>
      </c>
      <c r="F14" s="483"/>
      <c r="G14" s="483"/>
      <c r="H14" s="483"/>
    </row>
    <row r="15" spans="2:9" s="462" customFormat="1" ht="46.15" customHeight="1">
      <c r="D15" s="464" t="str">
        <f>Calc_LRMC!B1</f>
        <v>Calc | Long run marginal cost</v>
      </c>
      <c r="E15" s="483" t="s">
        <v>496</v>
      </c>
      <c r="F15" s="483"/>
      <c r="G15" s="483"/>
      <c r="H15" s="483"/>
    </row>
    <row r="16" spans="2:9" s="462" customFormat="1" ht="30.75" customHeight="1">
      <c r="D16" s="464" t="str">
        <f>Calc_Network_Cost_Alloc!B1</f>
        <v>Calc | Network cost allocation</v>
      </c>
      <c r="E16" s="483" t="s">
        <v>105</v>
      </c>
      <c r="F16" s="483"/>
      <c r="G16" s="483"/>
      <c r="H16" s="483"/>
    </row>
    <row r="17" spans="2:9" s="462" customFormat="1" ht="23.65" customHeight="1">
      <c r="D17" s="464" t="str">
        <f>Output_AER_Compliance!B1</f>
        <v>Output | AER compliance</v>
      </c>
      <c r="E17" s="483" t="s">
        <v>99</v>
      </c>
      <c r="F17" s="483"/>
      <c r="G17" s="483"/>
      <c r="H17" s="483"/>
    </row>
    <row r="18" spans="2:9" s="462" customFormat="1" ht="31.15" customHeight="1">
      <c r="D18" s="464" t="str">
        <f>Output_Cost_of_Supply!B1</f>
        <v>Output | Cost of supply</v>
      </c>
      <c r="E18" s="483" t="s">
        <v>101</v>
      </c>
      <c r="F18" s="483"/>
      <c r="G18" s="483"/>
      <c r="H18" s="483"/>
    </row>
    <row r="19" spans="2:9" s="462" customFormat="1" ht="31.15" customHeight="1">
      <c r="D19" s="475" t="str">
        <f>'Output_Impact&lt;750'!B1</f>
        <v>Output | Impact &lt;750</v>
      </c>
      <c r="E19" s="484" t="s">
        <v>556</v>
      </c>
      <c r="F19" s="484"/>
      <c r="G19" s="484"/>
      <c r="H19" s="484"/>
      <c r="I19" s="474" t="s">
        <v>554</v>
      </c>
    </row>
    <row r="20" spans="2:9" s="462" customFormat="1" ht="31.15" customHeight="1">
      <c r="D20" s="475" t="str">
        <f>'Output_Impact&gt;750'!B1</f>
        <v>Output | Impact &gt;750</v>
      </c>
      <c r="E20" s="484" t="s">
        <v>557</v>
      </c>
      <c r="F20" s="484"/>
      <c r="G20" s="484"/>
      <c r="H20" s="484"/>
      <c r="I20" s="474" t="s">
        <v>554</v>
      </c>
    </row>
    <row r="21" spans="2:9" s="462" customFormat="1" ht="30.75" customHeight="1">
      <c r="D21" s="464" t="str">
        <f>'Output_Tariff_Schedules_No GST'!B1</f>
        <v>Output | Tariff schedules (no GST)</v>
      </c>
      <c r="E21" s="483" t="s">
        <v>100</v>
      </c>
      <c r="F21" s="483"/>
      <c r="G21" s="483"/>
      <c r="H21" s="483"/>
    </row>
    <row r="22" spans="2:9" s="462" customFormat="1" ht="33.4" customHeight="1">
      <c r="D22" s="464" t="str">
        <f>Output_Tariff_Schedules_GST!B1</f>
        <v>Output | Tariff schedules (GST)</v>
      </c>
      <c r="E22" s="483" t="s">
        <v>100</v>
      </c>
      <c r="F22" s="483"/>
      <c r="G22" s="483"/>
      <c r="H22" s="483"/>
    </row>
    <row r="23" spans="2:9" s="462" customFormat="1" ht="11.25" customHeight="1"/>
    <row r="24" spans="2:9" s="463" customFormat="1" ht="14.1">
      <c r="C24" s="463" t="s">
        <v>549</v>
      </c>
    </row>
    <row r="25" spans="2:9" s="462" customFormat="1" ht="4.5" customHeight="1"/>
    <row r="26" spans="2:9" ht="21.4" customHeight="1">
      <c r="D26" s="464" t="str">
        <f>[1]Lookup!B1</f>
        <v>Model Lookups</v>
      </c>
      <c r="E26" s="483" t="s">
        <v>106</v>
      </c>
      <c r="F26" s="483"/>
      <c r="G26" s="483"/>
      <c r="H26" s="483"/>
    </row>
    <row r="27" spans="2:9">
      <c r="D27" s="458" t="str">
        <f>Checks!B1</f>
        <v>Checks</v>
      </c>
    </row>
    <row r="28" spans="2:9" s="462" customFormat="1" ht="4.5" customHeight="1"/>
    <row r="29" spans="2:9" s="461" customFormat="1" ht="15">
      <c r="B29" s="461" t="s">
        <v>550</v>
      </c>
    </row>
  </sheetData>
  <mergeCells count="14">
    <mergeCell ref="E26:H26"/>
    <mergeCell ref="E19:H19"/>
    <mergeCell ref="E16:H16"/>
    <mergeCell ref="E17:H17"/>
    <mergeCell ref="E18:H18"/>
    <mergeCell ref="E20:H20"/>
    <mergeCell ref="E21:H21"/>
    <mergeCell ref="E22:H22"/>
    <mergeCell ref="E15:H15"/>
    <mergeCell ref="E10:H10"/>
    <mergeCell ref="E11:H11"/>
    <mergeCell ref="E12:H12"/>
    <mergeCell ref="E13:H13"/>
    <mergeCell ref="E14:H14"/>
  </mergeCells>
  <conditionalFormatting sqref="B2">
    <cfRule type="cellIs" dxfId="28" priority="1" operator="notEqual">
      <formula>"No Errors Found"</formula>
    </cfRule>
  </conditionalFormatting>
  <hyperlinks>
    <hyperlink ref="D26" location="Lookup!A1" display="Lookup!A1" xr:uid="{00000000-0004-0000-0100-000000000000}"/>
    <hyperlink ref="B3:D3" location="Cover!A1" display="Go to Cover Sheet" xr:uid="{00000000-0004-0000-0100-000001000000}"/>
    <hyperlink ref="C8" location="SC_General!A1" display="SC_General!A1" xr:uid="{00000000-0004-0000-0100-000002000000}"/>
    <hyperlink ref="D10" location="'Sources'!$A$1" tooltip="Go To Sources" display="='Sources'!B1" xr:uid="{00000000-0004-0000-0100-000003000000}"/>
    <hyperlink ref="D11" location="'Inputs_General'!$A$1" tooltip="Go To Inputs - General" display="='Inputs_General'!B1" xr:uid="{00000000-0004-0000-0100-000004000000}"/>
    <hyperlink ref="D12" location="'Inputs_&gt;750MWh'!A1" tooltip="Go To Input Data for Pricing Proposal: Cost of Supply Model" display="'Inputs_&gt;750MWh'!A1" xr:uid="{00000000-0004-0000-0100-000005000000}"/>
    <hyperlink ref="D17" location="Output_AER_Compliance!A1" tooltip="Go To Compliance Modelling Summary" display="Output_AER_Compliance!A1" xr:uid="{00000000-0004-0000-0100-000006000000}"/>
    <hyperlink ref="D13" location="Calc_Cost_of_Supply!A1" tooltip="Go To Cost of Supply" display="Calc_Cost_of_Supply!A1" xr:uid="{00000000-0004-0000-0100-000007000000}"/>
    <hyperlink ref="D18" location="Output_Cost_of_Supply!A1" tooltip="Go To Cost of Supply Summary" display="Output_Cost_of_Supply!A1" xr:uid="{00000000-0004-0000-0100-000008000000}"/>
    <hyperlink ref="D21" location="'Output_Tariff_Schedules_No GST'!A1" tooltip="Go To Tariff Schedules (No GST)" display="'Output_Tariff_Schedules_No GST'!A1" xr:uid="{00000000-0004-0000-0100-000009000000}"/>
    <hyperlink ref="D22" location="Output_Tariff_Schedules_GST!A1" tooltip="Go To Tariff Schedules (GST)" display="Output_Tariff_Schedules_GST!A1" xr:uid="{00000000-0004-0000-0100-00000A000000}"/>
    <hyperlink ref="D14" location="Calc_A_SA_Costs!A1" tooltip="Go To Avoidable &amp; Stand-Alone Costs" display="Calc_A_SA_Costs!A1" xr:uid="{00000000-0004-0000-0100-00000B000000}"/>
    <hyperlink ref="D15" location="Calc_LRMC!A1" tooltip="Go To LRMC" display="Calc_LRMC!A1" xr:uid="{00000000-0004-0000-0100-00000C000000}"/>
    <hyperlink ref="D16" location="Calc_Network_Cost_Alloc!A1" tooltip="Go To Network Cost Allocation" display="Calc_Network_Cost_Alloc!A1" xr:uid="{00000000-0004-0000-0100-00000D000000}"/>
    <hyperlink ref="D20" location="'Impact&gt;750'!$A$1" tooltip="Go To Impact &gt;750" display="='Impact&gt;750'!B1" xr:uid="{00000000-0004-0000-0100-00000E000000}"/>
    <hyperlink ref="D27" location="'Checks'!$A$1" tooltip="Go To Checks" display="='Checks'!B1" xr:uid="{00000000-0004-0000-0100-00000F000000}"/>
    <hyperlink ref="B3" location="Cover!A1" display="Go to Cover Sheet" xr:uid="{00000000-0004-0000-0100-000010000000}"/>
    <hyperlink ref="D19" location="'Output_Impact&lt;750'!A1" tooltip="Go To Impact &gt;750" display="'Output_Impact&lt;750'!A1" xr:uid="{00000000-0004-0000-0100-000011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H127"/>
  <sheetViews>
    <sheetView showGridLines="0" zoomScaleNormal="100" workbookViewId="0">
      <pane xSplit="1" ySplit="5" topLeftCell="B6" activePane="bottomRight" state="frozen"/>
      <selection pane="topRight"/>
      <selection pane="bottomLeft"/>
      <selection pane="bottomRight" activeCell="B6" sqref="B6"/>
    </sheetView>
  </sheetViews>
  <sheetFormatPr defaultColWidth="0" defaultRowHeight="13.15" customHeight="1" zeroHeight="1"/>
  <cols>
    <col min="1" max="4" width="2.703125" style="13" customWidth="1"/>
    <col min="5" max="5" width="120.703125" style="13" customWidth="1"/>
    <col min="6" max="6" width="10.703125" style="13" customWidth="1"/>
    <col min="7" max="8" width="10.703125" style="13" hidden="1" customWidth="1"/>
    <col min="9" max="16384" width="9.1171875" style="13" hidden="1"/>
  </cols>
  <sheetData>
    <row r="1" spans="2:5" ht="20.399999999999999">
      <c r="B1" s="8" t="s">
        <v>97</v>
      </c>
    </row>
    <row r="2" spans="2:5" ht="11.25" customHeight="1">
      <c r="B2" s="72" t="str">
        <f>Title_Msg</f>
        <v>No Errors Found</v>
      </c>
    </row>
    <row r="3" spans="2:5" ht="12.9">
      <c r="B3" s="71" t="str">
        <f>Model_Name</f>
        <v>Power and Water Corporation (PWC) Network Pricing Model</v>
      </c>
    </row>
    <row r="4" spans="2:5" ht="12.9">
      <c r="B4" s="337" t="str">
        <f>TOC!$B$1</f>
        <v>Table of Contents</v>
      </c>
    </row>
    <row r="5" spans="2:5" ht="12.9"/>
    <row r="6" spans="2:5" ht="12.9"/>
    <row r="7" spans="2:5" ht="14.4">
      <c r="C7" s="485" t="s">
        <v>107</v>
      </c>
      <c r="D7" s="485"/>
      <c r="E7" s="485"/>
    </row>
    <row r="8" spans="2:5" ht="12.9"/>
    <row r="9" spans="2:5" ht="12.9">
      <c r="D9" s="486" t="s">
        <v>108</v>
      </c>
      <c r="E9" s="486"/>
    </row>
    <row r="10" spans="2:5" ht="38.700000000000003">
      <c r="E10" s="437" t="s">
        <v>109</v>
      </c>
    </row>
    <row r="11" spans="2:5" ht="12.9">
      <c r="E11" s="14"/>
    </row>
    <row r="12" spans="2:5" ht="12.9">
      <c r="D12" s="486" t="s">
        <v>110</v>
      </c>
      <c r="E12" s="486"/>
    </row>
    <row r="13" spans="2:5" ht="12.9">
      <c r="E13" s="14" t="s">
        <v>111</v>
      </c>
    </row>
    <row r="14" spans="2:5" ht="12.9">
      <c r="E14" s="14"/>
    </row>
    <row r="15" spans="2:5" ht="12.9">
      <c r="E15" s="14"/>
    </row>
    <row r="16" spans="2:5" ht="12.9">
      <c r="E16" s="14"/>
    </row>
    <row r="17" spans="5:5" ht="12.9">
      <c r="E17" s="14"/>
    </row>
    <row r="18" spans="5:5" ht="12.9">
      <c r="E18" s="14"/>
    </row>
    <row r="19" spans="5:5" ht="12.9">
      <c r="E19" s="14"/>
    </row>
    <row r="20" spans="5:5" ht="12.9">
      <c r="E20" s="14"/>
    </row>
    <row r="21" spans="5:5" ht="12.9">
      <c r="E21" s="14"/>
    </row>
    <row r="22" spans="5:5" ht="12.9">
      <c r="E22" s="14"/>
    </row>
    <row r="23" spans="5:5" ht="12.9">
      <c r="E23" s="14"/>
    </row>
    <row r="24" spans="5:5" ht="12.9">
      <c r="E24" s="14"/>
    </row>
    <row r="25" spans="5:5" ht="12.9">
      <c r="E25" s="14"/>
    </row>
    <row r="26" spans="5:5" ht="12.9">
      <c r="E26" s="14"/>
    </row>
    <row r="27" spans="5:5" ht="12.9">
      <c r="E27" s="14"/>
    </row>
    <row r="28" spans="5:5" ht="12.9">
      <c r="E28" s="14"/>
    </row>
    <row r="29" spans="5:5" ht="12.9">
      <c r="E29" s="14"/>
    </row>
    <row r="30" spans="5:5" ht="12.9">
      <c r="E30" s="14"/>
    </row>
    <row r="31" spans="5:5" ht="12.9">
      <c r="E31" s="14"/>
    </row>
    <row r="32" spans="5:5" ht="12.9">
      <c r="E32" s="14"/>
    </row>
    <row r="33" spans="5:5" ht="12.9">
      <c r="E33" s="14"/>
    </row>
    <row r="34" spans="5:5" ht="12.9">
      <c r="E34" s="14"/>
    </row>
    <row r="35" spans="5:5" ht="12.9">
      <c r="E35" s="14"/>
    </row>
    <row r="36" spans="5:5" ht="12.9">
      <c r="E36" s="14"/>
    </row>
    <row r="37" spans="5:5" ht="12.9">
      <c r="E37" s="14"/>
    </row>
    <row r="38" spans="5:5" ht="12.9">
      <c r="E38" s="14"/>
    </row>
    <row r="39" spans="5:5" ht="12.9">
      <c r="E39" s="14"/>
    </row>
    <row r="40" spans="5:5" ht="12.9">
      <c r="E40" s="14"/>
    </row>
    <row r="41" spans="5:5" ht="12.9">
      <c r="E41" s="14"/>
    </row>
    <row r="42" spans="5:5" ht="12.9">
      <c r="E42" s="14"/>
    </row>
    <row r="43" spans="5:5" ht="12.9">
      <c r="E43" s="14"/>
    </row>
    <row r="44" spans="5:5" ht="12.9">
      <c r="E44" s="14"/>
    </row>
    <row r="45" spans="5:5" ht="12.9">
      <c r="E45" s="14"/>
    </row>
    <row r="46" spans="5:5" ht="12.9">
      <c r="E46" s="14"/>
    </row>
    <row r="47" spans="5:5" ht="12.9">
      <c r="E47" s="14"/>
    </row>
    <row r="48" spans="5:5" ht="12.9">
      <c r="E48" s="437" t="s">
        <v>112</v>
      </c>
    </row>
    <row r="49" spans="5:5" ht="12.9"/>
    <row r="50" spans="5:5" ht="25.8">
      <c r="E50" s="437" t="s">
        <v>113</v>
      </c>
    </row>
    <row r="51" spans="5:5" ht="12.9"/>
    <row r="52" spans="5:5" ht="25.8">
      <c r="E52" s="437" t="s">
        <v>114</v>
      </c>
    </row>
    <row r="53" spans="5:5" ht="12.9"/>
    <row r="54" spans="5:5" ht="12.9">
      <c r="E54" s="437" t="s">
        <v>115</v>
      </c>
    </row>
    <row r="55" spans="5:5" ht="12.9"/>
    <row r="56" spans="5:5" ht="12.9">
      <c r="E56" s="437" t="s">
        <v>116</v>
      </c>
    </row>
    <row r="57" spans="5:5" ht="12.9"/>
    <row r="58" spans="5:5" ht="14.7">
      <c r="E58" s="437" t="s">
        <v>129</v>
      </c>
    </row>
    <row r="59" spans="5:5" ht="12.9"/>
    <row r="60" spans="5:5" ht="14.7">
      <c r="E60" s="437" t="s">
        <v>130</v>
      </c>
    </row>
    <row r="61" spans="5:5" ht="12.9"/>
    <row r="62" spans="5:5" ht="27.6">
      <c r="E62" s="437" t="s">
        <v>131</v>
      </c>
    </row>
    <row r="63" spans="5:5" ht="12.9">
      <c r="E63" s="14"/>
    </row>
    <row r="64" spans="5:5" ht="12.9">
      <c r="E64" s="14"/>
    </row>
    <row r="65" spans="5:5" ht="12.9">
      <c r="E65" s="14"/>
    </row>
    <row r="66" spans="5:5" ht="12.9">
      <c r="E66" s="14"/>
    </row>
    <row r="67" spans="5:5" ht="12.9">
      <c r="E67" s="14"/>
    </row>
    <row r="68" spans="5:5" ht="12.9">
      <c r="E68" s="14"/>
    </row>
    <row r="69" spans="5:5" ht="12.9">
      <c r="E69" s="14"/>
    </row>
    <row r="70" spans="5:5" ht="12.9">
      <c r="E70" s="14"/>
    </row>
    <row r="71" spans="5:5" ht="12.9">
      <c r="E71" s="14"/>
    </row>
    <row r="72" spans="5:5" ht="12.9">
      <c r="E72" s="14"/>
    </row>
    <row r="73" spans="5:5" ht="12.9">
      <c r="E73" s="14"/>
    </row>
    <row r="74" spans="5:5" ht="12.9">
      <c r="E74" s="14"/>
    </row>
    <row r="75" spans="5:5" ht="64.5">
      <c r="E75" s="437" t="s">
        <v>117</v>
      </c>
    </row>
    <row r="76" spans="5:5" ht="12.9">
      <c r="E76" s="14"/>
    </row>
    <row r="77" spans="5:5" ht="25.8">
      <c r="E77" s="437" t="s">
        <v>118</v>
      </c>
    </row>
    <row r="78" spans="5:5" ht="12.9">
      <c r="E78" s="14"/>
    </row>
    <row r="79" spans="5:5" ht="51.6">
      <c r="E79" s="437" t="s">
        <v>497</v>
      </c>
    </row>
    <row r="80" spans="5:5" ht="12.9">
      <c r="E80" s="14"/>
    </row>
    <row r="81" spans="4:5" ht="12.9">
      <c r="E81" s="14" t="s">
        <v>119</v>
      </c>
    </row>
    <row r="82" spans="4:5" ht="12.9">
      <c r="E82" s="14"/>
    </row>
    <row r="83" spans="4:5" ht="14.7">
      <c r="E83" s="14" t="s">
        <v>132</v>
      </c>
    </row>
    <row r="84" spans="4:5" ht="12.9">
      <c r="E84" s="14"/>
    </row>
    <row r="85" spans="4:5" ht="40.5">
      <c r="E85" s="437" t="s">
        <v>133</v>
      </c>
    </row>
    <row r="86" spans="4:5" ht="12.9">
      <c r="E86" s="14"/>
    </row>
    <row r="87" spans="4:5" ht="12.9">
      <c r="D87" s="486" t="s">
        <v>120</v>
      </c>
      <c r="E87" s="486"/>
    </row>
    <row r="88" spans="4:5" ht="12.9">
      <c r="E88" s="14"/>
    </row>
    <row r="89" spans="4:5" ht="12.9">
      <c r="E89" s="14" t="s">
        <v>121</v>
      </c>
    </row>
    <row r="90" spans="4:5" ht="12.9">
      <c r="E90" s="14" t="s">
        <v>122</v>
      </c>
    </row>
    <row r="91" spans="4:5" ht="12.9">
      <c r="E91" s="14" t="s">
        <v>123</v>
      </c>
    </row>
    <row r="92" spans="4:5" ht="25.8">
      <c r="E92" s="437" t="s">
        <v>124</v>
      </c>
    </row>
    <row r="93" spans="4:5" ht="12.9">
      <c r="E93" s="14"/>
    </row>
    <row r="94" spans="4:5" ht="25.8">
      <c r="E94" s="437" t="s">
        <v>125</v>
      </c>
    </row>
    <row r="95" spans="4:5" ht="12.9">
      <c r="E95" s="437"/>
    </row>
    <row r="96" spans="4:5" ht="51.6">
      <c r="E96" s="437" t="s">
        <v>126</v>
      </c>
    </row>
    <row r="97" spans="4:5" ht="12.9">
      <c r="E97" s="437"/>
    </row>
    <row r="98" spans="4:5" ht="12.9">
      <c r="D98" s="486" t="s">
        <v>127</v>
      </c>
      <c r="E98" s="486"/>
    </row>
    <row r="99" spans="4:5" ht="12.9">
      <c r="E99" s="437"/>
    </row>
    <row r="100" spans="4:5" ht="25.8">
      <c r="E100" s="437" t="s">
        <v>128</v>
      </c>
    </row>
    <row r="101" spans="4:5" ht="12.9">
      <c r="E101" s="14"/>
    </row>
    <row r="102" spans="4:5" ht="12.9"/>
    <row r="103" spans="4:5" ht="12.9"/>
    <row r="104" spans="4:5" ht="12.9" hidden="1"/>
    <row r="105" spans="4:5" ht="12.9" hidden="1"/>
    <row r="106" spans="4:5" ht="12.9" hidden="1"/>
    <row r="107" spans="4:5" ht="12.9" hidden="1"/>
    <row r="108" spans="4:5" ht="12.9" hidden="1"/>
    <row r="109" spans="4:5" ht="12.9" hidden="1"/>
    <row r="110" spans="4:5" ht="12.9" hidden="1"/>
    <row r="111" spans="4:5" ht="12.9" hidden="1"/>
    <row r="112" spans="4:5" ht="12.9" hidden="1"/>
    <row r="113" ht="12.9" hidden="1"/>
    <row r="114" ht="12.9" hidden="1"/>
    <row r="115" ht="12.9" hidden="1"/>
    <row r="116" ht="12.9" hidden="1"/>
    <row r="117" ht="12.9" hidden="1"/>
    <row r="118" ht="12.9" hidden="1"/>
    <row r="119" ht="12.9" hidden="1"/>
    <row r="120" ht="12.9" hidden="1"/>
    <row r="121" ht="12.9" hidden="1"/>
    <row r="122" ht="12.9" hidden="1"/>
    <row r="123" ht="12.9" hidden="1"/>
    <row r="124" ht="12.9" hidden="1"/>
    <row r="125" ht="12.9" hidden="1"/>
    <row r="126" ht="12.9"/>
    <row r="127" ht="12.9"/>
  </sheetData>
  <mergeCells count="5">
    <mergeCell ref="C7:E7"/>
    <mergeCell ref="D9:E9"/>
    <mergeCell ref="D12:E12"/>
    <mergeCell ref="D87:E87"/>
    <mergeCell ref="D98:E98"/>
  </mergeCells>
  <conditionalFormatting sqref="B2">
    <cfRule type="cellIs" dxfId="27" priority="1" operator="notEqual">
      <formula>"No Errors Found"</formula>
    </cfRule>
  </conditionalFormatting>
  <hyperlinks>
    <hyperlink ref="B4" location="'ToC'!$A$1" tooltip="Go To Table of Contents" display="='ToC'!B1" xr:uid="{00000000-0004-0000-0200-000000000000}"/>
  </hyperlinks>
  <pageMargins left="0.7" right="0.7" top="0.75" bottom="0.75" header="0.3" footer="0.3"/>
  <pageSetup paperSize="9" scale="77"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sheetPr>
  <dimension ref="A1:AL265"/>
  <sheetViews>
    <sheetView showGridLines="0" zoomScaleNormal="100" workbookViewId="0">
      <pane xSplit="5" ySplit="5" topLeftCell="F6" activePane="bottomRight" state="frozen"/>
      <selection activeCell="I9" sqref="I9"/>
      <selection pane="topRight" activeCell="I9" sqref="I9"/>
      <selection pane="bottomLeft" activeCell="I9" sqref="I9"/>
      <selection pane="bottomRight" activeCell="F6" sqref="F6"/>
    </sheetView>
  </sheetViews>
  <sheetFormatPr defaultColWidth="9.1171875" defaultRowHeight="12.75" customHeight="1"/>
  <cols>
    <col min="1" max="4" width="2.703125" style="13" customWidth="1"/>
    <col min="5" max="5" width="25.703125" style="13" customWidth="1"/>
    <col min="6" max="6" width="12.41015625" style="13" customWidth="1"/>
    <col min="7" max="22" width="12.703125" style="13" customWidth="1"/>
    <col min="23" max="23" width="9.1171875" style="13"/>
    <col min="24" max="30" width="12.703125" style="13" customWidth="1"/>
    <col min="31" max="31" width="9.1171875" style="13"/>
    <col min="32" max="38" width="12.703125" style="13" customWidth="1"/>
    <col min="39" max="16384" width="9.1171875" style="13"/>
  </cols>
  <sheetData>
    <row r="1" spans="2:38" ht="20.399999999999999">
      <c r="B1" s="8" t="s">
        <v>452</v>
      </c>
    </row>
    <row r="2" spans="2:38" ht="11.25" customHeight="1">
      <c r="B2" s="72" t="str">
        <f>Title_Msg</f>
        <v>No Errors Found</v>
      </c>
    </row>
    <row r="3" spans="2:38" ht="12.9">
      <c r="B3" s="71" t="str">
        <f>Model_Name</f>
        <v>Power and Water Corporation (PWC) Network Pricing Model</v>
      </c>
    </row>
    <row r="4" spans="2:38" ht="12.9">
      <c r="B4" s="337" t="str">
        <f>TOC!$B$1</f>
        <v>Table of Contents</v>
      </c>
    </row>
    <row r="7" spans="2:38" s="7" customFormat="1" ht="15.6">
      <c r="B7" s="7" t="s">
        <v>166</v>
      </c>
    </row>
    <row r="9" spans="2:38" ht="12.75" customHeight="1">
      <c r="C9" s="14" t="s">
        <v>167</v>
      </c>
      <c r="F9" s="109" t="s">
        <v>159</v>
      </c>
    </row>
    <row r="10" spans="2:38" ht="12.75" customHeight="1">
      <c r="C10" s="14" t="s">
        <v>369</v>
      </c>
      <c r="F10" s="118">
        <v>0.1</v>
      </c>
    </row>
    <row r="12" spans="2:38" s="7" customFormat="1" ht="15.6">
      <c r="B12" s="7" t="s">
        <v>134</v>
      </c>
    </row>
    <row r="13" spans="2:38" ht="13.2" thickBot="1">
      <c r="E13" s="14"/>
    </row>
    <row r="14" spans="2:38" ht="14.7" thickBot="1">
      <c r="E14" s="14"/>
      <c r="H14" s="487" t="s">
        <v>312</v>
      </c>
      <c r="I14" s="488"/>
      <c r="J14" s="488"/>
      <c r="K14" s="488"/>
      <c r="L14" s="488"/>
      <c r="M14" s="488"/>
      <c r="N14" s="489"/>
      <c r="P14" s="487" t="s">
        <v>313</v>
      </c>
      <c r="Q14" s="488"/>
      <c r="R14" s="488"/>
      <c r="S14" s="488"/>
      <c r="T14" s="488"/>
      <c r="U14" s="488"/>
      <c r="V14" s="489"/>
      <c r="X14" s="487" t="s">
        <v>315</v>
      </c>
      <c r="Y14" s="488"/>
      <c r="Z14" s="488"/>
      <c r="AA14" s="488"/>
      <c r="AB14" s="488"/>
      <c r="AC14" s="488"/>
      <c r="AD14" s="489"/>
      <c r="AF14" s="487" t="s">
        <v>365</v>
      </c>
      <c r="AG14" s="488"/>
      <c r="AH14" s="488"/>
      <c r="AI14" s="488"/>
      <c r="AJ14" s="488"/>
      <c r="AK14" s="488"/>
      <c r="AL14" s="489"/>
    </row>
    <row r="15" spans="2:38" ht="26.1" thickBot="1">
      <c r="D15" s="75" t="s">
        <v>137</v>
      </c>
      <c r="E15" s="76"/>
      <c r="F15" s="77" t="s">
        <v>135</v>
      </c>
      <c r="G15" s="77" t="s">
        <v>136</v>
      </c>
      <c r="H15" s="89" t="s">
        <v>490</v>
      </c>
      <c r="I15" s="78" t="s">
        <v>498</v>
      </c>
      <c r="J15" s="78" t="s">
        <v>154</v>
      </c>
      <c r="K15" s="78" t="s">
        <v>155</v>
      </c>
      <c r="L15" s="78" t="s">
        <v>156</v>
      </c>
      <c r="M15" s="78" t="s">
        <v>314</v>
      </c>
      <c r="N15" s="79" t="s">
        <v>181</v>
      </c>
      <c r="P15" s="235" t="str">
        <f t="shared" ref="P15:V15" si="0">H15</f>
        <v>Residential</v>
      </c>
      <c r="Q15" s="236" t="str">
        <f t="shared" si="0"/>
        <v>Non-residential</v>
      </c>
      <c r="R15" s="236" t="str">
        <f t="shared" si="0"/>
        <v>Unmetered SL</v>
      </c>
      <c r="S15" s="236" t="str">
        <f t="shared" si="0"/>
        <v>Unmetered TL</v>
      </c>
      <c r="T15" s="236" t="str">
        <f t="shared" si="0"/>
        <v>LV Smart</v>
      </c>
      <c r="U15" s="236" t="str">
        <f t="shared" si="0"/>
        <v xml:space="preserve"> &gt;750 LV</v>
      </c>
      <c r="V15" s="237" t="str">
        <f t="shared" si="0"/>
        <v>HV</v>
      </c>
      <c r="X15" s="235" t="str">
        <f t="shared" ref="X15:AD15" si="1">P15</f>
        <v>Residential</v>
      </c>
      <c r="Y15" s="236" t="str">
        <f t="shared" si="1"/>
        <v>Non-residential</v>
      </c>
      <c r="Z15" s="236" t="str">
        <f t="shared" si="1"/>
        <v>Unmetered SL</v>
      </c>
      <c r="AA15" s="236" t="str">
        <f t="shared" si="1"/>
        <v>Unmetered TL</v>
      </c>
      <c r="AB15" s="236" t="str">
        <f t="shared" si="1"/>
        <v>LV Smart</v>
      </c>
      <c r="AC15" s="236" t="str">
        <f t="shared" si="1"/>
        <v xml:space="preserve"> &gt;750 LV</v>
      </c>
      <c r="AD15" s="237" t="str">
        <f t="shared" si="1"/>
        <v>HV</v>
      </c>
      <c r="AF15" s="235" t="str">
        <f t="shared" ref="AF15" si="2">X15</f>
        <v>Residential</v>
      </c>
      <c r="AG15" s="236" t="str">
        <f t="shared" ref="AG15" si="3">Y15</f>
        <v>Non-residential</v>
      </c>
      <c r="AH15" s="236" t="str">
        <f t="shared" ref="AH15" si="4">Z15</f>
        <v>Unmetered SL</v>
      </c>
      <c r="AI15" s="236" t="str">
        <f t="shared" ref="AI15" si="5">AA15</f>
        <v>Unmetered TL</v>
      </c>
      <c r="AJ15" s="236" t="str">
        <f t="shared" ref="AJ15" si="6">AB15</f>
        <v>LV Smart</v>
      </c>
      <c r="AK15" s="236" t="str">
        <f t="shared" ref="AK15" si="7">AC15</f>
        <v xml:space="preserve"> &gt;750 LV</v>
      </c>
      <c r="AL15" s="237" t="str">
        <f t="shared" ref="AL15" si="8">AD15</f>
        <v>HV</v>
      </c>
    </row>
    <row r="16" spans="2:38" ht="12.9">
      <c r="D16" s="85" t="s">
        <v>292</v>
      </c>
      <c r="E16" s="86"/>
      <c r="F16" s="87" t="s">
        <v>153</v>
      </c>
      <c r="G16" s="87" t="s">
        <v>147</v>
      </c>
      <c r="H16" s="104"/>
      <c r="I16" s="105"/>
      <c r="J16" s="105"/>
      <c r="K16" s="105"/>
      <c r="L16" s="409">
        <v>175</v>
      </c>
      <c r="M16" s="105">
        <v>768.673</v>
      </c>
      <c r="N16" s="106">
        <v>849.72900000000004</v>
      </c>
      <c r="P16" s="104"/>
      <c r="Q16" s="105"/>
      <c r="R16" s="105"/>
      <c r="S16" s="105"/>
      <c r="T16" s="105">
        <v>135</v>
      </c>
      <c r="U16" s="105">
        <v>1298.0454680479745</v>
      </c>
      <c r="V16" s="106">
        <v>1116.3191025212582</v>
      </c>
      <c r="X16" s="238">
        <v>0</v>
      </c>
      <c r="Y16" s="239">
        <v>0</v>
      </c>
      <c r="Z16" s="239">
        <v>0</v>
      </c>
      <c r="AA16" s="239">
        <v>0</v>
      </c>
      <c r="AB16" s="239">
        <v>0</v>
      </c>
      <c r="AC16" s="239">
        <v>0</v>
      </c>
      <c r="AD16" s="240">
        <v>0</v>
      </c>
      <c r="AF16" s="285" t="s">
        <v>46</v>
      </c>
      <c r="AG16" s="286" t="s">
        <v>46</v>
      </c>
      <c r="AH16" s="286" t="s">
        <v>46</v>
      </c>
      <c r="AI16" s="286" t="s">
        <v>46</v>
      </c>
      <c r="AJ16" s="286" t="s">
        <v>46</v>
      </c>
      <c r="AK16" s="286" t="s">
        <v>46</v>
      </c>
      <c r="AL16" s="287" t="s">
        <v>46</v>
      </c>
    </row>
    <row r="17" spans="4:38" ht="12.9">
      <c r="D17" s="80" t="s">
        <v>293</v>
      </c>
      <c r="E17" s="54"/>
      <c r="F17" s="42" t="s">
        <v>153</v>
      </c>
      <c r="G17" s="42" t="s">
        <v>148</v>
      </c>
      <c r="H17" s="394">
        <v>44.417999999999999</v>
      </c>
      <c r="I17" s="93">
        <v>79.012</v>
      </c>
      <c r="J17" s="93"/>
      <c r="K17" s="93"/>
      <c r="L17" s="410">
        <v>650</v>
      </c>
      <c r="M17" s="93"/>
      <c r="N17" s="94">
        <v>427.33333156377762</v>
      </c>
      <c r="P17" s="92">
        <v>64.041769951086621</v>
      </c>
      <c r="Q17" s="93">
        <v>135</v>
      </c>
      <c r="R17" s="93"/>
      <c r="S17" s="93"/>
      <c r="T17" s="93">
        <v>650</v>
      </c>
      <c r="U17" s="93"/>
      <c r="V17" s="94">
        <f>T17*(Calc_LRMC!$M$80/Calc_LRMC!$L$80)</f>
        <v>333.80729068933186</v>
      </c>
      <c r="X17" s="241">
        <v>0</v>
      </c>
      <c r="Y17" s="242">
        <v>0</v>
      </c>
      <c r="Z17" s="242">
        <v>0</v>
      </c>
      <c r="AA17" s="242">
        <v>0</v>
      </c>
      <c r="AB17" s="242">
        <v>0</v>
      </c>
      <c r="AC17" s="242">
        <v>0</v>
      </c>
      <c r="AD17" s="243">
        <v>0</v>
      </c>
      <c r="AF17" s="288" t="s">
        <v>46</v>
      </c>
      <c r="AG17" s="61" t="s">
        <v>46</v>
      </c>
      <c r="AH17" s="61" t="s">
        <v>46</v>
      </c>
      <c r="AI17" s="61" t="s">
        <v>46</v>
      </c>
      <c r="AJ17" s="61" t="s">
        <v>46</v>
      </c>
      <c r="AK17" s="61" t="s">
        <v>46</v>
      </c>
      <c r="AL17" s="289" t="s">
        <v>46</v>
      </c>
    </row>
    <row r="18" spans="4:38" ht="12.9">
      <c r="D18" s="80" t="s">
        <v>214</v>
      </c>
      <c r="E18" s="54"/>
      <c r="F18" s="42" t="s">
        <v>153</v>
      </c>
      <c r="G18" s="42" t="s">
        <v>149</v>
      </c>
      <c r="H18" s="394">
        <v>11.115</v>
      </c>
      <c r="I18" s="93">
        <v>10.448</v>
      </c>
      <c r="J18" s="93">
        <f>26.7530400000007/100</f>
        <v>0.267530400000007</v>
      </c>
      <c r="K18" s="93">
        <f>61.3988399999999/100</f>
        <v>0.61398839999999899</v>
      </c>
      <c r="L18" s="410"/>
      <c r="M18" s="93"/>
      <c r="N18" s="94"/>
      <c r="P18" s="394">
        <v>10.104915273055934</v>
      </c>
      <c r="Q18" s="93">
        <v>10.455</v>
      </c>
      <c r="R18" s="93">
        <f>26.7530400000007/100</f>
        <v>0.267530400000007</v>
      </c>
      <c r="S18" s="93">
        <f>61.3988399999999/100</f>
        <v>0.61398839999999899</v>
      </c>
      <c r="T18" s="93"/>
      <c r="U18" s="93"/>
      <c r="V18" s="94"/>
      <c r="X18" s="241">
        <v>0</v>
      </c>
      <c r="Y18" s="242">
        <v>0</v>
      </c>
      <c r="Z18" s="242">
        <v>0</v>
      </c>
      <c r="AA18" s="242">
        <v>0</v>
      </c>
      <c r="AB18" s="242">
        <v>0</v>
      </c>
      <c r="AC18" s="242">
        <v>0</v>
      </c>
      <c r="AD18" s="243">
        <v>0</v>
      </c>
      <c r="AF18" s="288" t="s">
        <v>45</v>
      </c>
      <c r="AG18" s="61" t="s">
        <v>45</v>
      </c>
      <c r="AH18" s="61" t="s">
        <v>45</v>
      </c>
      <c r="AI18" s="61" t="s">
        <v>45</v>
      </c>
      <c r="AJ18" s="61" t="s">
        <v>45</v>
      </c>
      <c r="AK18" s="61" t="s">
        <v>45</v>
      </c>
      <c r="AL18" s="289" t="s">
        <v>45</v>
      </c>
    </row>
    <row r="19" spans="4:38" ht="12.9">
      <c r="D19" s="80" t="s">
        <v>215</v>
      </c>
      <c r="E19" s="54"/>
      <c r="F19" s="42" t="s">
        <v>153</v>
      </c>
      <c r="G19" s="42" t="s">
        <v>149</v>
      </c>
      <c r="H19" s="394"/>
      <c r="I19" s="93"/>
      <c r="J19" s="93"/>
      <c r="K19" s="93"/>
      <c r="L19" s="410">
        <v>4.0999999999999996</v>
      </c>
      <c r="M19" s="411">
        <v>3.2850999999999999</v>
      </c>
      <c r="N19" s="412">
        <v>4.0999999999999996</v>
      </c>
      <c r="P19" s="92"/>
      <c r="Q19" s="93"/>
      <c r="R19" s="93"/>
      <c r="S19" s="93"/>
      <c r="T19" s="93">
        <v>3.07569605206987</v>
      </c>
      <c r="U19" s="93">
        <v>3.2850999999999999</v>
      </c>
      <c r="V19" s="94">
        <f>T19</f>
        <v>3.07569605206987</v>
      </c>
      <c r="X19" s="241">
        <v>0</v>
      </c>
      <c r="Y19" s="242">
        <v>0</v>
      </c>
      <c r="Z19" s="242">
        <v>0</v>
      </c>
      <c r="AA19" s="242">
        <v>0</v>
      </c>
      <c r="AB19" s="242">
        <v>0</v>
      </c>
      <c r="AC19" s="242">
        <v>0</v>
      </c>
      <c r="AD19" s="243">
        <v>0</v>
      </c>
      <c r="AF19" s="288" t="s">
        <v>46</v>
      </c>
      <c r="AG19" s="61" t="s">
        <v>46</v>
      </c>
      <c r="AH19" s="61" t="s">
        <v>46</v>
      </c>
      <c r="AI19" s="61" t="s">
        <v>46</v>
      </c>
      <c r="AJ19" s="61" t="s">
        <v>46</v>
      </c>
      <c r="AK19" s="61" t="s">
        <v>46</v>
      </c>
      <c r="AL19" s="289" t="s">
        <v>46</v>
      </c>
    </row>
    <row r="20" spans="4:38" ht="12.9">
      <c r="D20" s="80" t="s">
        <v>296</v>
      </c>
      <c r="E20" s="54"/>
      <c r="F20" s="42" t="s">
        <v>153</v>
      </c>
      <c r="G20" s="42" t="s">
        <v>151</v>
      </c>
      <c r="H20" s="394"/>
      <c r="I20" s="93"/>
      <c r="J20" s="93"/>
      <c r="K20" s="93"/>
      <c r="L20" s="410">
        <v>20</v>
      </c>
      <c r="M20" s="411">
        <v>8.2579999999999991</v>
      </c>
      <c r="N20" s="412">
        <v>13.148717894270082</v>
      </c>
      <c r="P20" s="92"/>
      <c r="Q20" s="93"/>
      <c r="R20" s="93"/>
      <c r="S20" s="93"/>
      <c r="T20" s="93">
        <v>20</v>
      </c>
      <c r="U20" s="93">
        <v>8.2579999999999991</v>
      </c>
      <c r="V20" s="94">
        <f>T20*(Calc_LRMC!$M$80/Calc_LRMC!$L$80)</f>
        <v>10.270993559671751</v>
      </c>
      <c r="X20" s="241">
        <v>0</v>
      </c>
      <c r="Y20" s="242">
        <v>0</v>
      </c>
      <c r="Z20" s="242">
        <v>0</v>
      </c>
      <c r="AA20" s="242">
        <v>0</v>
      </c>
      <c r="AB20" s="242">
        <v>0</v>
      </c>
      <c r="AC20" s="242">
        <v>0</v>
      </c>
      <c r="AD20" s="243">
        <v>0</v>
      </c>
      <c r="AF20" s="288" t="s">
        <v>45</v>
      </c>
      <c r="AG20" s="61" t="s">
        <v>45</v>
      </c>
      <c r="AH20" s="61" t="s">
        <v>45</v>
      </c>
      <c r="AI20" s="61" t="s">
        <v>45</v>
      </c>
      <c r="AJ20" s="61" t="s">
        <v>45</v>
      </c>
      <c r="AK20" s="61" t="s">
        <v>45</v>
      </c>
      <c r="AL20" s="289" t="s">
        <v>45</v>
      </c>
    </row>
    <row r="21" spans="4:38" ht="12.9">
      <c r="D21" s="80" t="s">
        <v>297</v>
      </c>
      <c r="E21" s="54"/>
      <c r="F21" s="42" t="s">
        <v>153</v>
      </c>
      <c r="G21" s="42" t="s">
        <v>151</v>
      </c>
      <c r="H21" s="394"/>
      <c r="I21" s="93"/>
      <c r="J21" s="93"/>
      <c r="K21" s="93"/>
      <c r="L21" s="410">
        <v>0</v>
      </c>
      <c r="M21" s="411">
        <v>0</v>
      </c>
      <c r="N21" s="412">
        <v>0</v>
      </c>
      <c r="P21" s="92"/>
      <c r="Q21" s="93"/>
      <c r="R21" s="93"/>
      <c r="S21" s="93"/>
      <c r="T21" s="93">
        <v>0</v>
      </c>
      <c r="U21" s="93">
        <v>0</v>
      </c>
      <c r="V21" s="94">
        <v>0</v>
      </c>
      <c r="X21" s="241">
        <v>0</v>
      </c>
      <c r="Y21" s="242">
        <v>0</v>
      </c>
      <c r="Z21" s="242">
        <v>0</v>
      </c>
      <c r="AA21" s="242">
        <v>0</v>
      </c>
      <c r="AB21" s="242">
        <v>0</v>
      </c>
      <c r="AC21" s="242">
        <v>0</v>
      </c>
      <c r="AD21" s="243">
        <v>0</v>
      </c>
      <c r="AF21" s="288" t="s">
        <v>45</v>
      </c>
      <c r="AG21" s="61" t="s">
        <v>45</v>
      </c>
      <c r="AH21" s="61" t="s">
        <v>45</v>
      </c>
      <c r="AI21" s="61" t="s">
        <v>45</v>
      </c>
      <c r="AJ21" s="61" t="s">
        <v>45</v>
      </c>
      <c r="AK21" s="61" t="s">
        <v>45</v>
      </c>
      <c r="AL21" s="289" t="s">
        <v>45</v>
      </c>
    </row>
    <row r="22" spans="4:38" ht="13.2" thickBot="1">
      <c r="D22" s="80" t="s">
        <v>298</v>
      </c>
      <c r="E22" s="54"/>
      <c r="F22" s="42" t="s">
        <v>153</v>
      </c>
      <c r="G22" s="42" t="s">
        <v>150</v>
      </c>
      <c r="H22" s="394"/>
      <c r="I22" s="93"/>
      <c r="J22" s="93"/>
      <c r="K22" s="93"/>
      <c r="L22" s="411">
        <v>4</v>
      </c>
      <c r="M22" s="411">
        <v>4</v>
      </c>
      <c r="N22" s="412">
        <v>4</v>
      </c>
      <c r="P22" s="92"/>
      <c r="Q22" s="93"/>
      <c r="R22" s="93"/>
      <c r="S22" s="93"/>
      <c r="T22" s="93">
        <v>4</v>
      </c>
      <c r="U22" s="93">
        <v>4</v>
      </c>
      <c r="V22" s="94">
        <v>4</v>
      </c>
      <c r="X22" s="244">
        <v>0</v>
      </c>
      <c r="Y22" s="245">
        <v>0</v>
      </c>
      <c r="Z22" s="245">
        <v>0</v>
      </c>
      <c r="AA22" s="245">
        <v>0</v>
      </c>
      <c r="AB22" s="245">
        <v>0</v>
      </c>
      <c r="AC22" s="245">
        <v>0</v>
      </c>
      <c r="AD22" s="246">
        <v>0</v>
      </c>
      <c r="AF22" s="290" t="s">
        <v>46</v>
      </c>
      <c r="AG22" s="291" t="s">
        <v>46</v>
      </c>
      <c r="AH22" s="291" t="s">
        <v>46</v>
      </c>
      <c r="AI22" s="291" t="s">
        <v>46</v>
      </c>
      <c r="AJ22" s="291" t="s">
        <v>46</v>
      </c>
      <c r="AK22" s="291" t="s">
        <v>46</v>
      </c>
      <c r="AL22" s="292" t="s">
        <v>45</v>
      </c>
    </row>
    <row r="23" spans="4:38" ht="12.9">
      <c r="D23" s="75" t="s">
        <v>138</v>
      </c>
      <c r="E23" s="86"/>
      <c r="F23" s="76"/>
      <c r="G23" s="76"/>
      <c r="H23" s="90"/>
      <c r="I23" s="76"/>
      <c r="J23" s="76"/>
      <c r="K23" s="76"/>
      <c r="L23" s="76"/>
      <c r="M23" s="76"/>
      <c r="N23" s="88"/>
      <c r="P23" s="90"/>
      <c r="Q23" s="76"/>
      <c r="R23" s="76"/>
      <c r="S23" s="76"/>
      <c r="T23" s="76"/>
      <c r="U23" s="76"/>
      <c r="V23" s="88"/>
      <c r="X23" s="90"/>
      <c r="Y23" s="76"/>
      <c r="Z23" s="76"/>
      <c r="AA23" s="76"/>
      <c r="AB23" s="76"/>
      <c r="AC23" s="76"/>
      <c r="AD23" s="88"/>
      <c r="AF23" s="90"/>
      <c r="AG23" s="76"/>
      <c r="AH23" s="76"/>
      <c r="AI23" s="76"/>
      <c r="AJ23" s="76"/>
      <c r="AK23" s="76"/>
      <c r="AL23" s="88"/>
    </row>
    <row r="24" spans="4:38" ht="12.9">
      <c r="D24" s="81"/>
      <c r="E24" s="54" t="s">
        <v>139</v>
      </c>
      <c r="F24" s="42" t="s">
        <v>153</v>
      </c>
      <c r="G24" s="42" t="s">
        <v>149</v>
      </c>
      <c r="H24" s="95">
        <v>0</v>
      </c>
      <c r="I24" s="96">
        <v>0</v>
      </c>
      <c r="J24" s="96">
        <v>0</v>
      </c>
      <c r="K24" s="96">
        <v>0</v>
      </c>
      <c r="L24" s="96">
        <v>0</v>
      </c>
      <c r="M24" s="96">
        <v>6.0577000000000005</v>
      </c>
      <c r="N24" s="97">
        <v>5.4835000000000012</v>
      </c>
      <c r="P24" s="95">
        <v>0</v>
      </c>
      <c r="Q24" s="96">
        <v>0</v>
      </c>
      <c r="R24" s="96">
        <v>0</v>
      </c>
      <c r="S24" s="96">
        <v>0</v>
      </c>
      <c r="T24" s="96">
        <v>0</v>
      </c>
      <c r="U24" s="96">
        <f>$U$19</f>
        <v>3.2850999999999999</v>
      </c>
      <c r="V24" s="97">
        <v>3.2851393876953505</v>
      </c>
      <c r="X24" s="241">
        <v>0</v>
      </c>
      <c r="Y24" s="242">
        <v>0</v>
      </c>
      <c r="Z24" s="242">
        <v>0</v>
      </c>
      <c r="AA24" s="242">
        <v>0</v>
      </c>
      <c r="AB24" s="242">
        <v>0</v>
      </c>
      <c r="AC24" s="242">
        <v>0</v>
      </c>
      <c r="AD24" s="243">
        <v>0</v>
      </c>
      <c r="AF24" s="288" t="s">
        <v>46</v>
      </c>
      <c r="AG24" s="61" t="s">
        <v>46</v>
      </c>
      <c r="AH24" s="61" t="s">
        <v>46</v>
      </c>
      <c r="AI24" s="61" t="s">
        <v>46</v>
      </c>
      <c r="AJ24" s="61" t="s">
        <v>46</v>
      </c>
      <c r="AK24" s="61" t="s">
        <v>46</v>
      </c>
      <c r="AL24" s="289" t="s">
        <v>46</v>
      </c>
    </row>
    <row r="25" spans="4:38" ht="12.9">
      <c r="D25" s="81"/>
      <c r="E25" s="54" t="s">
        <v>140</v>
      </c>
      <c r="F25" s="42" t="s">
        <v>153</v>
      </c>
      <c r="G25" s="42" t="s">
        <v>149</v>
      </c>
      <c r="H25" s="95">
        <v>0</v>
      </c>
      <c r="I25" s="96">
        <v>0</v>
      </c>
      <c r="J25" s="96">
        <v>0</v>
      </c>
      <c r="K25" s="96">
        <v>0</v>
      </c>
      <c r="L25" s="96">
        <v>0</v>
      </c>
      <c r="M25" s="96">
        <v>5.1062000000000012</v>
      </c>
      <c r="N25" s="97">
        <v>4.4671000000000003</v>
      </c>
      <c r="P25" s="95">
        <v>0</v>
      </c>
      <c r="Q25" s="96">
        <v>0</v>
      </c>
      <c r="R25" s="96">
        <v>0</v>
      </c>
      <c r="S25" s="96">
        <v>0</v>
      </c>
      <c r="T25" s="96">
        <v>0</v>
      </c>
      <c r="U25" s="96">
        <f t="shared" ref="U25:U28" si="9">$U$19</f>
        <v>3.2850999999999999</v>
      </c>
      <c r="V25" s="97">
        <v>3.2851393876953505</v>
      </c>
      <c r="X25" s="241">
        <v>0</v>
      </c>
      <c r="Y25" s="242">
        <v>0</v>
      </c>
      <c r="Z25" s="242">
        <v>0</v>
      </c>
      <c r="AA25" s="242">
        <v>0</v>
      </c>
      <c r="AB25" s="242">
        <v>0</v>
      </c>
      <c r="AC25" s="242">
        <v>0</v>
      </c>
      <c r="AD25" s="243">
        <v>0</v>
      </c>
      <c r="AF25" s="288" t="s">
        <v>46</v>
      </c>
      <c r="AG25" s="61" t="s">
        <v>46</v>
      </c>
      <c r="AH25" s="61" t="s">
        <v>46</v>
      </c>
      <c r="AI25" s="61" t="s">
        <v>46</v>
      </c>
      <c r="AJ25" s="61" t="s">
        <v>46</v>
      </c>
      <c r="AK25" s="61" t="s">
        <v>46</v>
      </c>
      <c r="AL25" s="289" t="s">
        <v>46</v>
      </c>
    </row>
    <row r="26" spans="4:38" ht="12.9">
      <c r="D26" s="81"/>
      <c r="E26" s="54" t="s">
        <v>141</v>
      </c>
      <c r="F26" s="42" t="s">
        <v>153</v>
      </c>
      <c r="G26" s="42" t="s">
        <v>149</v>
      </c>
      <c r="H26" s="95">
        <v>0</v>
      </c>
      <c r="I26" s="96">
        <v>0</v>
      </c>
      <c r="J26" s="96">
        <v>0</v>
      </c>
      <c r="K26" s="96">
        <v>0</v>
      </c>
      <c r="L26" s="96">
        <v>0</v>
      </c>
      <c r="M26" s="96">
        <v>4.2471000000000005</v>
      </c>
      <c r="N26" s="97">
        <v>3.8115000000000001</v>
      </c>
      <c r="P26" s="95">
        <v>0</v>
      </c>
      <c r="Q26" s="96">
        <v>0</v>
      </c>
      <c r="R26" s="96">
        <v>0</v>
      </c>
      <c r="S26" s="96">
        <v>0</v>
      </c>
      <c r="T26" s="96">
        <v>0</v>
      </c>
      <c r="U26" s="96">
        <f t="shared" si="9"/>
        <v>3.2850999999999999</v>
      </c>
      <c r="V26" s="97">
        <v>3.2851393876953505</v>
      </c>
      <c r="X26" s="241">
        <v>0</v>
      </c>
      <c r="Y26" s="242">
        <v>0</v>
      </c>
      <c r="Z26" s="242">
        <v>0</v>
      </c>
      <c r="AA26" s="242">
        <v>0</v>
      </c>
      <c r="AB26" s="242">
        <v>0</v>
      </c>
      <c r="AC26" s="242">
        <v>0</v>
      </c>
      <c r="AD26" s="243">
        <v>0</v>
      </c>
      <c r="AF26" s="288" t="s">
        <v>46</v>
      </c>
      <c r="AG26" s="61" t="s">
        <v>46</v>
      </c>
      <c r="AH26" s="61" t="s">
        <v>46</v>
      </c>
      <c r="AI26" s="61" t="s">
        <v>46</v>
      </c>
      <c r="AJ26" s="61" t="s">
        <v>46</v>
      </c>
      <c r="AK26" s="61" t="s">
        <v>46</v>
      </c>
      <c r="AL26" s="289" t="s">
        <v>46</v>
      </c>
    </row>
    <row r="27" spans="4:38" ht="12.9">
      <c r="D27" s="81"/>
      <c r="E27" s="54" t="s">
        <v>142</v>
      </c>
      <c r="F27" s="42" t="s">
        <v>153</v>
      </c>
      <c r="G27" s="42" t="s">
        <v>149</v>
      </c>
      <c r="H27" s="95">
        <v>0</v>
      </c>
      <c r="I27" s="96">
        <v>0</v>
      </c>
      <c r="J27" s="96">
        <v>0</v>
      </c>
      <c r="K27" s="96">
        <v>0</v>
      </c>
      <c r="L27" s="96">
        <v>0</v>
      </c>
      <c r="M27" s="96">
        <v>3.8698000000000001</v>
      </c>
      <c r="N27" s="97">
        <v>3.6289000000000002</v>
      </c>
      <c r="P27" s="95">
        <v>0</v>
      </c>
      <c r="Q27" s="96">
        <v>0</v>
      </c>
      <c r="R27" s="96">
        <v>0</v>
      </c>
      <c r="S27" s="96">
        <v>0</v>
      </c>
      <c r="T27" s="96">
        <v>0</v>
      </c>
      <c r="U27" s="96">
        <f t="shared" si="9"/>
        <v>3.2850999999999999</v>
      </c>
      <c r="V27" s="97">
        <v>3.2851393876953505</v>
      </c>
      <c r="X27" s="241">
        <v>0</v>
      </c>
      <c r="Y27" s="242">
        <v>0</v>
      </c>
      <c r="Z27" s="242">
        <v>0</v>
      </c>
      <c r="AA27" s="242">
        <v>0</v>
      </c>
      <c r="AB27" s="242">
        <v>0</v>
      </c>
      <c r="AC27" s="242">
        <v>0</v>
      </c>
      <c r="AD27" s="243">
        <v>0</v>
      </c>
      <c r="AF27" s="288" t="s">
        <v>46</v>
      </c>
      <c r="AG27" s="61" t="s">
        <v>46</v>
      </c>
      <c r="AH27" s="61" t="s">
        <v>46</v>
      </c>
      <c r="AI27" s="61" t="s">
        <v>46</v>
      </c>
      <c r="AJ27" s="61" t="s">
        <v>46</v>
      </c>
      <c r="AK27" s="61" t="s">
        <v>46</v>
      </c>
      <c r="AL27" s="289" t="s">
        <v>46</v>
      </c>
    </row>
    <row r="28" spans="4:38" ht="13.2" thickBot="1">
      <c r="D28" s="81"/>
      <c r="E28" s="54" t="s">
        <v>143</v>
      </c>
      <c r="F28" s="42" t="s">
        <v>153</v>
      </c>
      <c r="G28" s="42" t="s">
        <v>149</v>
      </c>
      <c r="H28" s="95">
        <v>0</v>
      </c>
      <c r="I28" s="96">
        <v>0</v>
      </c>
      <c r="J28" s="96">
        <v>0</v>
      </c>
      <c r="K28" s="96">
        <v>0</v>
      </c>
      <c r="L28" s="96">
        <v>0</v>
      </c>
      <c r="M28" s="96">
        <v>2.6543000000000001</v>
      </c>
      <c r="N28" s="97">
        <v>2.7071000000000001</v>
      </c>
      <c r="P28" s="95">
        <v>0</v>
      </c>
      <c r="Q28" s="96">
        <v>0</v>
      </c>
      <c r="R28" s="96">
        <v>0</v>
      </c>
      <c r="S28" s="96">
        <v>0</v>
      </c>
      <c r="T28" s="96">
        <v>0</v>
      </c>
      <c r="U28" s="96">
        <f t="shared" si="9"/>
        <v>3.2850999999999999</v>
      </c>
      <c r="V28" s="97">
        <v>3.2851393876953505</v>
      </c>
      <c r="X28" s="244">
        <v>0</v>
      </c>
      <c r="Y28" s="245">
        <v>0</v>
      </c>
      <c r="Z28" s="245">
        <v>0</v>
      </c>
      <c r="AA28" s="245">
        <v>0</v>
      </c>
      <c r="AB28" s="245">
        <v>0</v>
      </c>
      <c r="AC28" s="245">
        <v>0</v>
      </c>
      <c r="AD28" s="246">
        <v>0</v>
      </c>
      <c r="AF28" s="290" t="s">
        <v>46</v>
      </c>
      <c r="AG28" s="291" t="s">
        <v>46</v>
      </c>
      <c r="AH28" s="291" t="s">
        <v>46</v>
      </c>
      <c r="AI28" s="291" t="s">
        <v>46</v>
      </c>
      <c r="AJ28" s="291" t="s">
        <v>46</v>
      </c>
      <c r="AK28" s="291" t="s">
        <v>46</v>
      </c>
      <c r="AL28" s="292" t="s">
        <v>46</v>
      </c>
    </row>
    <row r="29" spans="4:38" ht="12.9">
      <c r="D29" s="75" t="s">
        <v>144</v>
      </c>
      <c r="E29" s="86"/>
      <c r="F29" s="76"/>
      <c r="G29" s="76"/>
      <c r="H29" s="98"/>
      <c r="I29" s="99"/>
      <c r="J29" s="99"/>
      <c r="K29" s="99"/>
      <c r="L29" s="99"/>
      <c r="M29" s="99"/>
      <c r="N29" s="100"/>
      <c r="P29" s="98"/>
      <c r="Q29" s="99"/>
      <c r="R29" s="99"/>
      <c r="S29" s="99"/>
      <c r="T29" s="99"/>
      <c r="U29" s="99"/>
      <c r="V29" s="100"/>
      <c r="X29" s="98"/>
      <c r="Y29" s="99"/>
      <c r="Z29" s="99"/>
      <c r="AA29" s="99"/>
      <c r="AB29" s="99"/>
      <c r="AC29" s="99"/>
      <c r="AD29" s="100"/>
      <c r="AF29" s="98"/>
      <c r="AG29" s="99"/>
      <c r="AH29" s="99"/>
      <c r="AI29" s="99"/>
      <c r="AJ29" s="99"/>
      <c r="AK29" s="99"/>
      <c r="AL29" s="100"/>
    </row>
    <row r="30" spans="4:38" ht="12.9">
      <c r="D30" s="81"/>
      <c r="E30" s="54" t="s">
        <v>139</v>
      </c>
      <c r="F30" s="42" t="s">
        <v>153</v>
      </c>
      <c r="G30" s="42" t="s">
        <v>149</v>
      </c>
      <c r="H30" s="95">
        <v>0</v>
      </c>
      <c r="I30" s="96">
        <v>0</v>
      </c>
      <c r="J30" s="96">
        <v>0</v>
      </c>
      <c r="K30" s="96">
        <v>0</v>
      </c>
      <c r="L30" s="96">
        <v>0</v>
      </c>
      <c r="M30" s="96">
        <v>5.4263000000000003</v>
      </c>
      <c r="N30" s="97">
        <v>4.9115000000000002</v>
      </c>
      <c r="P30" s="95">
        <v>0</v>
      </c>
      <c r="Q30" s="96">
        <v>0</v>
      </c>
      <c r="R30" s="96">
        <v>0</v>
      </c>
      <c r="S30" s="96">
        <v>0</v>
      </c>
      <c r="T30" s="96">
        <v>0</v>
      </c>
      <c r="U30" s="96">
        <f t="shared" ref="U30:U34" si="10">$U$19</f>
        <v>3.2850999999999999</v>
      </c>
      <c r="V30" s="97">
        <f>U30</f>
        <v>3.2850999999999999</v>
      </c>
      <c r="X30" s="241">
        <v>0</v>
      </c>
      <c r="Y30" s="242">
        <v>0</v>
      </c>
      <c r="Z30" s="242">
        <v>0</v>
      </c>
      <c r="AA30" s="242">
        <v>0</v>
      </c>
      <c r="AB30" s="242">
        <v>0</v>
      </c>
      <c r="AC30" s="242">
        <v>0</v>
      </c>
      <c r="AD30" s="243">
        <v>0</v>
      </c>
      <c r="AF30" s="288" t="s">
        <v>46</v>
      </c>
      <c r="AG30" s="61" t="s">
        <v>46</v>
      </c>
      <c r="AH30" s="61" t="s">
        <v>46</v>
      </c>
      <c r="AI30" s="61" t="s">
        <v>46</v>
      </c>
      <c r="AJ30" s="61" t="s">
        <v>46</v>
      </c>
      <c r="AK30" s="61" t="s">
        <v>46</v>
      </c>
      <c r="AL30" s="289" t="s">
        <v>46</v>
      </c>
    </row>
    <row r="31" spans="4:38" ht="12.9">
      <c r="D31" s="81"/>
      <c r="E31" s="54" t="s">
        <v>140</v>
      </c>
      <c r="F31" s="42" t="s">
        <v>153</v>
      </c>
      <c r="G31" s="42" t="s">
        <v>149</v>
      </c>
      <c r="H31" s="95">
        <v>0</v>
      </c>
      <c r="I31" s="96">
        <v>0</v>
      </c>
      <c r="J31" s="96">
        <v>0</v>
      </c>
      <c r="K31" s="96">
        <v>0</v>
      </c>
      <c r="L31" s="96">
        <v>0</v>
      </c>
      <c r="M31" s="96">
        <v>4.3934000000000006</v>
      </c>
      <c r="N31" s="97">
        <v>3.8621000000000003</v>
      </c>
      <c r="P31" s="95">
        <v>0</v>
      </c>
      <c r="Q31" s="96">
        <v>0</v>
      </c>
      <c r="R31" s="96">
        <v>0</v>
      </c>
      <c r="S31" s="96">
        <v>0</v>
      </c>
      <c r="T31" s="96">
        <v>0</v>
      </c>
      <c r="U31" s="96">
        <f t="shared" si="10"/>
        <v>3.2850999999999999</v>
      </c>
      <c r="V31" s="97">
        <f t="shared" ref="V31:V34" si="11">U31</f>
        <v>3.2850999999999999</v>
      </c>
      <c r="X31" s="241">
        <v>0</v>
      </c>
      <c r="Y31" s="242">
        <v>0</v>
      </c>
      <c r="Z31" s="242">
        <v>0</v>
      </c>
      <c r="AA31" s="242">
        <v>0</v>
      </c>
      <c r="AB31" s="242">
        <v>0</v>
      </c>
      <c r="AC31" s="242">
        <v>0</v>
      </c>
      <c r="AD31" s="243">
        <v>0</v>
      </c>
      <c r="AF31" s="288" t="s">
        <v>46</v>
      </c>
      <c r="AG31" s="61" t="s">
        <v>46</v>
      </c>
      <c r="AH31" s="61" t="s">
        <v>46</v>
      </c>
      <c r="AI31" s="61" t="s">
        <v>46</v>
      </c>
      <c r="AJ31" s="61" t="s">
        <v>46</v>
      </c>
      <c r="AK31" s="61" t="s">
        <v>46</v>
      </c>
      <c r="AL31" s="289" t="s">
        <v>46</v>
      </c>
    </row>
    <row r="32" spans="4:38" ht="12.9">
      <c r="D32" s="81"/>
      <c r="E32" s="54" t="s">
        <v>141</v>
      </c>
      <c r="F32" s="42" t="s">
        <v>153</v>
      </c>
      <c r="G32" s="42" t="s">
        <v>149</v>
      </c>
      <c r="H32" s="95">
        <v>0</v>
      </c>
      <c r="I32" s="96">
        <v>0</v>
      </c>
      <c r="J32" s="96">
        <v>0</v>
      </c>
      <c r="K32" s="96">
        <v>0</v>
      </c>
      <c r="L32" s="96">
        <v>0</v>
      </c>
      <c r="M32" s="96">
        <v>3.6410000000000005</v>
      </c>
      <c r="N32" s="97">
        <v>3.3297000000000003</v>
      </c>
      <c r="P32" s="95">
        <v>0</v>
      </c>
      <c r="Q32" s="96">
        <v>0</v>
      </c>
      <c r="R32" s="96">
        <v>0</v>
      </c>
      <c r="S32" s="96">
        <v>0</v>
      </c>
      <c r="T32" s="96">
        <v>0</v>
      </c>
      <c r="U32" s="96">
        <f t="shared" si="10"/>
        <v>3.2850999999999999</v>
      </c>
      <c r="V32" s="97">
        <f t="shared" si="11"/>
        <v>3.2850999999999999</v>
      </c>
      <c r="X32" s="241">
        <v>0</v>
      </c>
      <c r="Y32" s="242">
        <v>0</v>
      </c>
      <c r="Z32" s="242">
        <v>0</v>
      </c>
      <c r="AA32" s="242">
        <v>0</v>
      </c>
      <c r="AB32" s="242">
        <v>0</v>
      </c>
      <c r="AC32" s="242">
        <v>0</v>
      </c>
      <c r="AD32" s="243">
        <v>0</v>
      </c>
      <c r="AF32" s="288" t="s">
        <v>46</v>
      </c>
      <c r="AG32" s="61" t="s">
        <v>46</v>
      </c>
      <c r="AH32" s="61" t="s">
        <v>46</v>
      </c>
      <c r="AI32" s="61" t="s">
        <v>46</v>
      </c>
      <c r="AJ32" s="61" t="s">
        <v>46</v>
      </c>
      <c r="AK32" s="61" t="s">
        <v>46</v>
      </c>
      <c r="AL32" s="289" t="s">
        <v>46</v>
      </c>
    </row>
    <row r="33" spans="2:38" ht="12.9">
      <c r="D33" s="81"/>
      <c r="E33" s="54" t="s">
        <v>142</v>
      </c>
      <c r="F33" s="42" t="s">
        <v>153</v>
      </c>
      <c r="G33" s="42" t="s">
        <v>149</v>
      </c>
      <c r="H33" s="95">
        <v>0</v>
      </c>
      <c r="I33" s="96">
        <v>0</v>
      </c>
      <c r="J33" s="96">
        <v>0</v>
      </c>
      <c r="K33" s="96">
        <v>0</v>
      </c>
      <c r="L33" s="96">
        <v>0</v>
      </c>
      <c r="M33" s="96">
        <v>3.5013000000000001</v>
      </c>
      <c r="N33" s="97">
        <v>3.3297000000000003</v>
      </c>
      <c r="P33" s="95">
        <v>0</v>
      </c>
      <c r="Q33" s="96">
        <v>0</v>
      </c>
      <c r="R33" s="96">
        <v>0</v>
      </c>
      <c r="S33" s="96">
        <v>0</v>
      </c>
      <c r="T33" s="96">
        <v>0</v>
      </c>
      <c r="U33" s="96">
        <f t="shared" si="10"/>
        <v>3.2850999999999999</v>
      </c>
      <c r="V33" s="97">
        <f t="shared" si="11"/>
        <v>3.2850999999999999</v>
      </c>
      <c r="X33" s="241">
        <v>0</v>
      </c>
      <c r="Y33" s="242">
        <v>0</v>
      </c>
      <c r="Z33" s="242">
        <v>0</v>
      </c>
      <c r="AA33" s="242">
        <v>0</v>
      </c>
      <c r="AB33" s="242">
        <v>0</v>
      </c>
      <c r="AC33" s="242">
        <v>0</v>
      </c>
      <c r="AD33" s="243">
        <v>0</v>
      </c>
      <c r="AF33" s="288" t="s">
        <v>46</v>
      </c>
      <c r="AG33" s="61" t="s">
        <v>46</v>
      </c>
      <c r="AH33" s="61" t="s">
        <v>46</v>
      </c>
      <c r="AI33" s="61" t="s">
        <v>46</v>
      </c>
      <c r="AJ33" s="61" t="s">
        <v>46</v>
      </c>
      <c r="AK33" s="61" t="s">
        <v>46</v>
      </c>
      <c r="AL33" s="289" t="s">
        <v>46</v>
      </c>
    </row>
    <row r="34" spans="2:38" ht="13.2" thickBot="1">
      <c r="D34" s="81"/>
      <c r="E34" s="54" t="s">
        <v>143</v>
      </c>
      <c r="F34" s="42" t="s">
        <v>153</v>
      </c>
      <c r="G34" s="42" t="s">
        <v>149</v>
      </c>
      <c r="H34" s="95">
        <v>0</v>
      </c>
      <c r="I34" s="96">
        <v>0</v>
      </c>
      <c r="J34" s="96">
        <v>0</v>
      </c>
      <c r="K34" s="96">
        <v>0</v>
      </c>
      <c r="L34" s="96">
        <v>0</v>
      </c>
      <c r="M34" s="96">
        <v>2.0427</v>
      </c>
      <c r="N34" s="97">
        <v>1.9382000000000001</v>
      </c>
      <c r="P34" s="95">
        <v>0</v>
      </c>
      <c r="Q34" s="96">
        <v>0</v>
      </c>
      <c r="R34" s="96">
        <v>0</v>
      </c>
      <c r="S34" s="96">
        <v>0</v>
      </c>
      <c r="T34" s="96">
        <v>0</v>
      </c>
      <c r="U34" s="96">
        <f t="shared" si="10"/>
        <v>3.2850999999999999</v>
      </c>
      <c r="V34" s="97">
        <f t="shared" si="11"/>
        <v>3.2850999999999999</v>
      </c>
      <c r="X34" s="244">
        <v>0</v>
      </c>
      <c r="Y34" s="245">
        <v>0</v>
      </c>
      <c r="Z34" s="245">
        <v>0</v>
      </c>
      <c r="AA34" s="245">
        <v>0</v>
      </c>
      <c r="AB34" s="245">
        <v>0</v>
      </c>
      <c r="AC34" s="245">
        <v>0</v>
      </c>
      <c r="AD34" s="246">
        <v>0</v>
      </c>
      <c r="AF34" s="290" t="s">
        <v>46</v>
      </c>
      <c r="AG34" s="291" t="s">
        <v>46</v>
      </c>
      <c r="AH34" s="291" t="s">
        <v>46</v>
      </c>
      <c r="AI34" s="291" t="s">
        <v>46</v>
      </c>
      <c r="AJ34" s="291" t="s">
        <v>46</v>
      </c>
      <c r="AK34" s="291" t="s">
        <v>46</v>
      </c>
      <c r="AL34" s="292" t="s">
        <v>46</v>
      </c>
    </row>
    <row r="35" spans="2:38" ht="12.9">
      <c r="D35" s="75" t="s">
        <v>145</v>
      </c>
      <c r="E35" s="86"/>
      <c r="F35" s="76"/>
      <c r="G35" s="76"/>
      <c r="H35" s="98"/>
      <c r="I35" s="99"/>
      <c r="J35" s="99"/>
      <c r="K35" s="99"/>
      <c r="L35" s="99"/>
      <c r="M35" s="99"/>
      <c r="N35" s="100"/>
      <c r="P35" s="98"/>
      <c r="Q35" s="99"/>
      <c r="R35" s="99"/>
      <c r="S35" s="99"/>
      <c r="T35" s="99"/>
      <c r="U35" s="99"/>
      <c r="V35" s="100"/>
      <c r="X35" s="98"/>
      <c r="Y35" s="99"/>
      <c r="Z35" s="99"/>
      <c r="AA35" s="99"/>
      <c r="AB35" s="99"/>
      <c r="AC35" s="99"/>
      <c r="AD35" s="100"/>
      <c r="AF35" s="98"/>
      <c r="AG35" s="99"/>
      <c r="AH35" s="99"/>
      <c r="AI35" s="99"/>
      <c r="AJ35" s="99"/>
      <c r="AK35" s="99"/>
      <c r="AL35" s="100"/>
    </row>
    <row r="36" spans="2:38" ht="12.9">
      <c r="D36" s="81"/>
      <c r="E36" s="54" t="s">
        <v>139</v>
      </c>
      <c r="F36" s="42" t="s">
        <v>153</v>
      </c>
      <c r="G36" s="42" t="s">
        <v>151</v>
      </c>
      <c r="H36" s="95">
        <v>0</v>
      </c>
      <c r="I36" s="96">
        <v>0</v>
      </c>
      <c r="J36" s="96">
        <v>0</v>
      </c>
      <c r="K36" s="96">
        <v>0</v>
      </c>
      <c r="L36" s="96">
        <v>0</v>
      </c>
      <c r="M36" s="96">
        <v>9.3104000000000013</v>
      </c>
      <c r="N36" s="94">
        <v>9.3104000000000013</v>
      </c>
      <c r="P36" s="95">
        <v>0</v>
      </c>
      <c r="Q36" s="96">
        <v>0</v>
      </c>
      <c r="R36" s="96">
        <v>0</v>
      </c>
      <c r="S36" s="96">
        <v>0</v>
      </c>
      <c r="T36" s="96">
        <v>0</v>
      </c>
      <c r="U36" s="96">
        <f>$U$20</f>
        <v>8.2579999999999991</v>
      </c>
      <c r="V36" s="94">
        <v>7.1561833650559903</v>
      </c>
      <c r="X36" s="241">
        <v>0</v>
      </c>
      <c r="Y36" s="242">
        <v>0</v>
      </c>
      <c r="Z36" s="242">
        <v>0</v>
      </c>
      <c r="AA36" s="242">
        <v>0</v>
      </c>
      <c r="AB36" s="242">
        <v>0</v>
      </c>
      <c r="AC36" s="242">
        <v>0</v>
      </c>
      <c r="AD36" s="243">
        <v>0</v>
      </c>
      <c r="AF36" s="288" t="s">
        <v>46</v>
      </c>
      <c r="AG36" s="61" t="s">
        <v>46</v>
      </c>
      <c r="AH36" s="61" t="s">
        <v>46</v>
      </c>
      <c r="AI36" s="61" t="s">
        <v>46</v>
      </c>
      <c r="AJ36" s="61" t="s">
        <v>46</v>
      </c>
      <c r="AK36" s="61" t="s">
        <v>46</v>
      </c>
      <c r="AL36" s="289" t="s">
        <v>45</v>
      </c>
    </row>
    <row r="37" spans="2:38" ht="12.9">
      <c r="D37" s="81"/>
      <c r="E37" s="54" t="s">
        <v>140</v>
      </c>
      <c r="F37" s="42" t="s">
        <v>153</v>
      </c>
      <c r="G37" s="42" t="s">
        <v>151</v>
      </c>
      <c r="H37" s="95">
        <v>0</v>
      </c>
      <c r="I37" s="96">
        <v>0</v>
      </c>
      <c r="J37" s="96">
        <v>0</v>
      </c>
      <c r="K37" s="96">
        <v>0</v>
      </c>
      <c r="L37" s="96">
        <v>0</v>
      </c>
      <c r="M37" s="96">
        <v>9.3104000000000013</v>
      </c>
      <c r="N37" s="94">
        <v>9.3104000000000013</v>
      </c>
      <c r="P37" s="95">
        <v>0</v>
      </c>
      <c r="Q37" s="96">
        <v>0</v>
      </c>
      <c r="R37" s="96">
        <v>0</v>
      </c>
      <c r="S37" s="96">
        <v>0</v>
      </c>
      <c r="T37" s="96">
        <v>0</v>
      </c>
      <c r="U37" s="96">
        <f t="shared" ref="U37:U40" si="12">$U$20</f>
        <v>8.2579999999999991</v>
      </c>
      <c r="V37" s="94">
        <v>7.1561833650559938</v>
      </c>
      <c r="X37" s="241">
        <v>0</v>
      </c>
      <c r="Y37" s="242">
        <v>0</v>
      </c>
      <c r="Z37" s="242">
        <v>0</v>
      </c>
      <c r="AA37" s="242">
        <v>0</v>
      </c>
      <c r="AB37" s="242">
        <v>0</v>
      </c>
      <c r="AC37" s="242">
        <v>0</v>
      </c>
      <c r="AD37" s="243">
        <v>0</v>
      </c>
      <c r="AF37" s="288" t="s">
        <v>46</v>
      </c>
      <c r="AG37" s="61" t="s">
        <v>46</v>
      </c>
      <c r="AH37" s="61" t="s">
        <v>46</v>
      </c>
      <c r="AI37" s="61" t="s">
        <v>46</v>
      </c>
      <c r="AJ37" s="61" t="s">
        <v>46</v>
      </c>
      <c r="AK37" s="61" t="s">
        <v>46</v>
      </c>
      <c r="AL37" s="289" t="s">
        <v>45</v>
      </c>
    </row>
    <row r="38" spans="2:38" ht="12.9">
      <c r="D38" s="81"/>
      <c r="E38" s="54" t="s">
        <v>141</v>
      </c>
      <c r="F38" s="42" t="s">
        <v>153</v>
      </c>
      <c r="G38" s="42" t="s">
        <v>151</v>
      </c>
      <c r="H38" s="95">
        <v>0</v>
      </c>
      <c r="I38" s="96">
        <v>0</v>
      </c>
      <c r="J38" s="96">
        <v>0</v>
      </c>
      <c r="K38" s="96">
        <v>0</v>
      </c>
      <c r="L38" s="96">
        <v>0</v>
      </c>
      <c r="M38" s="96">
        <v>8.3468</v>
      </c>
      <c r="N38" s="94">
        <v>8.3765000000000001</v>
      </c>
      <c r="P38" s="95">
        <v>0</v>
      </c>
      <c r="Q38" s="96">
        <v>0</v>
      </c>
      <c r="R38" s="96">
        <v>0</v>
      </c>
      <c r="S38" s="96">
        <v>0</v>
      </c>
      <c r="T38" s="96">
        <v>0</v>
      </c>
      <c r="U38" s="96">
        <f t="shared" si="12"/>
        <v>8.2579999999999991</v>
      </c>
      <c r="V38" s="94">
        <v>7.1561833650559938</v>
      </c>
      <c r="X38" s="241">
        <v>0</v>
      </c>
      <c r="Y38" s="242">
        <v>0</v>
      </c>
      <c r="Z38" s="242">
        <v>0</v>
      </c>
      <c r="AA38" s="242">
        <v>0</v>
      </c>
      <c r="AB38" s="242">
        <v>0</v>
      </c>
      <c r="AC38" s="242">
        <v>0</v>
      </c>
      <c r="AD38" s="243">
        <v>0</v>
      </c>
      <c r="AF38" s="288" t="s">
        <v>46</v>
      </c>
      <c r="AG38" s="61" t="s">
        <v>46</v>
      </c>
      <c r="AH38" s="61" t="s">
        <v>46</v>
      </c>
      <c r="AI38" s="61" t="s">
        <v>46</v>
      </c>
      <c r="AJ38" s="61" t="s">
        <v>46</v>
      </c>
      <c r="AK38" s="61" t="s">
        <v>46</v>
      </c>
      <c r="AL38" s="289" t="s">
        <v>45</v>
      </c>
    </row>
    <row r="39" spans="2:38" ht="12.9">
      <c r="D39" s="81"/>
      <c r="E39" s="54" t="s">
        <v>142</v>
      </c>
      <c r="F39" s="42" t="s">
        <v>153</v>
      </c>
      <c r="G39" s="42" t="s">
        <v>151</v>
      </c>
      <c r="H39" s="95">
        <v>0</v>
      </c>
      <c r="I39" s="96">
        <v>0</v>
      </c>
      <c r="J39" s="96">
        <v>0</v>
      </c>
      <c r="K39" s="96">
        <v>0</v>
      </c>
      <c r="L39" s="96">
        <v>0</v>
      </c>
      <c r="M39" s="96">
        <v>7.1357000000000008</v>
      </c>
      <c r="N39" s="94">
        <v>7.1610000000000005</v>
      </c>
      <c r="P39" s="95">
        <v>0</v>
      </c>
      <c r="Q39" s="96">
        <v>0</v>
      </c>
      <c r="R39" s="96">
        <v>0</v>
      </c>
      <c r="S39" s="96">
        <v>0</v>
      </c>
      <c r="T39" s="96">
        <v>0</v>
      </c>
      <c r="U39" s="96">
        <f t="shared" si="12"/>
        <v>8.2579999999999991</v>
      </c>
      <c r="V39" s="94">
        <v>7.1561833650559938</v>
      </c>
      <c r="X39" s="241">
        <v>0</v>
      </c>
      <c r="Y39" s="242">
        <v>0</v>
      </c>
      <c r="Z39" s="242">
        <v>0</v>
      </c>
      <c r="AA39" s="242">
        <v>0</v>
      </c>
      <c r="AB39" s="242">
        <v>0</v>
      </c>
      <c r="AC39" s="242">
        <v>0</v>
      </c>
      <c r="AD39" s="243">
        <v>0</v>
      </c>
      <c r="AF39" s="288" t="s">
        <v>46</v>
      </c>
      <c r="AG39" s="61" t="s">
        <v>46</v>
      </c>
      <c r="AH39" s="61" t="s">
        <v>46</v>
      </c>
      <c r="AI39" s="61" t="s">
        <v>46</v>
      </c>
      <c r="AJ39" s="61" t="s">
        <v>46</v>
      </c>
      <c r="AK39" s="61" t="s">
        <v>46</v>
      </c>
      <c r="AL39" s="289" t="s">
        <v>45</v>
      </c>
    </row>
    <row r="40" spans="2:38" ht="13.2" thickBot="1">
      <c r="D40" s="82"/>
      <c r="E40" s="83" t="s">
        <v>143</v>
      </c>
      <c r="F40" s="84" t="s">
        <v>153</v>
      </c>
      <c r="G40" s="84" t="s">
        <v>151</v>
      </c>
      <c r="H40" s="101">
        <v>0</v>
      </c>
      <c r="I40" s="102">
        <v>0</v>
      </c>
      <c r="J40" s="102">
        <v>0</v>
      </c>
      <c r="K40" s="102">
        <v>0</v>
      </c>
      <c r="L40" s="102">
        <v>0</v>
      </c>
      <c r="M40" s="96">
        <v>6.4295</v>
      </c>
      <c r="N40" s="94">
        <v>6.4240000000000004</v>
      </c>
      <c r="P40" s="101">
        <v>0</v>
      </c>
      <c r="Q40" s="102">
        <v>0</v>
      </c>
      <c r="R40" s="102">
        <v>0</v>
      </c>
      <c r="S40" s="102">
        <v>0</v>
      </c>
      <c r="T40" s="102">
        <v>0</v>
      </c>
      <c r="U40" s="96">
        <f t="shared" si="12"/>
        <v>8.2579999999999991</v>
      </c>
      <c r="V40" s="94">
        <v>7.1561833650559938</v>
      </c>
      <c r="X40" s="244">
        <v>0</v>
      </c>
      <c r="Y40" s="245">
        <v>0</v>
      </c>
      <c r="Z40" s="245">
        <v>0</v>
      </c>
      <c r="AA40" s="245">
        <v>0</v>
      </c>
      <c r="AB40" s="245">
        <v>0</v>
      </c>
      <c r="AC40" s="245">
        <v>0</v>
      </c>
      <c r="AD40" s="246">
        <v>0</v>
      </c>
      <c r="AF40" s="290" t="s">
        <v>46</v>
      </c>
      <c r="AG40" s="291" t="s">
        <v>46</v>
      </c>
      <c r="AH40" s="291" t="s">
        <v>46</v>
      </c>
      <c r="AI40" s="291" t="s">
        <v>46</v>
      </c>
      <c r="AJ40" s="291" t="s">
        <v>46</v>
      </c>
      <c r="AK40" s="291" t="s">
        <v>46</v>
      </c>
      <c r="AL40" s="292" t="s">
        <v>45</v>
      </c>
    </row>
    <row r="41" spans="2:38" ht="12.9">
      <c r="D41" s="75" t="s">
        <v>146</v>
      </c>
      <c r="E41" s="86"/>
      <c r="F41" s="76"/>
      <c r="G41" s="76"/>
      <c r="H41" s="98"/>
      <c r="I41" s="99"/>
      <c r="J41" s="99"/>
      <c r="K41" s="99"/>
      <c r="L41" s="99"/>
      <c r="M41" s="99"/>
      <c r="N41" s="100"/>
      <c r="P41" s="98"/>
      <c r="Q41" s="99"/>
      <c r="R41" s="99"/>
      <c r="S41" s="99"/>
      <c r="T41" s="99"/>
      <c r="U41" s="99"/>
      <c r="V41" s="100"/>
      <c r="X41" s="98"/>
      <c r="Y41" s="99"/>
      <c r="Z41" s="99"/>
      <c r="AA41" s="99"/>
      <c r="AB41" s="99"/>
      <c r="AC41" s="99"/>
      <c r="AD41" s="100"/>
      <c r="AF41" s="98"/>
      <c r="AG41" s="99"/>
      <c r="AH41" s="99"/>
      <c r="AI41" s="99"/>
      <c r="AJ41" s="99"/>
      <c r="AK41" s="99"/>
      <c r="AL41" s="100"/>
    </row>
    <row r="42" spans="2:38" ht="12.9">
      <c r="D42" s="81"/>
      <c r="E42" s="54" t="s">
        <v>139</v>
      </c>
      <c r="F42" s="42" t="s">
        <v>153</v>
      </c>
      <c r="G42" s="42" t="s">
        <v>151</v>
      </c>
      <c r="H42" s="95">
        <v>0</v>
      </c>
      <c r="I42" s="96">
        <v>0</v>
      </c>
      <c r="J42" s="96">
        <v>0</v>
      </c>
      <c r="K42" s="96">
        <v>0</v>
      </c>
      <c r="L42" s="96">
        <v>0</v>
      </c>
      <c r="M42" s="96">
        <v>2.2495000000000003</v>
      </c>
      <c r="N42" s="97">
        <v>2.2495000000000003</v>
      </c>
      <c r="P42" s="95">
        <v>0</v>
      </c>
      <c r="Q42" s="96">
        <v>0</v>
      </c>
      <c r="R42" s="96">
        <v>0</v>
      </c>
      <c r="S42" s="96">
        <v>0</v>
      </c>
      <c r="T42" s="96">
        <v>0</v>
      </c>
      <c r="U42" s="96">
        <v>0</v>
      </c>
      <c r="V42" s="97">
        <v>0</v>
      </c>
      <c r="X42" s="241">
        <v>0</v>
      </c>
      <c r="Y42" s="242">
        <v>0</v>
      </c>
      <c r="Z42" s="242">
        <v>0</v>
      </c>
      <c r="AA42" s="242">
        <v>0</v>
      </c>
      <c r="AB42" s="242">
        <v>0</v>
      </c>
      <c r="AC42" s="242">
        <v>0</v>
      </c>
      <c r="AD42" s="243">
        <v>0</v>
      </c>
      <c r="AF42" s="288" t="s">
        <v>46</v>
      </c>
      <c r="AG42" s="61" t="s">
        <v>46</v>
      </c>
      <c r="AH42" s="61" t="s">
        <v>46</v>
      </c>
      <c r="AI42" s="61" t="s">
        <v>46</v>
      </c>
      <c r="AJ42" s="61" t="s">
        <v>46</v>
      </c>
      <c r="AK42" s="61" t="s">
        <v>46</v>
      </c>
      <c r="AL42" s="289" t="s">
        <v>45</v>
      </c>
    </row>
    <row r="43" spans="2:38" ht="12.9">
      <c r="D43" s="81"/>
      <c r="E43" s="54" t="s">
        <v>140</v>
      </c>
      <c r="F43" s="42" t="s">
        <v>153</v>
      </c>
      <c r="G43" s="42" t="s">
        <v>151</v>
      </c>
      <c r="H43" s="95">
        <v>0</v>
      </c>
      <c r="I43" s="96">
        <v>0</v>
      </c>
      <c r="J43" s="96">
        <v>0</v>
      </c>
      <c r="K43" s="96">
        <v>0</v>
      </c>
      <c r="L43" s="96">
        <v>0</v>
      </c>
      <c r="M43" s="96">
        <v>2.2495000000000003</v>
      </c>
      <c r="N43" s="97">
        <v>2.2495000000000003</v>
      </c>
      <c r="P43" s="95">
        <v>0</v>
      </c>
      <c r="Q43" s="96">
        <v>0</v>
      </c>
      <c r="R43" s="96">
        <v>0</v>
      </c>
      <c r="S43" s="96">
        <v>0</v>
      </c>
      <c r="T43" s="96">
        <v>0</v>
      </c>
      <c r="U43" s="96">
        <v>0</v>
      </c>
      <c r="V43" s="97">
        <v>0</v>
      </c>
      <c r="X43" s="241">
        <v>0</v>
      </c>
      <c r="Y43" s="242">
        <v>0</v>
      </c>
      <c r="Z43" s="242">
        <v>0</v>
      </c>
      <c r="AA43" s="242">
        <v>0</v>
      </c>
      <c r="AB43" s="242">
        <v>0</v>
      </c>
      <c r="AC43" s="242">
        <v>0</v>
      </c>
      <c r="AD43" s="243">
        <v>0</v>
      </c>
      <c r="AF43" s="288" t="s">
        <v>46</v>
      </c>
      <c r="AG43" s="61" t="s">
        <v>46</v>
      </c>
      <c r="AH43" s="61" t="s">
        <v>46</v>
      </c>
      <c r="AI43" s="61" t="s">
        <v>46</v>
      </c>
      <c r="AJ43" s="61" t="s">
        <v>46</v>
      </c>
      <c r="AK43" s="61" t="s">
        <v>46</v>
      </c>
      <c r="AL43" s="289" t="s">
        <v>45</v>
      </c>
    </row>
    <row r="44" spans="2:38" ht="12.9">
      <c r="D44" s="81"/>
      <c r="E44" s="54" t="s">
        <v>141</v>
      </c>
      <c r="F44" s="42" t="s">
        <v>153</v>
      </c>
      <c r="G44" s="42" t="s">
        <v>151</v>
      </c>
      <c r="H44" s="95">
        <v>0</v>
      </c>
      <c r="I44" s="96">
        <v>0</v>
      </c>
      <c r="J44" s="96">
        <v>0</v>
      </c>
      <c r="K44" s="96">
        <v>0</v>
      </c>
      <c r="L44" s="96">
        <v>0</v>
      </c>
      <c r="M44" s="96">
        <v>1.9316000000000002</v>
      </c>
      <c r="N44" s="97">
        <v>1.9283000000000001</v>
      </c>
      <c r="P44" s="95">
        <v>0</v>
      </c>
      <c r="Q44" s="96">
        <v>0</v>
      </c>
      <c r="R44" s="96">
        <v>0</v>
      </c>
      <c r="S44" s="96">
        <v>0</v>
      </c>
      <c r="T44" s="96">
        <v>0</v>
      </c>
      <c r="U44" s="96">
        <v>0</v>
      </c>
      <c r="V44" s="97">
        <v>0</v>
      </c>
      <c r="X44" s="241">
        <v>0</v>
      </c>
      <c r="Y44" s="242">
        <v>0</v>
      </c>
      <c r="Z44" s="242">
        <v>0</v>
      </c>
      <c r="AA44" s="242">
        <v>0</v>
      </c>
      <c r="AB44" s="242">
        <v>0</v>
      </c>
      <c r="AC44" s="242">
        <v>0</v>
      </c>
      <c r="AD44" s="243">
        <v>0</v>
      </c>
      <c r="AF44" s="288" t="s">
        <v>46</v>
      </c>
      <c r="AG44" s="61" t="s">
        <v>46</v>
      </c>
      <c r="AH44" s="61" t="s">
        <v>46</v>
      </c>
      <c r="AI44" s="61" t="s">
        <v>46</v>
      </c>
      <c r="AJ44" s="61" t="s">
        <v>46</v>
      </c>
      <c r="AK44" s="61" t="s">
        <v>46</v>
      </c>
      <c r="AL44" s="289" t="s">
        <v>45</v>
      </c>
    </row>
    <row r="45" spans="2:38" ht="12.9">
      <c r="D45" s="81"/>
      <c r="E45" s="54" t="s">
        <v>142</v>
      </c>
      <c r="F45" s="42" t="s">
        <v>153</v>
      </c>
      <c r="G45" s="42" t="s">
        <v>151</v>
      </c>
      <c r="H45" s="95">
        <v>0</v>
      </c>
      <c r="I45" s="96">
        <v>0</v>
      </c>
      <c r="J45" s="96">
        <v>0</v>
      </c>
      <c r="K45" s="96">
        <v>0</v>
      </c>
      <c r="L45" s="96">
        <v>0</v>
      </c>
      <c r="M45" s="96">
        <v>1.9316000000000002</v>
      </c>
      <c r="N45" s="97">
        <v>1.9283000000000001</v>
      </c>
      <c r="P45" s="95">
        <v>0</v>
      </c>
      <c r="Q45" s="96">
        <v>0</v>
      </c>
      <c r="R45" s="96">
        <v>0</v>
      </c>
      <c r="S45" s="96">
        <v>0</v>
      </c>
      <c r="T45" s="96">
        <v>0</v>
      </c>
      <c r="U45" s="96">
        <v>0</v>
      </c>
      <c r="V45" s="97">
        <v>0</v>
      </c>
      <c r="X45" s="241">
        <v>0</v>
      </c>
      <c r="Y45" s="242">
        <v>0</v>
      </c>
      <c r="Z45" s="242">
        <v>0</v>
      </c>
      <c r="AA45" s="242">
        <v>0</v>
      </c>
      <c r="AB45" s="242">
        <v>0</v>
      </c>
      <c r="AC45" s="242">
        <v>0</v>
      </c>
      <c r="AD45" s="243">
        <v>0</v>
      </c>
      <c r="AF45" s="288" t="s">
        <v>46</v>
      </c>
      <c r="AG45" s="61" t="s">
        <v>46</v>
      </c>
      <c r="AH45" s="61" t="s">
        <v>46</v>
      </c>
      <c r="AI45" s="61" t="s">
        <v>46</v>
      </c>
      <c r="AJ45" s="61" t="s">
        <v>46</v>
      </c>
      <c r="AK45" s="61" t="s">
        <v>46</v>
      </c>
      <c r="AL45" s="289" t="s">
        <v>45</v>
      </c>
    </row>
    <row r="46" spans="2:38" ht="13.2" thickBot="1">
      <c r="D46" s="82"/>
      <c r="E46" s="83" t="s">
        <v>143</v>
      </c>
      <c r="F46" s="84" t="s">
        <v>153</v>
      </c>
      <c r="G46" s="84" t="s">
        <v>151</v>
      </c>
      <c r="H46" s="101">
        <v>0</v>
      </c>
      <c r="I46" s="102">
        <v>0</v>
      </c>
      <c r="J46" s="102">
        <v>0</v>
      </c>
      <c r="K46" s="102">
        <v>0</v>
      </c>
      <c r="L46" s="102">
        <v>0</v>
      </c>
      <c r="M46" s="102">
        <v>1.9316000000000002</v>
      </c>
      <c r="N46" s="103">
        <v>1.9283000000000001</v>
      </c>
      <c r="P46" s="101">
        <v>0</v>
      </c>
      <c r="Q46" s="102">
        <v>0</v>
      </c>
      <c r="R46" s="102">
        <v>0</v>
      </c>
      <c r="S46" s="102">
        <v>0</v>
      </c>
      <c r="T46" s="102">
        <v>0</v>
      </c>
      <c r="U46" s="102">
        <v>0</v>
      </c>
      <c r="V46" s="103">
        <v>0</v>
      </c>
      <c r="X46" s="244">
        <v>0</v>
      </c>
      <c r="Y46" s="245">
        <v>0</v>
      </c>
      <c r="Z46" s="245">
        <v>0</v>
      </c>
      <c r="AA46" s="245">
        <v>0</v>
      </c>
      <c r="AB46" s="245">
        <v>0</v>
      </c>
      <c r="AC46" s="245">
        <v>0</v>
      </c>
      <c r="AD46" s="246">
        <v>0</v>
      </c>
      <c r="AF46" s="290" t="s">
        <v>46</v>
      </c>
      <c r="AG46" s="291" t="s">
        <v>46</v>
      </c>
      <c r="AH46" s="291" t="s">
        <v>46</v>
      </c>
      <c r="AI46" s="291" t="s">
        <v>46</v>
      </c>
      <c r="AJ46" s="291" t="s">
        <v>46</v>
      </c>
      <c r="AK46" s="291" t="s">
        <v>46</v>
      </c>
      <c r="AL46" s="292" t="s">
        <v>45</v>
      </c>
    </row>
    <row r="48" spans="2:38" s="7" customFormat="1" ht="15.6">
      <c r="B48" s="7" t="s">
        <v>433</v>
      </c>
    </row>
    <row r="50" spans="2:30" ht="12.75" customHeight="1">
      <c r="H50" s="491" t="s">
        <v>434</v>
      </c>
      <c r="I50" s="491"/>
      <c r="J50" s="491"/>
      <c r="K50" s="491"/>
      <c r="L50" s="491"/>
      <c r="M50" s="491"/>
      <c r="N50" s="491"/>
      <c r="P50" s="491" t="s">
        <v>435</v>
      </c>
      <c r="Q50" s="491"/>
      <c r="R50" s="491"/>
      <c r="S50" s="491"/>
      <c r="T50" s="491"/>
      <c r="U50" s="491"/>
      <c r="V50" s="491"/>
      <c r="X50" s="491" t="s">
        <v>436</v>
      </c>
      <c r="Y50" s="491"/>
      <c r="Z50" s="491"/>
      <c r="AA50" s="491"/>
      <c r="AB50" s="491"/>
      <c r="AC50" s="491"/>
      <c r="AD50" s="491"/>
    </row>
    <row r="51" spans="2:30" ht="12.75" customHeight="1">
      <c r="F51" s="55" t="s">
        <v>135</v>
      </c>
      <c r="G51" s="55" t="s">
        <v>136</v>
      </c>
      <c r="H51" s="357" t="str">
        <f>H$15</f>
        <v>Residential</v>
      </c>
      <c r="I51" s="357" t="str">
        <f t="shared" ref="I51:N51" si="13">I$15</f>
        <v>Non-residential</v>
      </c>
      <c r="J51" s="357" t="str">
        <f t="shared" si="13"/>
        <v>Unmetered SL</v>
      </c>
      <c r="K51" s="357" t="str">
        <f t="shared" si="13"/>
        <v>Unmetered TL</v>
      </c>
      <c r="L51" s="357" t="str">
        <f t="shared" si="13"/>
        <v>LV Smart</v>
      </c>
      <c r="M51" s="357" t="str">
        <f t="shared" si="13"/>
        <v xml:space="preserve"> &gt;750 LV</v>
      </c>
      <c r="N51" s="357" t="str">
        <f t="shared" si="13"/>
        <v>HV</v>
      </c>
      <c r="P51" s="357" t="str">
        <f>P$15</f>
        <v>Residential</v>
      </c>
      <c r="Q51" s="357" t="str">
        <f t="shared" ref="Q51:V51" si="14">Q$15</f>
        <v>Non-residential</v>
      </c>
      <c r="R51" s="357" t="str">
        <f t="shared" si="14"/>
        <v>Unmetered SL</v>
      </c>
      <c r="S51" s="357" t="str">
        <f t="shared" si="14"/>
        <v>Unmetered TL</v>
      </c>
      <c r="T51" s="357" t="str">
        <f t="shared" si="14"/>
        <v>LV Smart</v>
      </c>
      <c r="U51" s="357" t="str">
        <f t="shared" si="14"/>
        <v xml:space="preserve"> &gt;750 LV</v>
      </c>
      <c r="V51" s="357" t="str">
        <f t="shared" si="14"/>
        <v>HV</v>
      </c>
      <c r="X51" s="357" t="str">
        <f>X$15</f>
        <v>Residential</v>
      </c>
      <c r="Y51" s="357" t="str">
        <f t="shared" ref="Y51:AD51" si="15">Y$15</f>
        <v>Non-residential</v>
      </c>
      <c r="Z51" s="357" t="str">
        <f t="shared" si="15"/>
        <v>Unmetered SL</v>
      </c>
      <c r="AA51" s="357" t="str">
        <f t="shared" si="15"/>
        <v>Unmetered TL</v>
      </c>
      <c r="AB51" s="357" t="str">
        <f t="shared" si="15"/>
        <v>LV Smart</v>
      </c>
      <c r="AC51" s="357" t="str">
        <f t="shared" si="15"/>
        <v xml:space="preserve"> &gt;750 LV</v>
      </c>
      <c r="AD51" s="357" t="str">
        <f t="shared" si="15"/>
        <v>HV</v>
      </c>
    </row>
    <row r="52" spans="2:30" ht="12.75" customHeight="1">
      <c r="D52" s="14" t="s">
        <v>433</v>
      </c>
      <c r="F52" s="42" t="s">
        <v>480</v>
      </c>
      <c r="G52" s="42" t="s">
        <v>432</v>
      </c>
      <c r="H52" s="147">
        <f>ROUNDUP(SUM(J$177:J$179)/Days_In_Yr,0)</f>
        <v>71038</v>
      </c>
      <c r="I52" s="147">
        <f>ROUNDUP(SUM(J$180:J$182)/Days_In_Yr,0)</f>
        <v>10217</v>
      </c>
      <c r="J52" s="147">
        <v>0</v>
      </c>
      <c r="K52" s="147">
        <v>0</v>
      </c>
      <c r="L52" s="147">
        <f>ROUNDUP(SUM(J$189:J$191)/Days_In_Yr,0)</f>
        <v>1298</v>
      </c>
      <c r="M52" s="147">
        <f>COUNTIF('Inputs_&gt;750MWh'!$E$9:$E$191,"LV")</f>
        <v>0</v>
      </c>
      <c r="N52" s="147">
        <f>COUNTIF('Inputs_&gt;750MWh'!$E$9:$E$191,"HV")</f>
        <v>0</v>
      </c>
      <c r="P52" s="147">
        <f>ROUNDUP(SUM(Q$177:Q$179)/Days_In_Yr,0)</f>
        <v>71363</v>
      </c>
      <c r="Q52" s="147">
        <f>ROUNDUP(SUM(Q$180:Q$182)/Days_In_Yr,0)</f>
        <v>10253</v>
      </c>
      <c r="R52" s="147">
        <v>0</v>
      </c>
      <c r="S52" s="147">
        <v>0</v>
      </c>
      <c r="T52" s="147">
        <f>ROUNDUP(SUM(Q$189:Q$191)/Days_In_Yr,0)</f>
        <v>1303</v>
      </c>
      <c r="U52" s="147">
        <f>COUNTIF('Inputs_&gt;750MWh'!$E$9:$E$191,"LV")</f>
        <v>0</v>
      </c>
      <c r="V52" s="147">
        <f>COUNTIF('Inputs_&gt;750MWh'!$E$9:$E$191,"HV")</f>
        <v>0</v>
      </c>
      <c r="X52" s="147">
        <f>ROUNDUP(SUM(X$177:X$179)/Days_In_Yr,0)</f>
        <v>71706</v>
      </c>
      <c r="Y52" s="147">
        <f>ROUNDUP(SUM(X$180:X$182)/Days_In_Yr,0)</f>
        <v>10346</v>
      </c>
      <c r="Z52" s="147">
        <v>0</v>
      </c>
      <c r="AA52" s="147">
        <v>0</v>
      </c>
      <c r="AB52" s="147">
        <f>ROUNDUP(SUM(X$189:X$191)/Days_In_Yr,0)</f>
        <v>1314</v>
      </c>
      <c r="AC52" s="147">
        <f>COUNTIF('Inputs_&gt;750MWh'!$E$9:$E$191,"LV")</f>
        <v>0</v>
      </c>
      <c r="AD52" s="147">
        <f>COUNTIF('Inputs_&gt;750MWh'!$E$9:$E$191,"HV")</f>
        <v>0</v>
      </c>
    </row>
    <row r="54" spans="2:30" s="7" customFormat="1" ht="15.6">
      <c r="B54" s="7" t="s">
        <v>157</v>
      </c>
    </row>
    <row r="56" spans="2:30" ht="12.75" customHeight="1">
      <c r="F56" s="55" t="s">
        <v>135</v>
      </c>
      <c r="G56" s="55" t="s">
        <v>136</v>
      </c>
      <c r="I56" s="30" t="s">
        <v>158</v>
      </c>
      <c r="J56" s="113" t="str">
        <f>LEFT(I56,4)+1&amp;"/"&amp;RIGHT(LEFT(I56,4)+2,2)</f>
        <v>2019/20</v>
      </c>
      <c r="K56" s="113" t="str">
        <f t="shared" ref="K56:N56" si="16">LEFT(J56,4)+1&amp;"/"&amp;RIGHT(LEFT(J56,4)+2,2)</f>
        <v>2020/21</v>
      </c>
      <c r="L56" s="113" t="str">
        <f t="shared" si="16"/>
        <v>2021/22</v>
      </c>
      <c r="M56" s="113" t="str">
        <f t="shared" si="16"/>
        <v>2022/23</v>
      </c>
      <c r="N56" s="113" t="str">
        <f t="shared" si="16"/>
        <v>2023/24</v>
      </c>
    </row>
    <row r="57" spans="2:30" ht="12.75" customHeight="1">
      <c r="D57" s="14" t="s">
        <v>160</v>
      </c>
      <c r="F57" s="42" t="s">
        <v>481</v>
      </c>
      <c r="G57" s="42" t="s">
        <v>249</v>
      </c>
      <c r="I57" s="93">
        <f>'[2]X factors'!F60</f>
        <v>177.84186661021639</v>
      </c>
      <c r="J57" s="93">
        <f>'[2]X factors'!G60</f>
        <v>164.99861387816443</v>
      </c>
      <c r="K57" s="93">
        <f>'[2]X factors'!H60</f>
        <v>174.7051634304531</v>
      </c>
      <c r="L57" s="93">
        <f>'[2]X factors'!I60</f>
        <v>184.98273053250497</v>
      </c>
      <c r="M57" s="93">
        <f>'[2]X factors'!J60</f>
        <v>195.86490704313468</v>
      </c>
      <c r="N57" s="93">
        <f>'[2]X factors'!K60</f>
        <v>207.387260965286</v>
      </c>
    </row>
    <row r="58" spans="2:30" ht="12.75" customHeight="1">
      <c r="D58" s="14" t="s">
        <v>161</v>
      </c>
      <c r="F58" s="42" t="s">
        <v>481</v>
      </c>
      <c r="G58" s="42" t="s">
        <v>164</v>
      </c>
      <c r="J58" s="112">
        <f>'[2]X factors'!G63</f>
        <v>9.4182208389897021E-2</v>
      </c>
      <c r="K58" s="112">
        <f>'[2]X factors'!H63</f>
        <v>-3.3760666814186872E-2</v>
      </c>
      <c r="L58" s="112">
        <f>'[2]X factors'!I63</f>
        <v>-3.3760666814186872E-2</v>
      </c>
      <c r="M58" s="112">
        <f>'[2]X factors'!J63</f>
        <v>-3.3760666814186872E-2</v>
      </c>
      <c r="N58" s="112">
        <f>'[2]X factors'!K63</f>
        <v>-3.3760666814186872E-2</v>
      </c>
    </row>
    <row r="60" spans="2:30" ht="12.75" customHeight="1">
      <c r="D60" s="14" t="s">
        <v>162</v>
      </c>
      <c r="F60" s="42" t="s">
        <v>489</v>
      </c>
      <c r="G60" s="42" t="s">
        <v>164</v>
      </c>
      <c r="H60" s="112">
        <v>0.02</v>
      </c>
    </row>
    <row r="61" spans="2:30" ht="12.75" customHeight="1">
      <c r="D61" s="14" t="s">
        <v>163</v>
      </c>
      <c r="F61" s="42" t="s">
        <v>481</v>
      </c>
      <c r="G61" s="42" t="s">
        <v>164</v>
      </c>
      <c r="H61" s="112">
        <f>[2]!f</f>
        <v>2.4248746575396662E-2</v>
      </c>
    </row>
    <row r="62" spans="2:30" ht="12.75" customHeight="1">
      <c r="D62" s="14" t="s">
        <v>511</v>
      </c>
      <c r="F62" s="42" t="s">
        <v>481</v>
      </c>
      <c r="G62" s="42" t="s">
        <v>164</v>
      </c>
      <c r="H62" s="112">
        <f>[2]!vanilla01</f>
        <v>6.6223823594072889E-2</v>
      </c>
    </row>
    <row r="63" spans="2:30" ht="12.75" customHeight="1">
      <c r="D63" s="14" t="s">
        <v>512</v>
      </c>
      <c r="F63" s="42"/>
      <c r="G63" s="42" t="s">
        <v>164</v>
      </c>
      <c r="H63" s="148">
        <f>(1+H62)/(1+H61)-1</f>
        <v>4.0981331106355823E-2</v>
      </c>
    </row>
    <row r="65" spans="2:18" ht="12.75" customHeight="1">
      <c r="I65" s="113" t="str">
        <f>I56</f>
        <v>2018/19</v>
      </c>
      <c r="J65" s="113" t="str">
        <f t="shared" ref="J65:N65" si="17">J56</f>
        <v>2019/20</v>
      </c>
      <c r="K65" s="113" t="str">
        <f t="shared" si="17"/>
        <v>2020/21</v>
      </c>
      <c r="L65" s="113" t="str">
        <f t="shared" si="17"/>
        <v>2021/22</v>
      </c>
      <c r="M65" s="113" t="str">
        <f t="shared" si="17"/>
        <v>2022/23</v>
      </c>
      <c r="N65" s="113" t="str">
        <f t="shared" si="17"/>
        <v>2023/24</v>
      </c>
    </row>
    <row r="66" spans="2:18" ht="12.75" customHeight="1">
      <c r="D66" s="119" t="s">
        <v>240</v>
      </c>
      <c r="E66" s="49"/>
      <c r="F66" s="152" t="s">
        <v>246</v>
      </c>
      <c r="G66" s="111" t="s">
        <v>164</v>
      </c>
      <c r="H66" s="49"/>
      <c r="I66" s="153">
        <f>$H$61</f>
        <v>2.4248746575396662E-2</v>
      </c>
      <c r="J66" s="153">
        <f>$H$61</f>
        <v>2.4248746575396662E-2</v>
      </c>
      <c r="K66" s="153">
        <f t="shared" ref="K66:N66" si="18">$H$61</f>
        <v>2.4248746575396662E-2</v>
      </c>
      <c r="L66" s="153">
        <f t="shared" si="18"/>
        <v>2.4248746575396662E-2</v>
      </c>
      <c r="M66" s="153">
        <f t="shared" si="18"/>
        <v>2.4248746575396662E-2</v>
      </c>
      <c r="N66" s="154">
        <f t="shared" si="18"/>
        <v>2.4248746575396662E-2</v>
      </c>
    </row>
    <row r="67" spans="2:18" ht="12.75" customHeight="1">
      <c r="D67" s="122" t="s">
        <v>241</v>
      </c>
      <c r="E67" s="52"/>
      <c r="F67" s="149" t="s">
        <v>246</v>
      </c>
      <c r="G67" s="42" t="s">
        <v>241</v>
      </c>
      <c r="H67" s="52"/>
      <c r="I67" s="155">
        <f>IF(H67="",1,H67*(1+I66))</f>
        <v>1</v>
      </c>
      <c r="J67" s="155">
        <f t="shared" ref="J67:N67" si="19">IF(I67="",1,I67*(1+J66))</f>
        <v>1.0242487465753967</v>
      </c>
      <c r="K67" s="155">
        <f t="shared" si="19"/>
        <v>1.0490854948612711</v>
      </c>
      <c r="L67" s="155">
        <f t="shared" si="19"/>
        <v>1.0745245031620867</v>
      </c>
      <c r="M67" s="155">
        <f t="shared" si="19"/>
        <v>1.1005803755283181</v>
      </c>
      <c r="N67" s="156">
        <f t="shared" si="19"/>
        <v>1.1272680701403592</v>
      </c>
    </row>
    <row r="68" spans="2:18" ht="12.75" customHeight="1">
      <c r="D68" s="122" t="s">
        <v>161</v>
      </c>
      <c r="E68" s="52"/>
      <c r="F68" s="149" t="s">
        <v>246</v>
      </c>
      <c r="G68" s="42" t="s">
        <v>164</v>
      </c>
      <c r="H68" s="52"/>
      <c r="I68" s="157"/>
      <c r="J68" s="157">
        <f t="shared" ref="J68:N68" si="20">J58</f>
        <v>9.4182208389897021E-2</v>
      </c>
      <c r="K68" s="157">
        <f t="shared" si="20"/>
        <v>-3.3760666814186872E-2</v>
      </c>
      <c r="L68" s="157">
        <f t="shared" si="20"/>
        <v>-3.3760666814186872E-2</v>
      </c>
      <c r="M68" s="157">
        <f t="shared" si="20"/>
        <v>-3.3760666814186872E-2</v>
      </c>
      <c r="N68" s="158">
        <f t="shared" si="20"/>
        <v>-3.3760666814186872E-2</v>
      </c>
    </row>
    <row r="69" spans="2:18" ht="12.75" customHeight="1">
      <c r="D69" s="122" t="s">
        <v>160</v>
      </c>
      <c r="E69" s="52"/>
      <c r="F69" s="149" t="s">
        <v>246</v>
      </c>
      <c r="G69" s="42" t="s">
        <v>249</v>
      </c>
      <c r="H69" s="52"/>
      <c r="I69" s="159">
        <f>I57</f>
        <v>177.84186661021639</v>
      </c>
      <c r="J69" s="159">
        <f t="shared" ref="J69:N69" si="21">J57</f>
        <v>164.99861387816443</v>
      </c>
      <c r="K69" s="159">
        <f t="shared" si="21"/>
        <v>174.7051634304531</v>
      </c>
      <c r="L69" s="159">
        <f t="shared" si="21"/>
        <v>184.98273053250497</v>
      </c>
      <c r="M69" s="159">
        <f t="shared" si="21"/>
        <v>195.86490704313468</v>
      </c>
      <c r="N69" s="160">
        <f t="shared" si="21"/>
        <v>207.387260965286</v>
      </c>
    </row>
    <row r="70" spans="2:18" ht="12.75" customHeight="1">
      <c r="D70" s="122" t="s">
        <v>242</v>
      </c>
      <c r="E70" s="52"/>
      <c r="F70" s="149" t="s">
        <v>246</v>
      </c>
      <c r="G70" s="42" t="s">
        <v>250</v>
      </c>
      <c r="H70" s="52"/>
      <c r="I70" s="161">
        <f t="shared" ref="I70:N70" si="22">I69*Thousand</f>
        <v>177841.86661021638</v>
      </c>
      <c r="J70" s="161">
        <f t="shared" si="22"/>
        <v>164998.61387816444</v>
      </c>
      <c r="K70" s="161">
        <f t="shared" si="22"/>
        <v>174705.1634304531</v>
      </c>
      <c r="L70" s="161">
        <f t="shared" si="22"/>
        <v>184982.73053250497</v>
      </c>
      <c r="M70" s="161">
        <f t="shared" si="22"/>
        <v>195864.90704313468</v>
      </c>
      <c r="N70" s="162">
        <f t="shared" si="22"/>
        <v>207387.260965286</v>
      </c>
    </row>
    <row r="71" spans="2:18" ht="12.75" customHeight="1">
      <c r="D71" s="122" t="s">
        <v>243</v>
      </c>
      <c r="E71" s="52"/>
      <c r="F71" s="149" t="s">
        <v>246</v>
      </c>
      <c r="G71" s="42" t="s">
        <v>245</v>
      </c>
      <c r="H71" s="52"/>
      <c r="I71" s="157" t="str">
        <f t="shared" ref="I71:N71" si="23">IFERROR(I70/H70-1,NA)</f>
        <v>N/A</v>
      </c>
      <c r="J71" s="157">
        <f t="shared" si="23"/>
        <v>-7.2217262317658015E-2</v>
      </c>
      <c r="K71" s="157">
        <f t="shared" si="23"/>
        <v>5.8828067243376969E-2</v>
      </c>
      <c r="L71" s="157">
        <f t="shared" si="23"/>
        <v>5.8828067243376969E-2</v>
      </c>
      <c r="M71" s="157">
        <f t="shared" si="23"/>
        <v>5.8828067243377191E-2</v>
      </c>
      <c r="N71" s="158">
        <f t="shared" si="23"/>
        <v>5.8828067243376969E-2</v>
      </c>
    </row>
    <row r="72" spans="2:18" ht="12.75" customHeight="1">
      <c r="D72" s="51"/>
      <c r="E72" s="52"/>
      <c r="F72" s="52"/>
      <c r="G72" s="52"/>
      <c r="H72" s="52"/>
      <c r="I72" s="52"/>
      <c r="J72" s="52"/>
      <c r="K72" s="52"/>
      <c r="L72" s="52"/>
      <c r="M72" s="52"/>
      <c r="N72" s="53"/>
    </row>
    <row r="73" spans="2:18" ht="12.75" customHeight="1">
      <c r="D73" s="122" t="s">
        <v>162</v>
      </c>
      <c r="E73" s="52"/>
      <c r="F73" s="149" t="s">
        <v>246</v>
      </c>
      <c r="G73" s="42" t="s">
        <v>245</v>
      </c>
      <c r="H73" s="52"/>
      <c r="I73" s="157">
        <f>$H$60</f>
        <v>0.02</v>
      </c>
      <c r="J73" s="157">
        <f>$H$60</f>
        <v>0.02</v>
      </c>
      <c r="K73" s="157">
        <f t="shared" ref="K73:N73" si="24">$H$60</f>
        <v>0.02</v>
      </c>
      <c r="L73" s="157">
        <f t="shared" si="24"/>
        <v>0.02</v>
      </c>
      <c r="M73" s="157">
        <f t="shared" si="24"/>
        <v>0.02</v>
      </c>
      <c r="N73" s="158">
        <f t="shared" si="24"/>
        <v>0.02</v>
      </c>
    </row>
    <row r="74" spans="2:18" ht="12.75" customHeight="1">
      <c r="D74" s="124" t="s">
        <v>244</v>
      </c>
      <c r="E74" s="59"/>
      <c r="F74" s="163" t="s">
        <v>246</v>
      </c>
      <c r="G74" s="125" t="s">
        <v>245</v>
      </c>
      <c r="H74" s="59"/>
      <c r="I74" s="164" t="str">
        <f t="shared" ref="I74:N74" si="25">IFERROR((1+I71)*(1+I73)-1,NA)</f>
        <v>N/A</v>
      </c>
      <c r="J74" s="164">
        <f t="shared" si="25"/>
        <v>-5.3661607564011171E-2</v>
      </c>
      <c r="K74" s="164">
        <f t="shared" si="25"/>
        <v>8.0004628588244531E-2</v>
      </c>
      <c r="L74" s="164">
        <f t="shared" si="25"/>
        <v>8.0004628588244531E-2</v>
      </c>
      <c r="M74" s="164">
        <f t="shared" si="25"/>
        <v>8.0004628588244753E-2</v>
      </c>
      <c r="N74" s="165">
        <f t="shared" si="25"/>
        <v>8.0004628588244531E-2</v>
      </c>
    </row>
    <row r="76" spans="2:18" s="7" customFormat="1" ht="15.6">
      <c r="B76" s="7" t="s">
        <v>165</v>
      </c>
    </row>
    <row r="78" spans="2:18" ht="12.75" customHeight="1">
      <c r="F78" s="55" t="s">
        <v>135</v>
      </c>
      <c r="G78" s="55" t="s">
        <v>136</v>
      </c>
      <c r="J78" s="113" t="str">
        <f t="shared" ref="J78:Q78" si="26">IF(I78="",Tariff_Year,LEFT(I78,4)+1&amp;"/"&amp;RIGHT(LEFT(I78,4)+2,2))</f>
        <v>2019/20</v>
      </c>
      <c r="K78" s="113" t="str">
        <f t="shared" si="26"/>
        <v>2020/21</v>
      </c>
      <c r="L78" s="113" t="str">
        <f t="shared" si="26"/>
        <v>2021/22</v>
      </c>
      <c r="M78" s="113" t="str">
        <f t="shared" si="26"/>
        <v>2022/23</v>
      </c>
      <c r="N78" s="113" t="str">
        <f t="shared" si="26"/>
        <v>2023/24</v>
      </c>
      <c r="O78" s="113" t="str">
        <f t="shared" si="26"/>
        <v>2024/25</v>
      </c>
      <c r="P78" s="113" t="str">
        <f t="shared" si="26"/>
        <v>2025/26</v>
      </c>
      <c r="Q78" s="113" t="str">
        <f t="shared" si="26"/>
        <v>2026/27</v>
      </c>
      <c r="R78" s="113" t="str">
        <f>"Post "&amp;Q78</f>
        <v>Post 2026/27</v>
      </c>
    </row>
    <row r="79" spans="2:18" ht="12.75" customHeight="1">
      <c r="D79" s="14" t="s">
        <v>169</v>
      </c>
      <c r="F79" s="42" t="s">
        <v>482</v>
      </c>
      <c r="G79" s="42" t="s">
        <v>164</v>
      </c>
      <c r="J79" s="112">
        <v>-1.7386892633311835E-2</v>
      </c>
      <c r="K79" s="112">
        <v>4.7207801079449663E-3</v>
      </c>
      <c r="L79" s="112">
        <v>-6.3860634750690926E-3</v>
      </c>
      <c r="M79" s="112">
        <v>-2.4220590878288872E-3</v>
      </c>
      <c r="N79" s="112">
        <v>1.8436305058011637E-3</v>
      </c>
      <c r="O79" s="112">
        <v>-5.2669974230445948E-4</v>
      </c>
      <c r="P79" s="112">
        <v>1.2557475372148019E-3</v>
      </c>
      <c r="Q79" s="112">
        <v>2.9197778171878852E-3</v>
      </c>
      <c r="R79" s="112">
        <v>1.2999999999999999E-2</v>
      </c>
    </row>
    <row r="80" spans="2:18" ht="12.75" customHeight="1">
      <c r="D80" s="14" t="s">
        <v>170</v>
      </c>
      <c r="F80" s="42" t="s">
        <v>482</v>
      </c>
      <c r="G80" s="42" t="s">
        <v>164</v>
      </c>
      <c r="J80" s="112">
        <v>-1.1539270214841912E-2</v>
      </c>
      <c r="K80" s="112">
        <v>-2.0833543279044853E-2</v>
      </c>
      <c r="L80" s="112">
        <v>-1.5187449331586667E-2</v>
      </c>
      <c r="M80" s="112">
        <v>-2.3286365813036669E-3</v>
      </c>
      <c r="N80" s="112">
        <v>-1.8123558254113381E-2</v>
      </c>
      <c r="O80" s="112">
        <v>-6.3121109190745761E-3</v>
      </c>
      <c r="P80" s="112">
        <v>-1.134296318860073E-2</v>
      </c>
      <c r="Q80" s="112">
        <v>-1.8887839929708772E-3</v>
      </c>
      <c r="R80" s="112">
        <v>1.2999999999999999E-2</v>
      </c>
    </row>
    <row r="81" spans="2:18" ht="12.75" customHeight="1">
      <c r="D81" s="14" t="s">
        <v>171</v>
      </c>
      <c r="F81" s="42" t="s">
        <v>482</v>
      </c>
      <c r="G81" s="42" t="s">
        <v>164</v>
      </c>
      <c r="J81" s="112">
        <v>-3.7460697073343763E-4</v>
      </c>
      <c r="K81" s="112">
        <v>-3.9261348246958372E-3</v>
      </c>
      <c r="L81" s="112">
        <v>1.0428068580238703E-2</v>
      </c>
      <c r="M81" s="112">
        <v>-5.0621381108115759E-3</v>
      </c>
      <c r="N81" s="112">
        <v>-1.9676255840583856E-4</v>
      </c>
      <c r="O81" s="112">
        <v>1.6926810366053591E-3</v>
      </c>
      <c r="P81" s="112">
        <v>-3.7073198282430164E-3</v>
      </c>
      <c r="Q81" s="112">
        <v>1.2406789863868006E-3</v>
      </c>
      <c r="R81" s="112">
        <v>1.2999999999999999E-2</v>
      </c>
    </row>
    <row r="83" spans="2:18" s="7" customFormat="1" ht="15.6">
      <c r="B83" s="7" t="s">
        <v>175</v>
      </c>
    </row>
    <row r="85" spans="2:18" ht="12.75" customHeight="1">
      <c r="D85" s="14"/>
      <c r="F85" s="55" t="s">
        <v>135</v>
      </c>
      <c r="G85" s="55" t="s">
        <v>136</v>
      </c>
      <c r="J85" s="113" t="str">
        <f>IF(I85="",Tariff_Year,LEFT(I85,4)+1&amp;"/"&amp;RIGHT(LEFT(I85,4)+2,2))</f>
        <v>2019/20</v>
      </c>
    </row>
    <row r="86" spans="2:18" ht="12.75" customHeight="1">
      <c r="D86" s="14" t="s">
        <v>169</v>
      </c>
      <c r="F86" s="42" t="s">
        <v>482</v>
      </c>
      <c r="G86" s="42" t="s">
        <v>177</v>
      </c>
      <c r="J86" s="91">
        <v>279822.31109999999</v>
      </c>
    </row>
    <row r="87" spans="2:18" ht="12.75" customHeight="1">
      <c r="D87" s="14" t="s">
        <v>170</v>
      </c>
      <c r="F87" s="42" t="s">
        <v>482</v>
      </c>
      <c r="G87" s="42" t="s">
        <v>177</v>
      </c>
      <c r="J87" s="91">
        <v>50087.353170000002</v>
      </c>
    </row>
    <row r="88" spans="2:18" ht="12.75" customHeight="1">
      <c r="D88" s="14" t="s">
        <v>171</v>
      </c>
      <c r="F88" s="42" t="s">
        <v>482</v>
      </c>
      <c r="G88" s="42" t="s">
        <v>177</v>
      </c>
      <c r="J88" s="114">
        <v>9169.5857650000016</v>
      </c>
    </row>
    <row r="89" spans="2:18" ht="12.75" customHeight="1">
      <c r="D89" s="110" t="s">
        <v>73</v>
      </c>
      <c r="E89" s="49"/>
      <c r="F89" s="117" t="s">
        <v>480</v>
      </c>
      <c r="G89" s="117" t="s">
        <v>177</v>
      </c>
      <c r="H89" s="49"/>
      <c r="I89" s="49"/>
      <c r="J89" s="116">
        <f>SUM(J86:J88)</f>
        <v>339079.25003500003</v>
      </c>
    </row>
    <row r="91" spans="2:18" s="7" customFormat="1" ht="15.6">
      <c r="B91" s="7" t="s">
        <v>176</v>
      </c>
    </row>
    <row r="93" spans="2:18" ht="12.75" customHeight="1">
      <c r="F93" s="55" t="s">
        <v>135</v>
      </c>
      <c r="G93" s="55" t="s">
        <v>136</v>
      </c>
    </row>
    <row r="94" spans="2:18" ht="12.75" customHeight="1">
      <c r="D94" s="14" t="s">
        <v>176</v>
      </c>
      <c r="F94" s="42" t="s">
        <v>153</v>
      </c>
      <c r="G94" s="42" t="s">
        <v>178</v>
      </c>
      <c r="H94" s="91">
        <v>40</v>
      </c>
    </row>
    <row r="96" spans="2:18" s="7" customFormat="1" ht="15.6">
      <c r="B96" s="7" t="s">
        <v>179</v>
      </c>
    </row>
    <row r="98" spans="2:10" ht="12.75" customHeight="1">
      <c r="H98" s="490" t="s">
        <v>187</v>
      </c>
      <c r="I98" s="490"/>
      <c r="J98" s="490"/>
    </row>
    <row r="99" spans="2:10" ht="12.75" customHeight="1">
      <c r="D99" s="12" t="s">
        <v>180</v>
      </c>
      <c r="F99" s="55" t="s">
        <v>135</v>
      </c>
      <c r="G99" s="55" t="s">
        <v>136</v>
      </c>
      <c r="H99" s="30" t="s">
        <v>403</v>
      </c>
      <c r="I99" s="30" t="s">
        <v>181</v>
      </c>
      <c r="J99" s="30" t="s">
        <v>314</v>
      </c>
    </row>
    <row r="100" spans="2:10" ht="12.75" customHeight="1">
      <c r="D100" s="14" t="s">
        <v>182</v>
      </c>
      <c r="F100" s="42" t="s">
        <v>488</v>
      </c>
      <c r="G100" s="42" t="s">
        <v>164</v>
      </c>
      <c r="H100" s="118">
        <v>0.05</v>
      </c>
      <c r="I100" s="118">
        <v>0.05</v>
      </c>
      <c r="J100" s="118">
        <v>0.03</v>
      </c>
    </row>
    <row r="101" spans="2:10" ht="12.75" customHeight="1">
      <c r="D101" s="14" t="s">
        <v>183</v>
      </c>
      <c r="F101" s="42" t="s">
        <v>488</v>
      </c>
      <c r="G101" s="42" t="s">
        <v>164</v>
      </c>
      <c r="H101" s="118">
        <v>0.05</v>
      </c>
      <c r="I101" s="118">
        <v>0.05</v>
      </c>
      <c r="J101" s="118">
        <v>0.05</v>
      </c>
    </row>
    <row r="102" spans="2:10" ht="12.75" customHeight="1">
      <c r="D102" s="14" t="s">
        <v>184</v>
      </c>
      <c r="F102" s="42" t="s">
        <v>488</v>
      </c>
      <c r="G102" s="42" t="s">
        <v>164</v>
      </c>
      <c r="H102" s="118">
        <v>0.05</v>
      </c>
      <c r="I102" s="118">
        <v>0.05</v>
      </c>
      <c r="J102" s="118">
        <v>0.1</v>
      </c>
    </row>
    <row r="103" spans="2:10" ht="12.75" customHeight="1">
      <c r="D103" s="14" t="s">
        <v>185</v>
      </c>
      <c r="F103" s="42" t="s">
        <v>488</v>
      </c>
      <c r="G103" s="42" t="s">
        <v>164</v>
      </c>
      <c r="H103" s="118">
        <v>0.3</v>
      </c>
      <c r="I103" s="118">
        <v>0</v>
      </c>
      <c r="J103" s="118">
        <v>0.1</v>
      </c>
    </row>
    <row r="104" spans="2:10" ht="12.75" customHeight="1">
      <c r="D104" s="14" t="s">
        <v>186</v>
      </c>
      <c r="F104" s="42" t="s">
        <v>488</v>
      </c>
      <c r="G104" s="42" t="s">
        <v>164</v>
      </c>
      <c r="H104" s="118">
        <v>0.5</v>
      </c>
      <c r="I104" s="118">
        <v>0</v>
      </c>
      <c r="J104" s="118">
        <v>0.15</v>
      </c>
    </row>
    <row r="105" spans="2:10" ht="12.75" customHeight="1">
      <c r="D105" s="14" t="s">
        <v>353</v>
      </c>
      <c r="F105" s="42" t="s">
        <v>488</v>
      </c>
      <c r="G105" s="42" t="s">
        <v>164</v>
      </c>
      <c r="H105" s="118">
        <v>0</v>
      </c>
      <c r="I105" s="118">
        <v>0</v>
      </c>
      <c r="J105" s="118">
        <v>0</v>
      </c>
    </row>
    <row r="107" spans="2:10" s="7" customFormat="1" ht="15.6">
      <c r="B107" s="7" t="s">
        <v>188</v>
      </c>
    </row>
    <row r="109" spans="2:10" ht="12.75" customHeight="1">
      <c r="H109" s="490" t="s">
        <v>187</v>
      </c>
      <c r="I109" s="490"/>
      <c r="J109" s="490"/>
    </row>
    <row r="110" spans="2:10" ht="12.75" customHeight="1">
      <c r="D110" s="12" t="s">
        <v>180</v>
      </c>
      <c r="F110" s="55" t="s">
        <v>135</v>
      </c>
      <c r="G110" s="55" t="s">
        <v>136</v>
      </c>
      <c r="H110" s="30" t="s">
        <v>403</v>
      </c>
      <c r="I110" s="30" t="s">
        <v>181</v>
      </c>
      <c r="J110" s="30" t="s">
        <v>314</v>
      </c>
    </row>
    <row r="111" spans="2:10" ht="12.75" customHeight="1">
      <c r="D111" s="15" t="str">
        <f t="shared" ref="D111:D116" si="27">D100</f>
        <v>Transmission</v>
      </c>
      <c r="F111" s="42" t="s">
        <v>488</v>
      </c>
      <c r="G111" s="42" t="s">
        <v>164</v>
      </c>
      <c r="H111" s="118">
        <v>0.98</v>
      </c>
      <c r="I111" s="118">
        <v>0.65</v>
      </c>
      <c r="J111" s="118">
        <v>0.98</v>
      </c>
    </row>
    <row r="112" spans="2:10" ht="12.75" customHeight="1">
      <c r="D112" s="15" t="str">
        <f t="shared" si="27"/>
        <v>Zone Substations</v>
      </c>
      <c r="F112" s="42" t="s">
        <v>488</v>
      </c>
      <c r="G112" s="42" t="s">
        <v>164</v>
      </c>
      <c r="H112" s="118">
        <v>0.95</v>
      </c>
      <c r="I112" s="118">
        <v>0.3</v>
      </c>
      <c r="J112" s="118">
        <v>0.9</v>
      </c>
    </row>
    <row r="113" spans="2:16" ht="12.75" customHeight="1">
      <c r="D113" s="15" t="str">
        <f t="shared" si="27"/>
        <v>HV Distribution</v>
      </c>
      <c r="F113" s="42" t="s">
        <v>488</v>
      </c>
      <c r="G113" s="42" t="s">
        <v>164</v>
      </c>
      <c r="H113" s="118">
        <v>0.95</v>
      </c>
      <c r="I113" s="118">
        <v>0.1</v>
      </c>
      <c r="J113" s="118">
        <v>0.8</v>
      </c>
    </row>
    <row r="114" spans="2:16" ht="12.75" customHeight="1">
      <c r="D114" s="15" t="str">
        <f t="shared" si="27"/>
        <v>Distribution Substations</v>
      </c>
      <c r="F114" s="42" t="s">
        <v>488</v>
      </c>
      <c r="G114" s="42" t="s">
        <v>164</v>
      </c>
      <c r="H114" s="118">
        <v>0.8</v>
      </c>
      <c r="I114" s="118">
        <v>0</v>
      </c>
      <c r="J114" s="118">
        <v>0.8</v>
      </c>
    </row>
    <row r="115" spans="2:16" ht="12.75" customHeight="1">
      <c r="D115" s="15" t="str">
        <f t="shared" si="27"/>
        <v>LV Distribution</v>
      </c>
      <c r="F115" s="42" t="s">
        <v>488</v>
      </c>
      <c r="G115" s="42" t="s">
        <v>164</v>
      </c>
      <c r="H115" s="118">
        <v>0.9</v>
      </c>
      <c r="I115" s="118">
        <v>0</v>
      </c>
      <c r="J115" s="118">
        <v>0.4</v>
      </c>
    </row>
    <row r="116" spans="2:16" ht="12.75" customHeight="1">
      <c r="D116" s="15" t="str">
        <f t="shared" si="27"/>
        <v>Common Services</v>
      </c>
      <c r="F116" s="42" t="s">
        <v>488</v>
      </c>
      <c r="G116" s="42" t="s">
        <v>164</v>
      </c>
      <c r="H116" s="118">
        <v>1</v>
      </c>
      <c r="I116" s="118">
        <v>1</v>
      </c>
      <c r="J116" s="118">
        <v>1</v>
      </c>
    </row>
    <row r="118" spans="2:16" s="7" customFormat="1" ht="15.6">
      <c r="B118" s="7" t="s">
        <v>400</v>
      </c>
    </row>
    <row r="120" spans="2:16" s="16" customFormat="1" ht="12.75" customHeight="1">
      <c r="C120" s="16" t="s">
        <v>189</v>
      </c>
    </row>
    <row r="122" spans="2:16" ht="12.75" customHeight="1">
      <c r="J122" s="493" t="s">
        <v>520</v>
      </c>
      <c r="K122" s="494"/>
      <c r="L122" s="494"/>
      <c r="M122" s="494"/>
      <c r="N122" s="495"/>
    </row>
    <row r="123" spans="2:16" ht="12.75" customHeight="1">
      <c r="F123" s="55" t="s">
        <v>135</v>
      </c>
      <c r="G123" s="55" t="s">
        <v>136</v>
      </c>
      <c r="J123" s="113" t="str">
        <f>IF(I123="",Tariff_Year,LEFT(I123,4)+1&amp;"/"&amp;RIGHT(LEFT(I123,4)+2,2))</f>
        <v>2019/20</v>
      </c>
      <c r="K123" s="113" t="str">
        <f>IF(J123="",Tariff_Year,LEFT(J123,4)+1&amp;"/"&amp;RIGHT(LEFT(J123,4)+2,2))</f>
        <v>2020/21</v>
      </c>
      <c r="L123" s="113" t="str">
        <f>IF(K123="",Tariff_Year,LEFT(K123,4)+1&amp;"/"&amp;RIGHT(LEFT(K123,4)+2,2))</f>
        <v>2021/22</v>
      </c>
      <c r="M123" s="113" t="str">
        <f>IF(L123="",Tariff_Year,LEFT(L123,4)+1&amp;"/"&amp;RIGHT(LEFT(L123,4)+2,2))</f>
        <v>2022/23</v>
      </c>
      <c r="N123" s="113" t="str">
        <f>IF(M123="",Tariff_Year,LEFT(M123,4)+1&amp;"/"&amp;RIGHT(LEFT(M123,4)+2,2))</f>
        <v>2023/24</v>
      </c>
      <c r="P123" s="30" t="s">
        <v>401</v>
      </c>
    </row>
    <row r="124" spans="2:16" ht="12.75" customHeight="1">
      <c r="D124" s="14" t="s">
        <v>190</v>
      </c>
      <c r="F124" s="42" t="s">
        <v>483</v>
      </c>
      <c r="G124" s="108" t="s">
        <v>519</v>
      </c>
      <c r="J124" s="389">
        <f>[3]Augex!J8*10^3*(1+'[3]SCS total'!$I$7)</f>
        <v>2147.25</v>
      </c>
      <c r="K124" s="389">
        <f>[3]Augex!K8*10^3*(1+'[3]SCS total'!$I$7)</f>
        <v>511.25</v>
      </c>
      <c r="L124" s="389">
        <f>[3]Augex!L8*10^3*(1+'[3]SCS total'!$I$7)</f>
        <v>8336.442500000001</v>
      </c>
      <c r="M124" s="389">
        <f>[3]Augex!M8*10^3*(1+'[3]SCS total'!$I$7)</f>
        <v>10357.924999999997</v>
      </c>
      <c r="N124" s="389">
        <f>[3]Augex!N8*10^3*(1+'[3]SCS total'!$I$7)</f>
        <v>7430.5074999999997</v>
      </c>
      <c r="P124" s="109" t="s">
        <v>181</v>
      </c>
    </row>
    <row r="125" spans="2:16" ht="12.75" customHeight="1">
      <c r="D125" s="14" t="s">
        <v>191</v>
      </c>
      <c r="F125" s="42" t="s">
        <v>483</v>
      </c>
      <c r="G125" s="108" t="s">
        <v>519</v>
      </c>
      <c r="J125" s="389">
        <f>[3]Augex!J9*10^3*(1+'[3]SCS total'!$I$7)</f>
        <v>1533.75</v>
      </c>
      <c r="K125" s="389">
        <f>[3]Augex!K9*10^3*(1+'[3]SCS total'!$I$7)</f>
        <v>1533.75</v>
      </c>
      <c r="L125" s="389">
        <f>[3]Augex!L9*10^3*(1+'[3]SCS total'!$I$7)</f>
        <v>1533.75</v>
      </c>
      <c r="M125" s="389">
        <f>[3]Augex!M9*10^3*(1+'[3]SCS total'!$I$7)</f>
        <v>1533.75</v>
      </c>
      <c r="N125" s="389">
        <f>[3]Augex!N9*10^3*(1+'[3]SCS total'!$I$7)</f>
        <v>1533.75</v>
      </c>
      <c r="P125" s="109" t="s">
        <v>205</v>
      </c>
    </row>
    <row r="126" spans="2:16" ht="12.75" customHeight="1">
      <c r="D126" s="14" t="s">
        <v>192</v>
      </c>
      <c r="F126" s="42" t="s">
        <v>483</v>
      </c>
      <c r="G126" s="108" t="s">
        <v>519</v>
      </c>
      <c r="J126" s="389">
        <f>[3]Augex!J10*10^3*(1+'[3]SCS total'!$I$7)</f>
        <v>818</v>
      </c>
      <c r="K126" s="389">
        <f>[3]Augex!K10*10^3*(1+'[3]SCS total'!$I$7)</f>
        <v>818</v>
      </c>
      <c r="L126" s="389">
        <f>[3]Augex!L10*10^3*(1+'[3]SCS total'!$I$7)</f>
        <v>818</v>
      </c>
      <c r="M126" s="389">
        <f>[3]Augex!M10*10^3*(1+'[3]SCS total'!$I$7)</f>
        <v>818</v>
      </c>
      <c r="N126" s="389">
        <f>[3]Augex!N10*10^3*(1+'[3]SCS total'!$I$7)</f>
        <v>818</v>
      </c>
      <c r="P126" s="109" t="s">
        <v>181</v>
      </c>
    </row>
    <row r="127" spans="2:16" ht="12.75" customHeight="1">
      <c r="D127" s="14" t="s">
        <v>193</v>
      </c>
      <c r="F127" s="42" t="s">
        <v>483</v>
      </c>
      <c r="G127" s="108" t="s">
        <v>519</v>
      </c>
      <c r="J127" s="389">
        <f>[3]Augex!J11*10^3*(1+'[3]SCS total'!$I$7)</f>
        <v>0</v>
      </c>
      <c r="K127" s="389">
        <f>[3]Augex!K11*10^3*(1+'[3]SCS total'!$I$7)</f>
        <v>0</v>
      </c>
      <c r="L127" s="389">
        <f>[3]Augex!L11*10^3*(1+'[3]SCS total'!$I$7)</f>
        <v>0</v>
      </c>
      <c r="M127" s="389">
        <f>[3]Augex!M11*10^3*(1+'[3]SCS total'!$I$7)</f>
        <v>0</v>
      </c>
      <c r="N127" s="389">
        <f>[3]Augex!N11*10^3*(1+'[3]SCS total'!$I$7)</f>
        <v>0</v>
      </c>
      <c r="P127" s="109" t="s">
        <v>205</v>
      </c>
    </row>
    <row r="128" spans="2:16" ht="12.75" customHeight="1">
      <c r="D128" s="14" t="s">
        <v>185</v>
      </c>
      <c r="F128" s="42" t="s">
        <v>483</v>
      </c>
      <c r="G128" s="108" t="s">
        <v>519</v>
      </c>
      <c r="J128" s="389">
        <f>[3]Augex!J12*10^3*(1+'[3]SCS total'!$I$7)</f>
        <v>306.75</v>
      </c>
      <c r="K128" s="389">
        <f>[3]Augex!K12*10^3*(1+'[3]SCS total'!$I$7)</f>
        <v>306.75</v>
      </c>
      <c r="L128" s="389">
        <f>[3]Augex!L12*10^3*(1+'[3]SCS total'!$I$7)</f>
        <v>306.75</v>
      </c>
      <c r="M128" s="389">
        <f>[3]Augex!M12*10^3*(1+'[3]SCS total'!$I$7)</f>
        <v>306.75</v>
      </c>
      <c r="N128" s="389">
        <f>[3]Augex!N12*10^3*(1+'[3]SCS total'!$I$7)</f>
        <v>306.75</v>
      </c>
      <c r="P128" s="109" t="s">
        <v>205</v>
      </c>
    </row>
    <row r="129" spans="3:16" ht="12.75" customHeight="1">
      <c r="D129" s="14" t="s">
        <v>194</v>
      </c>
      <c r="F129" s="42" t="s">
        <v>483</v>
      </c>
      <c r="G129" s="108" t="s">
        <v>519</v>
      </c>
      <c r="J129" s="389">
        <f>[3]Augex!J13*10^3*(1+'[3]SCS total'!$I$7)</f>
        <v>1959.6488302535406</v>
      </c>
      <c r="K129" s="389">
        <f>[3]Augex!K13*10^3*(1+'[3]SCS total'!$I$7)</f>
        <v>1942.3834427746551</v>
      </c>
      <c r="L129" s="389">
        <f>[3]Augex!L13*10^3*(1+'[3]SCS total'!$I$7)</f>
        <v>1751.52786196683</v>
      </c>
      <c r="M129" s="389">
        <f>[3]Augex!M13*10^3*(1+'[3]SCS total'!$I$7)</f>
        <v>1701.7445788536122</v>
      </c>
      <c r="N129" s="389">
        <f>[3]Augex!N13*10^3*(1+'[3]SCS total'!$I$7)</f>
        <v>1670.5005531688291</v>
      </c>
      <c r="P129" s="109" t="s">
        <v>205</v>
      </c>
    </row>
    <row r="130" spans="3:16" ht="12.75" customHeight="1">
      <c r="D130" s="14" t="s">
        <v>195</v>
      </c>
      <c r="F130" s="42" t="s">
        <v>483</v>
      </c>
      <c r="G130" s="108" t="s">
        <v>519</v>
      </c>
      <c r="J130" s="389">
        <f>[3]Augex!J14*10^3*(1+'[3]SCS total'!$I$7)</f>
        <v>0</v>
      </c>
      <c r="K130" s="389">
        <f>[3]Augex!K14*10^3*(1+'[3]SCS total'!$I$7)</f>
        <v>0</v>
      </c>
      <c r="L130" s="389">
        <f>[3]Augex!L14*10^3*(1+'[3]SCS total'!$I$7)</f>
        <v>970.35249999999996</v>
      </c>
      <c r="M130" s="389">
        <f>[3]Augex!M14*10^3*(1+'[3]SCS total'!$I$7)</f>
        <v>965.24</v>
      </c>
      <c r="N130" s="389">
        <f>[3]Augex!N14*10^3*(1+'[3]SCS total'!$I$7)</f>
        <v>846.63</v>
      </c>
      <c r="P130" s="109" t="s">
        <v>205</v>
      </c>
    </row>
    <row r="131" spans="3:16" ht="12.75" customHeight="1">
      <c r="D131" s="14" t="s">
        <v>196</v>
      </c>
      <c r="F131" s="42" t="s">
        <v>483</v>
      </c>
      <c r="G131" s="108" t="s">
        <v>519</v>
      </c>
      <c r="J131" s="389">
        <f>[3]Augex!J15*10^3*(1+'[3]SCS total'!$I$7)</f>
        <v>0</v>
      </c>
      <c r="K131" s="389">
        <f>[3]Augex!K15*10^3*(1+'[3]SCS total'!$I$7)</f>
        <v>0</v>
      </c>
      <c r="L131" s="389">
        <f>[3]Augex!L15*10^3*(1+'[3]SCS total'!$I$7)</f>
        <v>407.97749999999991</v>
      </c>
      <c r="M131" s="389">
        <f>[3]Augex!M15*10^3*(1+'[3]SCS total'!$I$7)</f>
        <v>396.72999999999996</v>
      </c>
      <c r="N131" s="389">
        <f>[3]Augex!N15*10^3*(1+'[3]SCS total'!$I$7)</f>
        <v>347.65</v>
      </c>
      <c r="P131" s="109" t="s">
        <v>205</v>
      </c>
    </row>
    <row r="132" spans="3:16" ht="12.75" customHeight="1">
      <c r="D132" s="14" t="s">
        <v>197</v>
      </c>
      <c r="F132" s="42" t="s">
        <v>483</v>
      </c>
      <c r="G132" s="108" t="s">
        <v>519</v>
      </c>
      <c r="J132" s="389">
        <f>[3]Augex!J16*10^3*(1+'[3]SCS total'!$I$7)</f>
        <v>541.92499999999995</v>
      </c>
      <c r="K132" s="389">
        <f>[3]Augex!K16*10^3*(1+'[3]SCS total'!$I$7)</f>
        <v>541.92499999999995</v>
      </c>
      <c r="L132" s="389">
        <f>[3]Augex!L16*10^3*(1+'[3]SCS total'!$I$7)</f>
        <v>949.90249999999992</v>
      </c>
      <c r="M132" s="389">
        <f>[3]Augex!M16*10^3*(1+'[3]SCS total'!$I$7)</f>
        <v>938.65499999999997</v>
      </c>
      <c r="N132" s="389">
        <f>[3]Augex!N16*10^3*(1+'[3]SCS total'!$I$7)</f>
        <v>889.57500000000005</v>
      </c>
      <c r="P132" s="109" t="s">
        <v>205</v>
      </c>
    </row>
    <row r="133" spans="3:16" ht="12.75" customHeight="1">
      <c r="D133" s="14" t="s">
        <v>198</v>
      </c>
      <c r="F133" s="42" t="s">
        <v>483</v>
      </c>
      <c r="G133" s="108" t="s">
        <v>519</v>
      </c>
      <c r="J133" s="389">
        <f>[3]Augex!J17*10^3*(1+'[3]SCS total'!$I$7)</f>
        <v>0</v>
      </c>
      <c r="K133" s="389">
        <f>[3]Augex!K17*10^3*(1+'[3]SCS total'!$I$7)</f>
        <v>0</v>
      </c>
      <c r="L133" s="389">
        <f>[3]Augex!L17*10^3*(1+'[3]SCS total'!$I$7)</f>
        <v>0</v>
      </c>
      <c r="M133" s="389">
        <f>[3]Augex!M17*10^3*(1+'[3]SCS total'!$I$7)</f>
        <v>0</v>
      </c>
      <c r="N133" s="389">
        <f>[3]Augex!N17*10^3*(1+'[3]SCS total'!$I$7)</f>
        <v>0</v>
      </c>
      <c r="P133" s="109" t="s">
        <v>205</v>
      </c>
    </row>
    <row r="134" spans="3:16" ht="12.75" customHeight="1">
      <c r="D134" s="14" t="s">
        <v>199</v>
      </c>
      <c r="F134" s="42" t="s">
        <v>483</v>
      </c>
      <c r="G134" s="108" t="s">
        <v>519</v>
      </c>
      <c r="J134" s="389">
        <f>[3]Augex!J18*10^3*(1+'[3]SCS total'!$I$7)</f>
        <v>0</v>
      </c>
      <c r="K134" s="389">
        <f>[3]Augex!K18*10^3*(1+'[3]SCS total'!$I$7)</f>
        <v>0</v>
      </c>
      <c r="L134" s="389">
        <f>[3]Augex!L18*10^3*(1+'[3]SCS total'!$I$7)</f>
        <v>0</v>
      </c>
      <c r="M134" s="389">
        <f>[3]Augex!M18*10^3*(1+'[3]SCS total'!$I$7)</f>
        <v>0</v>
      </c>
      <c r="N134" s="389">
        <f>[3]Augex!N18*10^3*(1+'[3]SCS total'!$I$7)</f>
        <v>0</v>
      </c>
      <c r="P134" s="109" t="s">
        <v>205</v>
      </c>
    </row>
    <row r="135" spans="3:16" ht="12.75" customHeight="1">
      <c r="D135" s="14" t="s">
        <v>200</v>
      </c>
      <c r="F135" s="42" t="s">
        <v>483</v>
      </c>
      <c r="G135" s="108" t="s">
        <v>519</v>
      </c>
      <c r="J135" s="389">
        <f>[3]Augex!J19*10^3*(1+'[3]SCS total'!$I$7)</f>
        <v>0</v>
      </c>
      <c r="K135" s="389">
        <f>[3]Augex!K19*10^3*(1+'[3]SCS total'!$I$7)</f>
        <v>0</v>
      </c>
      <c r="L135" s="389">
        <f>[3]Augex!L19*10^3*(1+'[3]SCS total'!$I$7)</f>
        <v>0</v>
      </c>
      <c r="M135" s="389">
        <f>[3]Augex!M19*10^3*(1+'[3]SCS total'!$I$7)</f>
        <v>0</v>
      </c>
      <c r="N135" s="389">
        <f>[3]Augex!N19*10^3*(1+'[3]SCS total'!$I$7)</f>
        <v>0</v>
      </c>
      <c r="P135" s="109" t="s">
        <v>205</v>
      </c>
    </row>
    <row r="136" spans="3:16" ht="12.75" customHeight="1">
      <c r="D136" s="14" t="s">
        <v>201</v>
      </c>
      <c r="F136" s="42" t="s">
        <v>483</v>
      </c>
      <c r="G136" s="108" t="s">
        <v>519</v>
      </c>
      <c r="J136" s="389">
        <f>[3]Augex!J20*10^3*(1+'[3]SCS total'!$I$7)</f>
        <v>0</v>
      </c>
      <c r="K136" s="389">
        <f>[3]Augex!K20*10^3*(1+'[3]SCS total'!$I$7)</f>
        <v>0</v>
      </c>
      <c r="L136" s="389">
        <f>[3]Augex!L20*10^3*(1+'[3]SCS total'!$I$7)</f>
        <v>0</v>
      </c>
      <c r="M136" s="389">
        <f>[3]Augex!M20*10^3*(1+'[3]SCS total'!$I$7)</f>
        <v>0</v>
      </c>
      <c r="N136" s="389">
        <f>[3]Augex!N20*10^3*(1+'[3]SCS total'!$I$7)</f>
        <v>0</v>
      </c>
      <c r="P136" s="109" t="s">
        <v>205</v>
      </c>
    </row>
    <row r="137" spans="3:16" ht="12.75" customHeight="1">
      <c r="D137" s="14" t="s">
        <v>202</v>
      </c>
      <c r="F137" s="42" t="s">
        <v>483</v>
      </c>
      <c r="G137" s="108" t="s">
        <v>519</v>
      </c>
      <c r="J137" s="389">
        <f>[3]Augex!J21*10^3*(1+'[3]SCS total'!$I$7)</f>
        <v>0</v>
      </c>
      <c r="K137" s="389">
        <f>[3]Augex!K21*10^3*(1+'[3]SCS total'!$I$7)</f>
        <v>0</v>
      </c>
      <c r="L137" s="389">
        <f>[3]Augex!L21*10^3*(1+'[3]SCS total'!$I$7)</f>
        <v>0</v>
      </c>
      <c r="M137" s="389">
        <f>[3]Augex!M21*10^3*(1+'[3]SCS total'!$I$7)</f>
        <v>0</v>
      </c>
      <c r="N137" s="389">
        <f>[3]Augex!N21*10^3*(1+'[3]SCS total'!$I$7)</f>
        <v>0</v>
      </c>
      <c r="P137" s="109" t="s">
        <v>205</v>
      </c>
    </row>
    <row r="138" spans="3:16" ht="12.75" customHeight="1">
      <c r="D138" s="14" t="s">
        <v>203</v>
      </c>
      <c r="F138" s="42" t="s">
        <v>483</v>
      </c>
      <c r="G138" s="108" t="s">
        <v>519</v>
      </c>
      <c r="J138" s="389">
        <f>[3]Augex!J22*10^3*(1+'[3]SCS total'!$I$7)</f>
        <v>0</v>
      </c>
      <c r="K138" s="389">
        <f>[3]Augex!K22*10^3*(1+'[3]SCS total'!$I$7)</f>
        <v>0</v>
      </c>
      <c r="L138" s="389">
        <f>[3]Augex!L22*10^3*(1+'[3]SCS total'!$I$7)</f>
        <v>0</v>
      </c>
      <c r="M138" s="389">
        <f>[3]Augex!M22*10^3*(1+'[3]SCS total'!$I$7)</f>
        <v>0</v>
      </c>
      <c r="N138" s="389">
        <f>[3]Augex!N22*10^3*(1+'[3]SCS total'!$I$7)</f>
        <v>0</v>
      </c>
      <c r="P138" s="109" t="s">
        <v>205</v>
      </c>
    </row>
    <row r="140" spans="3:16" s="16" customFormat="1" ht="12.75" customHeight="1">
      <c r="C140" s="16" t="s">
        <v>204</v>
      </c>
    </row>
    <row r="142" spans="3:16" ht="12.75" customHeight="1">
      <c r="F142" s="55" t="s">
        <v>135</v>
      </c>
      <c r="G142" s="55" t="s">
        <v>136</v>
      </c>
    </row>
    <row r="143" spans="3:16" ht="12.75" customHeight="1">
      <c r="D143" s="14" t="s">
        <v>181</v>
      </c>
      <c r="F143" s="42" t="s">
        <v>488</v>
      </c>
      <c r="G143" s="42" t="s">
        <v>164</v>
      </c>
      <c r="H143" s="118">
        <v>0.05</v>
      </c>
      <c r="I143" s="417" t="s">
        <v>526</v>
      </c>
    </row>
    <row r="144" spans="3:16" ht="12.75" customHeight="1">
      <c r="D144" s="14" t="s">
        <v>205</v>
      </c>
      <c r="F144" s="42" t="s">
        <v>488</v>
      </c>
      <c r="G144" s="42" t="s">
        <v>164</v>
      </c>
      <c r="H144" s="118">
        <v>0.05</v>
      </c>
      <c r="I144" s="417" t="s">
        <v>527</v>
      </c>
    </row>
    <row r="146" spans="3:16" s="16" customFormat="1" ht="12.75" customHeight="1">
      <c r="C146" s="16" t="s">
        <v>206</v>
      </c>
    </row>
    <row r="148" spans="3:16" ht="12.75" customHeight="1">
      <c r="J148" s="493" t="s">
        <v>520</v>
      </c>
      <c r="K148" s="494"/>
      <c r="L148" s="494"/>
      <c r="M148" s="494"/>
      <c r="N148" s="495"/>
    </row>
    <row r="149" spans="3:16" ht="12.75" customHeight="1">
      <c r="F149" s="55" t="s">
        <v>135</v>
      </c>
      <c r="G149" s="55" t="s">
        <v>136</v>
      </c>
      <c r="J149" s="113" t="str">
        <f>IF(I149="",Tariff_Year,LEFT(I149,4)+1&amp;"/"&amp;RIGHT(LEFT(I149,4)+2,2))</f>
        <v>2019/20</v>
      </c>
      <c r="K149" s="113" t="str">
        <f>IF(J149="",Tariff_Year,LEFT(J149,4)+1&amp;"/"&amp;RIGHT(LEFT(J149,4)+2,2))</f>
        <v>2020/21</v>
      </c>
      <c r="L149" s="113" t="str">
        <f>IF(K149="",Tariff_Year,LEFT(K149,4)+1&amp;"/"&amp;RIGHT(LEFT(K149,4)+2,2))</f>
        <v>2021/22</v>
      </c>
      <c r="M149" s="113" t="str">
        <f>IF(L149="",Tariff_Year,LEFT(L149,4)+1&amp;"/"&amp;RIGHT(LEFT(L149,4)+2,2))</f>
        <v>2022/23</v>
      </c>
      <c r="N149" s="113" t="str">
        <f>IF(M149="",Tariff_Year,LEFT(M149,4)+1&amp;"/"&amp;RIGHT(LEFT(M149,4)+2,2))</f>
        <v>2023/24</v>
      </c>
      <c r="P149" s="30" t="s">
        <v>401</v>
      </c>
    </row>
    <row r="150" spans="3:16" ht="12.75" customHeight="1">
      <c r="D150" s="14" t="s">
        <v>190</v>
      </c>
      <c r="F150" s="42" t="s">
        <v>483</v>
      </c>
      <c r="G150" s="108" t="s">
        <v>519</v>
      </c>
      <c r="J150" s="389">
        <f>[3]Repex!J8*10^3*(1+'[3]SCS total'!$I$7)</f>
        <v>8307.8125</v>
      </c>
      <c r="K150" s="389">
        <f>[3]Repex!K8*10^3*(1+'[3]SCS total'!$I$7)</f>
        <v>8397.7925000000014</v>
      </c>
      <c r="L150" s="389">
        <f>[3]Repex!L8*10^3*(1+'[3]SCS total'!$I$7)</f>
        <v>4631.9250000000002</v>
      </c>
      <c r="M150" s="389">
        <f>[3]Repex!M8*10^3*(1+'[3]SCS total'!$I$7)</f>
        <v>1909.0074999999999</v>
      </c>
      <c r="N150" s="389">
        <f>[3]Repex!N8*10^3*(1+'[3]SCS total'!$I$7)</f>
        <v>153.375</v>
      </c>
      <c r="P150" s="109" t="s">
        <v>181</v>
      </c>
    </row>
    <row r="151" spans="3:16" ht="12.75" customHeight="1">
      <c r="D151" s="14" t="s">
        <v>191</v>
      </c>
      <c r="F151" s="42" t="s">
        <v>483</v>
      </c>
      <c r="G151" s="108" t="s">
        <v>519</v>
      </c>
      <c r="J151" s="389">
        <f>[3]Repex!J9*10^3*(1+'[3]SCS total'!$I$7)</f>
        <v>13172.526155223799</v>
      </c>
      <c r="K151" s="389">
        <f>[3]Repex!K9*10^3*(1+'[3]SCS total'!$I$7)</f>
        <v>15074.07145942466</v>
      </c>
      <c r="L151" s="389">
        <f>[3]Repex!L9*10^3*(1+'[3]SCS total'!$I$7)</f>
        <v>11183.250643172953</v>
      </c>
      <c r="M151" s="389">
        <f>[3]Repex!M9*10^3*(1+'[3]SCS total'!$I$7)</f>
        <v>8423.7092763213532</v>
      </c>
      <c r="N151" s="389">
        <f>[3]Repex!N9*10^3*(1+'[3]SCS total'!$I$7)</f>
        <v>9368.2480555143029</v>
      </c>
      <c r="P151" s="109" t="s">
        <v>205</v>
      </c>
    </row>
    <row r="152" spans="3:16" ht="12.75" customHeight="1">
      <c r="D152" s="14" t="s">
        <v>192</v>
      </c>
      <c r="F152" s="42" t="s">
        <v>483</v>
      </c>
      <c r="G152" s="108" t="s">
        <v>519</v>
      </c>
      <c r="J152" s="389">
        <f>[3]Repex!J10*10^3*(1+'[3]SCS total'!$I$7)</f>
        <v>1687.125</v>
      </c>
      <c r="K152" s="389">
        <f>[3]Repex!K10*10^3*(1+'[3]SCS total'!$I$7)</f>
        <v>1501.03</v>
      </c>
      <c r="L152" s="389">
        <f>[3]Repex!L10*10^3*(1+'[3]SCS total'!$I$7)</f>
        <v>1501.03</v>
      </c>
      <c r="M152" s="389">
        <f>[3]Repex!M10*10^3*(1+'[3]SCS total'!$I$7)</f>
        <v>1501.03</v>
      </c>
      <c r="N152" s="389">
        <f>[3]Repex!N10*10^3*(1+'[3]SCS total'!$I$7)</f>
        <v>1471.3775000000001</v>
      </c>
      <c r="P152" s="109" t="s">
        <v>181</v>
      </c>
    </row>
    <row r="153" spans="3:16" ht="12.75" customHeight="1">
      <c r="D153" s="14" t="s">
        <v>193</v>
      </c>
      <c r="F153" s="42" t="s">
        <v>483</v>
      </c>
      <c r="G153" s="108" t="s">
        <v>519</v>
      </c>
      <c r="J153" s="389">
        <f>[3]Repex!J11*10^3*(1+'[3]SCS total'!$I$7)</f>
        <v>77.709999999999994</v>
      </c>
      <c r="K153" s="389">
        <f>[3]Repex!K11*10^3*(1+'[3]SCS total'!$I$7)</f>
        <v>77.709999999999994</v>
      </c>
      <c r="L153" s="389">
        <f>[3]Repex!L11*10^3*(1+'[3]SCS total'!$I$7)</f>
        <v>77.709999999999994</v>
      </c>
      <c r="M153" s="389">
        <f>[3]Repex!M11*10^3*(1+'[3]SCS total'!$I$7)</f>
        <v>77.709999999999994</v>
      </c>
      <c r="N153" s="389">
        <f>[3]Repex!N11*10^3*(1+'[3]SCS total'!$I$7)</f>
        <v>77.709999999999994</v>
      </c>
      <c r="P153" s="109" t="s">
        <v>205</v>
      </c>
    </row>
    <row r="154" spans="3:16" ht="12.75" customHeight="1">
      <c r="D154" s="14" t="s">
        <v>185</v>
      </c>
      <c r="F154" s="42" t="s">
        <v>483</v>
      </c>
      <c r="G154" s="108" t="s">
        <v>519</v>
      </c>
      <c r="J154" s="389">
        <f>[3]Repex!J12*10^3*(1+'[3]SCS total'!$I$7)</f>
        <v>2986.7225000000003</v>
      </c>
      <c r="K154" s="389">
        <f>[3]Repex!K12*10^3*(1+'[3]SCS total'!$I$7)</f>
        <v>3235.1899999999996</v>
      </c>
      <c r="L154" s="389">
        <f>[3]Repex!L12*10^3*(1+'[3]SCS total'!$I$7)</f>
        <v>3468.3199999999997</v>
      </c>
      <c r="M154" s="389">
        <f>[3]Repex!M12*10^3*(1+'[3]SCS total'!$I$7)</f>
        <v>3648.2799999999993</v>
      </c>
      <c r="N154" s="389">
        <f>[3]Repex!N12*10^3*(1+'[3]SCS total'!$I$7)</f>
        <v>3725.99</v>
      </c>
      <c r="P154" s="109" t="s">
        <v>205</v>
      </c>
    </row>
    <row r="155" spans="3:16" ht="12.75" customHeight="1">
      <c r="D155" s="14" t="s">
        <v>194</v>
      </c>
      <c r="F155" s="42" t="s">
        <v>483</v>
      </c>
      <c r="G155" s="108" t="s">
        <v>519</v>
      </c>
      <c r="J155" s="389">
        <f>[3]Repex!J13*10^3*(1+'[3]SCS total'!$I$7)</f>
        <v>2210.645</v>
      </c>
      <c r="K155" s="389">
        <f>[3]Repex!K13*10^3*(1+'[3]SCS total'!$I$7)</f>
        <v>2275.0625</v>
      </c>
      <c r="L155" s="389">
        <f>[3]Repex!L13*10^3*(1+'[3]SCS total'!$I$7)</f>
        <v>2344.5924999999997</v>
      </c>
      <c r="M155" s="389">
        <f>[3]Repex!M13*10^3*(1+'[3]SCS total'!$I$7)</f>
        <v>2416.1675</v>
      </c>
      <c r="N155" s="389">
        <f>[3]Repex!N13*10^3*(1+'[3]SCS total'!$I$7)</f>
        <v>2487.7424999999998</v>
      </c>
      <c r="P155" s="109" t="s">
        <v>205</v>
      </c>
    </row>
    <row r="156" spans="3:16" ht="12.75" customHeight="1">
      <c r="D156" s="14" t="s">
        <v>195</v>
      </c>
      <c r="F156" s="42" t="s">
        <v>483</v>
      </c>
      <c r="G156" s="108" t="s">
        <v>519</v>
      </c>
      <c r="J156" s="389">
        <f>[3]Repex!J14*10^3*(1+'[3]SCS total'!$I$7)</f>
        <v>3267.9099999999994</v>
      </c>
      <c r="K156" s="389">
        <f>[3]Repex!K14*10^3*(1+'[3]SCS total'!$I$7)</f>
        <v>3459.1174999999998</v>
      </c>
      <c r="L156" s="389">
        <f>[3]Repex!L14*10^3*(1+'[3]SCS total'!$I$7)</f>
        <v>1196.325</v>
      </c>
      <c r="M156" s="389">
        <f>[3]Repex!M14*10^3*(1+'[3]SCS total'!$I$7)</f>
        <v>1103.2774999999999</v>
      </c>
      <c r="N156" s="389">
        <f>[3]Repex!N14*10^3*(1+'[3]SCS total'!$I$7)</f>
        <v>777.1</v>
      </c>
      <c r="P156" s="109" t="s">
        <v>205</v>
      </c>
    </row>
    <row r="157" spans="3:16" ht="12.75" customHeight="1">
      <c r="D157" s="14" t="s">
        <v>196</v>
      </c>
      <c r="F157" s="42" t="s">
        <v>483</v>
      </c>
      <c r="G157" s="108" t="s">
        <v>519</v>
      </c>
      <c r="J157" s="389">
        <f>[3]Repex!J15*10^3*(1+'[3]SCS total'!$I$7)</f>
        <v>900.8225000000001</v>
      </c>
      <c r="K157" s="389">
        <f>[3]Repex!K15*10^3*(1+'[3]SCS total'!$I$7)</f>
        <v>1076.6924999999999</v>
      </c>
      <c r="L157" s="389">
        <f>[3]Repex!L15*10^3*(1+'[3]SCS total'!$I$7)</f>
        <v>564.41999999999996</v>
      </c>
      <c r="M157" s="389">
        <f>[3]Repex!M15*10^3*(1+'[3]SCS total'!$I$7)</f>
        <v>297.54750000000001</v>
      </c>
      <c r="N157" s="389">
        <f>[3]Repex!N15*10^3*(1+'[3]SCS total'!$I$7)</f>
        <v>176.89249999999998</v>
      </c>
      <c r="P157" s="109" t="s">
        <v>205</v>
      </c>
    </row>
    <row r="158" spans="3:16" ht="12.75" customHeight="1">
      <c r="D158" s="14" t="s">
        <v>197</v>
      </c>
      <c r="F158" s="42" t="s">
        <v>483</v>
      </c>
      <c r="G158" s="108" t="s">
        <v>519</v>
      </c>
      <c r="J158" s="389">
        <f>[3]Repex!J16*10^3*(1+'[3]SCS total'!$I$7)</f>
        <v>1872.1975000000002</v>
      </c>
      <c r="K158" s="389">
        <f>[3]Repex!K16*10^3*(1+'[3]SCS total'!$I$7)</f>
        <v>1983.6499999999999</v>
      </c>
      <c r="L158" s="389">
        <f>[3]Repex!L16*10^3*(1+'[3]SCS total'!$I$7)</f>
        <v>1449.9050000000002</v>
      </c>
      <c r="M158" s="389">
        <f>[3]Repex!M16*10^3*(1+'[3]SCS total'!$I$7)</f>
        <v>1060.3325000000002</v>
      </c>
      <c r="N158" s="389">
        <f>[3]Repex!N16*10^3*(1+'[3]SCS total'!$I$7)</f>
        <v>686.09749999999997</v>
      </c>
      <c r="P158" s="109" t="s">
        <v>205</v>
      </c>
    </row>
    <row r="159" spans="3:16" ht="12.75" customHeight="1">
      <c r="D159" s="14" t="s">
        <v>198</v>
      </c>
      <c r="F159" s="42" t="s">
        <v>483</v>
      </c>
      <c r="G159" s="108" t="s">
        <v>519</v>
      </c>
      <c r="J159" s="389">
        <f>[3]Repex!J17*10^3*(1+'[3]SCS total'!$I$7)</f>
        <v>0</v>
      </c>
      <c r="K159" s="389">
        <f>[3]Repex!K17*10^3*(1+'[3]SCS total'!$I$7)</f>
        <v>0</v>
      </c>
      <c r="L159" s="389">
        <f>[3]Repex!L17*10^3*(1+'[3]SCS total'!$I$7)</f>
        <v>0</v>
      </c>
      <c r="M159" s="389">
        <f>[3]Repex!M17*10^3*(1+'[3]SCS total'!$I$7)</f>
        <v>0</v>
      </c>
      <c r="N159" s="389">
        <f>[3]Repex!N17*10^3*(1+'[3]SCS total'!$I$7)</f>
        <v>0</v>
      </c>
      <c r="P159" s="109" t="s">
        <v>205</v>
      </c>
    </row>
    <row r="160" spans="3:16" ht="12.75" customHeight="1">
      <c r="D160" s="14" t="s">
        <v>199</v>
      </c>
      <c r="F160" s="42" t="s">
        <v>483</v>
      </c>
      <c r="G160" s="108" t="s">
        <v>519</v>
      </c>
      <c r="J160" s="389">
        <f>[3]Repex!J18*10^3*(1+'[3]SCS total'!$I$7)</f>
        <v>25.05125</v>
      </c>
      <c r="K160" s="389">
        <f>[3]Repex!K18*10^3*(1+'[3]SCS total'!$I$7)</f>
        <v>138.702125</v>
      </c>
      <c r="L160" s="389">
        <f>[3]Repex!L18*10^3*(1+'[3]SCS total'!$I$7)</f>
        <v>167.89450000000002</v>
      </c>
      <c r="M160" s="389">
        <f>[3]Repex!M18*10^3*(1+'[3]SCS total'!$I$7)</f>
        <v>43.047249999999998</v>
      </c>
      <c r="N160" s="389">
        <f>[3]Repex!N18*10^3*(1+'[3]SCS total'!$I$7)</f>
        <v>26.533874999999998</v>
      </c>
      <c r="P160" s="109" t="s">
        <v>205</v>
      </c>
    </row>
    <row r="161" spans="1:30" ht="12.75" customHeight="1">
      <c r="D161" s="14" t="s">
        <v>200</v>
      </c>
      <c r="F161" s="42" t="s">
        <v>483</v>
      </c>
      <c r="G161" s="108" t="s">
        <v>519</v>
      </c>
      <c r="J161" s="389">
        <f>[3]Repex!J19*10^3*(1+'[3]SCS total'!$I$7)</f>
        <v>0</v>
      </c>
      <c r="K161" s="389">
        <f>[3]Repex!K19*10^3*(1+'[3]SCS total'!$I$7)</f>
        <v>613.5</v>
      </c>
      <c r="L161" s="389">
        <f>[3]Repex!L19*10^3*(1+'[3]SCS total'!$I$7)</f>
        <v>6032.75</v>
      </c>
      <c r="M161" s="389">
        <f>[3]Repex!M19*10^3*(1+'[3]SCS total'!$I$7)</f>
        <v>818</v>
      </c>
      <c r="N161" s="389">
        <f>[3]Repex!N19*10^3*(1+'[3]SCS total'!$I$7)</f>
        <v>0</v>
      </c>
      <c r="P161" s="109" t="s">
        <v>205</v>
      </c>
    </row>
    <row r="162" spans="1:30" ht="12.75" customHeight="1">
      <c r="D162" s="14" t="s">
        <v>201</v>
      </c>
      <c r="F162" s="42" t="s">
        <v>483</v>
      </c>
      <c r="G162" s="108" t="s">
        <v>519</v>
      </c>
      <c r="J162" s="389">
        <f>[3]Repex!J20*10^3*(1+'[3]SCS total'!$I$7)</f>
        <v>0</v>
      </c>
      <c r="K162" s="389">
        <f>[3]Repex!K20*10^3*(1+'[3]SCS total'!$I$7)</f>
        <v>0</v>
      </c>
      <c r="L162" s="389">
        <f>[3]Repex!L20*10^3*(1+'[3]SCS total'!$I$7)</f>
        <v>0</v>
      </c>
      <c r="M162" s="389">
        <f>[3]Repex!M20*10^3*(1+'[3]SCS total'!$I$7)</f>
        <v>0</v>
      </c>
      <c r="N162" s="389">
        <f>[3]Repex!N20*10^3*(1+'[3]SCS total'!$I$7)</f>
        <v>0</v>
      </c>
      <c r="P162" s="109" t="s">
        <v>205</v>
      </c>
    </row>
    <row r="163" spans="1:30" ht="12.75" customHeight="1">
      <c r="D163" s="14" t="s">
        <v>202</v>
      </c>
      <c r="F163" s="42" t="s">
        <v>483</v>
      </c>
      <c r="G163" s="108" t="s">
        <v>519</v>
      </c>
      <c r="J163" s="389">
        <f>[3]Repex!J21*10^3*(1+'[3]SCS total'!$I$7)</f>
        <v>0</v>
      </c>
      <c r="K163" s="389">
        <f>[3]Repex!K21*10^3*(1+'[3]SCS total'!$I$7)</f>
        <v>0</v>
      </c>
      <c r="L163" s="389">
        <f>[3]Repex!L21*10^3*(1+'[3]SCS total'!$I$7)</f>
        <v>0</v>
      </c>
      <c r="M163" s="389">
        <f>[3]Repex!M21*10^3*(1+'[3]SCS total'!$I$7)</f>
        <v>0</v>
      </c>
      <c r="N163" s="389">
        <f>[3]Repex!N21*10^3*(1+'[3]SCS total'!$I$7)</f>
        <v>0</v>
      </c>
      <c r="P163" s="109" t="s">
        <v>205</v>
      </c>
    </row>
    <row r="164" spans="1:30" ht="12.75" customHeight="1">
      <c r="D164" s="14" t="s">
        <v>203</v>
      </c>
      <c r="F164" s="42" t="s">
        <v>483</v>
      </c>
      <c r="G164" s="108" t="s">
        <v>519</v>
      </c>
      <c r="J164" s="91">
        <f>[3]Repex!J22*10^3*(1+'[3]SCS total'!$I$7)</f>
        <v>0</v>
      </c>
      <c r="K164" s="91">
        <f>[3]Repex!K22*10^3*(1+'[3]SCS total'!$I$7)</f>
        <v>0</v>
      </c>
      <c r="L164" s="91">
        <f>[3]Repex!L22*10^3*(1+'[3]SCS total'!$I$7)</f>
        <v>0</v>
      </c>
      <c r="M164" s="91">
        <f>[3]Repex!M22*10^3*(1+'[3]SCS total'!$I$7)</f>
        <v>0</v>
      </c>
      <c r="N164" s="91">
        <f>[3]Repex!N22*10^3*(1+'[3]SCS total'!$I$7)</f>
        <v>0</v>
      </c>
      <c r="P164" s="109" t="s">
        <v>205</v>
      </c>
    </row>
    <row r="166" spans="1:30" s="282" customFormat="1" ht="12.75" customHeight="1">
      <c r="C166" s="282" t="s">
        <v>402</v>
      </c>
    </row>
    <row r="168" spans="1:30" ht="12.75" customHeight="1">
      <c r="F168" s="55" t="s">
        <v>135</v>
      </c>
      <c r="G168" s="55" t="s">
        <v>136</v>
      </c>
      <c r="J168" s="113" t="str">
        <f t="shared" ref="J168:AD168" si="28">IF(I168="",Tariff_Year,LEFT(I168,4)+1&amp;"/"&amp;RIGHT(LEFT(I168,4)+2,2))</f>
        <v>2019/20</v>
      </c>
      <c r="K168" s="113" t="str">
        <f t="shared" si="28"/>
        <v>2020/21</v>
      </c>
      <c r="L168" s="113" t="str">
        <f t="shared" si="28"/>
        <v>2021/22</v>
      </c>
      <c r="M168" s="113" t="str">
        <f t="shared" si="28"/>
        <v>2022/23</v>
      </c>
      <c r="N168" s="113" t="str">
        <f t="shared" si="28"/>
        <v>2023/24</v>
      </c>
      <c r="O168" s="113" t="str">
        <f t="shared" si="28"/>
        <v>2024/25</v>
      </c>
      <c r="P168" s="113" t="str">
        <f t="shared" si="28"/>
        <v>2025/26</v>
      </c>
      <c r="Q168" s="113" t="str">
        <f t="shared" si="28"/>
        <v>2026/27</v>
      </c>
      <c r="R168" s="113" t="str">
        <f t="shared" si="28"/>
        <v>2027/28</v>
      </c>
      <c r="S168" s="113" t="str">
        <f t="shared" si="28"/>
        <v>2028/29</v>
      </c>
      <c r="T168" s="113" t="str">
        <f t="shared" si="28"/>
        <v>2029/30</v>
      </c>
      <c r="U168" s="113" t="str">
        <f t="shared" si="28"/>
        <v>2030/31</v>
      </c>
      <c r="V168" s="113" t="str">
        <f t="shared" si="28"/>
        <v>2031/32</v>
      </c>
      <c r="W168" s="113" t="str">
        <f t="shared" si="28"/>
        <v>2032/33</v>
      </c>
      <c r="X168" s="113" t="str">
        <f t="shared" si="28"/>
        <v>2033/34</v>
      </c>
      <c r="Y168" s="113" t="str">
        <f t="shared" si="28"/>
        <v>2034/35</v>
      </c>
      <c r="Z168" s="113" t="str">
        <f t="shared" si="28"/>
        <v>2035/36</v>
      </c>
      <c r="AA168" s="113" t="str">
        <f t="shared" si="28"/>
        <v>2036/37</v>
      </c>
      <c r="AB168" s="113" t="str">
        <f t="shared" si="28"/>
        <v>2037/38</v>
      </c>
      <c r="AC168" s="113" t="str">
        <f t="shared" si="28"/>
        <v>2038/39</v>
      </c>
      <c r="AD168" s="113" t="str">
        <f t="shared" si="28"/>
        <v>2039/40</v>
      </c>
    </row>
    <row r="169" spans="1:30" ht="12.75" customHeight="1">
      <c r="A169" s="399"/>
      <c r="C169" s="355"/>
      <c r="D169" s="14" t="str">
        <f>D143</f>
        <v>HV</v>
      </c>
      <c r="F169" s="42" t="s">
        <v>277</v>
      </c>
      <c r="G169" s="108" t="s">
        <v>519</v>
      </c>
      <c r="J169" s="151">
        <f t="shared" ref="J169:N170" si="29">IF(J$149&lt;&gt;"",SUMIF($P$124:$P$138,$D169,J$124:J$138)+SUMIF($P$150:$P$164,$D169,J$150:J$164)*$H143,I169)</f>
        <v>3464.9968749999998</v>
      </c>
      <c r="K169" s="151">
        <f t="shared" si="29"/>
        <v>1824.1911250000001</v>
      </c>
      <c r="L169" s="151">
        <f t="shared" si="29"/>
        <v>9461.0902500000011</v>
      </c>
      <c r="M169" s="151">
        <f t="shared" si="29"/>
        <v>11346.426874999997</v>
      </c>
      <c r="N169" s="151">
        <f t="shared" si="29"/>
        <v>8329.7451249999995</v>
      </c>
      <c r="O169" s="366">
        <f>AVERAGE($J$169:$N$169)</f>
        <v>6885.2900500000005</v>
      </c>
      <c r="P169" s="151">
        <f t="shared" ref="P169:AD169" si="30">AVERAGE($J$169:$N$169)</f>
        <v>6885.2900500000005</v>
      </c>
      <c r="Q169" s="151">
        <f t="shared" si="30"/>
        <v>6885.2900500000005</v>
      </c>
      <c r="R169" s="151">
        <f t="shared" si="30"/>
        <v>6885.2900500000005</v>
      </c>
      <c r="S169" s="151">
        <f t="shared" si="30"/>
        <v>6885.2900500000005</v>
      </c>
      <c r="T169" s="151">
        <f t="shared" si="30"/>
        <v>6885.2900500000005</v>
      </c>
      <c r="U169" s="151">
        <f t="shared" si="30"/>
        <v>6885.2900500000005</v>
      </c>
      <c r="V169" s="151">
        <f t="shared" si="30"/>
        <v>6885.2900500000005</v>
      </c>
      <c r="W169" s="151">
        <f t="shared" si="30"/>
        <v>6885.2900500000005</v>
      </c>
      <c r="X169" s="151">
        <f t="shared" si="30"/>
        <v>6885.2900500000005</v>
      </c>
      <c r="Y169" s="151">
        <f t="shared" si="30"/>
        <v>6885.2900500000005</v>
      </c>
      <c r="Z169" s="151">
        <f t="shared" si="30"/>
        <v>6885.2900500000005</v>
      </c>
      <c r="AA169" s="151">
        <f t="shared" si="30"/>
        <v>6885.2900500000005</v>
      </c>
      <c r="AB169" s="151">
        <f t="shared" si="30"/>
        <v>6885.2900500000005</v>
      </c>
      <c r="AC169" s="151">
        <f t="shared" si="30"/>
        <v>6885.2900500000005</v>
      </c>
      <c r="AD169" s="151">
        <f t="shared" si="30"/>
        <v>6885.2900500000005</v>
      </c>
    </row>
    <row r="170" spans="1:30" ht="12.75" customHeight="1">
      <c r="D170" s="14" t="s">
        <v>205</v>
      </c>
      <c r="F170" s="42" t="s">
        <v>277</v>
      </c>
      <c r="G170" s="108" t="s">
        <v>519</v>
      </c>
      <c r="J170" s="151">
        <f t="shared" si="29"/>
        <v>5567.7530755147309</v>
      </c>
      <c r="K170" s="151">
        <f t="shared" si="29"/>
        <v>5721.4932469958885</v>
      </c>
      <c r="L170" s="151">
        <f t="shared" si="29"/>
        <v>7244.5187441254775</v>
      </c>
      <c r="M170" s="151">
        <f t="shared" si="29"/>
        <v>6737.2731551696788</v>
      </c>
      <c r="N170" s="151">
        <f t="shared" si="29"/>
        <v>6461.1712746945441</v>
      </c>
      <c r="O170" s="366">
        <f>AVERAGE($J$170:$N$170)</f>
        <v>6346.4418993000636</v>
      </c>
      <c r="P170" s="151">
        <f t="shared" ref="P170:AD170" si="31">AVERAGE($J$170:$N$170)</f>
        <v>6346.4418993000636</v>
      </c>
      <c r="Q170" s="151">
        <f t="shared" si="31"/>
        <v>6346.4418993000636</v>
      </c>
      <c r="R170" s="151">
        <f t="shared" si="31"/>
        <v>6346.4418993000636</v>
      </c>
      <c r="S170" s="151">
        <f t="shared" si="31"/>
        <v>6346.4418993000636</v>
      </c>
      <c r="T170" s="151">
        <f t="shared" si="31"/>
        <v>6346.4418993000636</v>
      </c>
      <c r="U170" s="151">
        <f t="shared" si="31"/>
        <v>6346.4418993000636</v>
      </c>
      <c r="V170" s="151">
        <f t="shared" si="31"/>
        <v>6346.4418993000636</v>
      </c>
      <c r="W170" s="151">
        <f t="shared" si="31"/>
        <v>6346.4418993000636</v>
      </c>
      <c r="X170" s="151">
        <f t="shared" si="31"/>
        <v>6346.4418993000636</v>
      </c>
      <c r="Y170" s="151">
        <f t="shared" si="31"/>
        <v>6346.4418993000636</v>
      </c>
      <c r="Z170" s="151">
        <f t="shared" si="31"/>
        <v>6346.4418993000636</v>
      </c>
      <c r="AA170" s="151">
        <f t="shared" si="31"/>
        <v>6346.4418993000636</v>
      </c>
      <c r="AB170" s="151">
        <f t="shared" si="31"/>
        <v>6346.4418993000636</v>
      </c>
      <c r="AC170" s="151">
        <f t="shared" si="31"/>
        <v>6346.4418993000636</v>
      </c>
      <c r="AD170" s="151">
        <f t="shared" si="31"/>
        <v>6346.4418993000636</v>
      </c>
    </row>
    <row r="171" spans="1:30" ht="12.75" customHeight="1">
      <c r="D171" s="110" t="s">
        <v>73</v>
      </c>
      <c r="E171" s="49"/>
      <c r="F171" s="111" t="s">
        <v>277</v>
      </c>
      <c r="G171" s="398" t="s">
        <v>519</v>
      </c>
      <c r="H171" s="49"/>
      <c r="I171" s="49"/>
      <c r="J171" s="115">
        <f>SUM(J169:J170)</f>
        <v>9032.7499505147316</v>
      </c>
      <c r="K171" s="115">
        <f t="shared" ref="K171:AA171" si="32">SUM(K169:K170)</f>
        <v>7545.6843719958888</v>
      </c>
      <c r="L171" s="115">
        <f t="shared" si="32"/>
        <v>16705.60899412548</v>
      </c>
      <c r="M171" s="115">
        <f t="shared" si="32"/>
        <v>18083.700030169675</v>
      </c>
      <c r="N171" s="115">
        <f t="shared" si="32"/>
        <v>14790.916399694543</v>
      </c>
      <c r="O171" s="115">
        <f t="shared" si="32"/>
        <v>13231.731949300065</v>
      </c>
      <c r="P171" s="115">
        <f t="shared" si="32"/>
        <v>13231.731949300065</v>
      </c>
      <c r="Q171" s="115">
        <f t="shared" si="32"/>
        <v>13231.731949300065</v>
      </c>
      <c r="R171" s="115">
        <f t="shared" si="32"/>
        <v>13231.731949300065</v>
      </c>
      <c r="S171" s="115">
        <f t="shared" si="32"/>
        <v>13231.731949300065</v>
      </c>
      <c r="T171" s="115">
        <f t="shared" si="32"/>
        <v>13231.731949300065</v>
      </c>
      <c r="U171" s="115">
        <f t="shared" si="32"/>
        <v>13231.731949300065</v>
      </c>
      <c r="V171" s="115">
        <f t="shared" si="32"/>
        <v>13231.731949300065</v>
      </c>
      <c r="W171" s="115">
        <f t="shared" si="32"/>
        <v>13231.731949300065</v>
      </c>
      <c r="X171" s="115">
        <f t="shared" si="32"/>
        <v>13231.731949300065</v>
      </c>
      <c r="Y171" s="115">
        <f t="shared" si="32"/>
        <v>13231.731949300065</v>
      </c>
      <c r="Z171" s="115">
        <f t="shared" si="32"/>
        <v>13231.731949300065</v>
      </c>
      <c r="AA171" s="115">
        <f t="shared" si="32"/>
        <v>13231.731949300065</v>
      </c>
      <c r="AB171" s="115">
        <f t="shared" ref="AB171" si="33">SUM(AB169:AB170)</f>
        <v>13231.731949300065</v>
      </c>
      <c r="AC171" s="115">
        <f t="shared" ref="AC171" si="34">SUM(AC169:AC170)</f>
        <v>13231.731949300065</v>
      </c>
      <c r="AD171" s="115">
        <f t="shared" ref="AD171" si="35">SUM(AD169:AD170)</f>
        <v>13231.731949300065</v>
      </c>
    </row>
    <row r="173" spans="1:30" s="7" customFormat="1" ht="15.6">
      <c r="B173" s="7" t="s">
        <v>305</v>
      </c>
    </row>
    <row r="175" spans="1:30" ht="12.75" customHeight="1">
      <c r="J175" s="490" t="s">
        <v>306</v>
      </c>
      <c r="K175" s="490"/>
      <c r="L175" s="490"/>
      <c r="M175" s="490"/>
      <c r="N175" s="490"/>
      <c r="O175" s="490"/>
      <c r="Q175" s="490" t="s">
        <v>307</v>
      </c>
      <c r="R175" s="490"/>
      <c r="S175" s="490"/>
      <c r="T175" s="490"/>
      <c r="U175" s="490"/>
      <c r="V175" s="490"/>
      <c r="X175" s="490" t="s">
        <v>308</v>
      </c>
      <c r="Y175" s="490"/>
      <c r="Z175" s="490"/>
      <c r="AA175" s="490"/>
      <c r="AB175" s="490"/>
      <c r="AC175" s="490"/>
    </row>
    <row r="176" spans="1:30" ht="25.8">
      <c r="C176" s="12"/>
      <c r="F176" s="55" t="s">
        <v>135</v>
      </c>
      <c r="G176" s="55" t="s">
        <v>136</v>
      </c>
      <c r="H176" s="74" t="s">
        <v>303</v>
      </c>
      <c r="J176" s="30" t="s">
        <v>213</v>
      </c>
      <c r="K176" s="30" t="s">
        <v>214</v>
      </c>
      <c r="L176" s="30" t="s">
        <v>215</v>
      </c>
      <c r="M176" s="30" t="s">
        <v>216</v>
      </c>
      <c r="N176" s="30" t="s">
        <v>217</v>
      </c>
      <c r="O176" s="74" t="s">
        <v>304</v>
      </c>
      <c r="Q176" s="30" t="s">
        <v>213</v>
      </c>
      <c r="R176" s="30" t="s">
        <v>214</v>
      </c>
      <c r="S176" s="30" t="s">
        <v>215</v>
      </c>
      <c r="T176" s="30" t="s">
        <v>216</v>
      </c>
      <c r="U176" s="30" t="s">
        <v>217</v>
      </c>
      <c r="V176" s="74" t="s">
        <v>304</v>
      </c>
      <c r="X176" s="30" t="s">
        <v>213</v>
      </c>
      <c r="Y176" s="30" t="s">
        <v>214</v>
      </c>
      <c r="Z176" s="30" t="s">
        <v>215</v>
      </c>
      <c r="AA176" s="30" t="s">
        <v>216</v>
      </c>
      <c r="AB176" s="30" t="s">
        <v>217</v>
      </c>
      <c r="AC176" s="74" t="s">
        <v>304</v>
      </c>
    </row>
    <row r="177" spans="1:29" ht="12.75" customHeight="1">
      <c r="D177" s="119" t="s">
        <v>491</v>
      </c>
      <c r="E177" s="49"/>
      <c r="F177" s="111" t="s">
        <v>484</v>
      </c>
      <c r="G177" s="111" t="s">
        <v>485</v>
      </c>
      <c r="H177" s="181" t="s">
        <v>490</v>
      </c>
      <c r="J177" s="185">
        <v>21622843.333333332</v>
      </c>
      <c r="K177" s="120">
        <v>557217595.71317136</v>
      </c>
      <c r="L177" s="120"/>
      <c r="M177" s="120"/>
      <c r="N177" s="120">
        <v>0</v>
      </c>
      <c r="O177" s="121">
        <f>SUM(K177:L177)/8760/0.1623*0.45/0.9812</f>
        <v>179745.1456489088</v>
      </c>
      <c r="Q177" s="189">
        <f t="shared" ref="Q177:Q194" si="36">IFERROR(J177*(1+Q201),0)</f>
        <v>21746373.286483876</v>
      </c>
      <c r="R177" s="115">
        <f>IFERROR(K177*(1+R201),0)</f>
        <v>552650531.72399056</v>
      </c>
      <c r="S177" s="115">
        <f t="shared" ref="S177:S194" si="37">IFERROR(L177*(1+S201),0)</f>
        <v>0</v>
      </c>
      <c r="T177" s="115">
        <f t="shared" ref="T177:T194" si="38">IFERROR(M177*(1+T201),0)</f>
        <v>0</v>
      </c>
      <c r="U177" s="115">
        <f t="shared" ref="U177:U194" si="39">IFERROR(N177*(1+U201),0)</f>
        <v>0</v>
      </c>
      <c r="V177" s="203">
        <f>SUM(R177:S177)/8760/0.1623*0.45/0.9812</f>
        <v>178271.91941154897</v>
      </c>
      <c r="X177" s="189">
        <f t="shared" ref="X177:X194" si="40">IFERROR(Q177*(1+X201),0)</f>
        <v>21873911.586196821</v>
      </c>
      <c r="Y177" s="115">
        <f t="shared" ref="Y177:Y194" si="41">IFERROR(R177*(1+Y201),0)</f>
        <v>540683389.77635157</v>
      </c>
      <c r="Z177" s="115">
        <f t="shared" ref="Z177:Z194" si="42">IFERROR(S177*(1+Z201),0)</f>
        <v>0</v>
      </c>
      <c r="AA177" s="115">
        <f t="shared" ref="AA177:AA194" si="43">IFERROR(T177*(1+AA201),0)</f>
        <v>0</v>
      </c>
      <c r="AB177" s="115">
        <f t="shared" ref="AB177:AB194" si="44">IFERROR(U177*(1+AB201),0)</f>
        <v>0</v>
      </c>
      <c r="AC177" s="203">
        <f>SUM(Y177:Z177)/8760/0.1623*0.45/0.9812</f>
        <v>174411.60399988925</v>
      </c>
    </row>
    <row r="178" spans="1:29" ht="12.75" customHeight="1">
      <c r="D178" s="122" t="s">
        <v>492</v>
      </c>
      <c r="E178" s="52"/>
      <c r="F178" s="42" t="s">
        <v>484</v>
      </c>
      <c r="G178" s="42" t="s">
        <v>485</v>
      </c>
      <c r="H178" s="182" t="s">
        <v>490</v>
      </c>
      <c r="J178" s="186">
        <v>3796821.25</v>
      </c>
      <c r="K178" s="91">
        <v>80951239.293410465</v>
      </c>
      <c r="L178" s="91"/>
      <c r="M178" s="91"/>
      <c r="N178" s="91">
        <v>0</v>
      </c>
      <c r="O178" s="123">
        <f>SUM(K178:L178)/8760/0.1623*0.45/0.9812</f>
        <v>26112.944761966333</v>
      </c>
      <c r="Q178" s="176">
        <f t="shared" si="36"/>
        <v>3786504.8021591459</v>
      </c>
      <c r="R178" s="161">
        <f t="shared" ref="R178:R194" si="45">IFERROR(K178*(1+R202),0)</f>
        <v>80867801.878968641</v>
      </c>
      <c r="S178" s="161">
        <f t="shared" si="37"/>
        <v>0</v>
      </c>
      <c r="T178" s="161">
        <f t="shared" si="38"/>
        <v>0</v>
      </c>
      <c r="U178" s="161">
        <f t="shared" si="39"/>
        <v>0</v>
      </c>
      <c r="V178" s="204">
        <f>SUM(R178:S178)/8760/0.1623*0.45/0.9812</f>
        <v>26086.029836223155</v>
      </c>
      <c r="X178" s="176">
        <f t="shared" si="40"/>
        <v>3778767.4662785055</v>
      </c>
      <c r="Y178" s="161">
        <f t="shared" si="41"/>
        <v>79963621.672768161</v>
      </c>
      <c r="Z178" s="161">
        <f t="shared" si="42"/>
        <v>0</v>
      </c>
      <c r="AA178" s="161">
        <f t="shared" si="43"/>
        <v>0</v>
      </c>
      <c r="AB178" s="161">
        <f t="shared" si="44"/>
        <v>0</v>
      </c>
      <c r="AC178" s="204">
        <f>SUM(Y178:Z178)/8760/0.1623*0.45/0.9812</f>
        <v>25794.362803260283</v>
      </c>
    </row>
    <row r="179" spans="1:29" ht="12.75" customHeight="1">
      <c r="D179" s="124" t="s">
        <v>493</v>
      </c>
      <c r="E179" s="59"/>
      <c r="F179" s="125" t="s">
        <v>484</v>
      </c>
      <c r="G179" s="125" t="s">
        <v>485</v>
      </c>
      <c r="H179" s="183" t="s">
        <v>490</v>
      </c>
      <c r="J179" s="187">
        <v>509175</v>
      </c>
      <c r="K179" s="126">
        <v>10201717</v>
      </c>
      <c r="L179" s="126"/>
      <c r="M179" s="126"/>
      <c r="N179" s="126"/>
      <c r="O179" s="127">
        <f>SUM(K179:L179)/8760/0.1623*0.45/0.9812</f>
        <v>3290.831305653624</v>
      </c>
      <c r="Q179" s="190">
        <f t="shared" si="36"/>
        <v>514366.58823529416</v>
      </c>
      <c r="R179" s="191">
        <f t="shared" si="45"/>
        <v>10326006.978771262</v>
      </c>
      <c r="S179" s="191">
        <f t="shared" si="37"/>
        <v>0</v>
      </c>
      <c r="T179" s="191">
        <f t="shared" si="38"/>
        <v>0</v>
      </c>
      <c r="U179" s="191">
        <f t="shared" si="39"/>
        <v>0</v>
      </c>
      <c r="V179" s="205">
        <f>SUM(R179:S179)/8760/0.1623*0.45/0.9812</f>
        <v>3330.9242971686299</v>
      </c>
      <c r="X179" s="190">
        <f t="shared" si="40"/>
        <v>519957.52941176476</v>
      </c>
      <c r="Y179" s="191">
        <f t="shared" si="41"/>
        <v>10343354.716344047</v>
      </c>
      <c r="Z179" s="191">
        <f t="shared" si="42"/>
        <v>0</v>
      </c>
      <c r="AA179" s="191">
        <f t="shared" si="43"/>
        <v>0</v>
      </c>
      <c r="AB179" s="191">
        <f t="shared" si="44"/>
        <v>0</v>
      </c>
      <c r="AC179" s="205">
        <f>SUM(Y179:Z179)/8760/0.1623*0.45/0.9812</f>
        <v>3336.5202647774927</v>
      </c>
    </row>
    <row r="180" spans="1:29" ht="12.75" customHeight="1">
      <c r="A180" s="399"/>
      <c r="D180" s="119" t="s">
        <v>499</v>
      </c>
      <c r="E180" s="49"/>
      <c r="F180" s="111" t="s">
        <v>484</v>
      </c>
      <c r="G180" s="111" t="s">
        <v>485</v>
      </c>
      <c r="H180" s="181" t="s">
        <v>498</v>
      </c>
      <c r="J180" s="185">
        <v>3006200.833333333</v>
      </c>
      <c r="K180" s="120">
        <v>137318289.28239852</v>
      </c>
      <c r="L180" s="120"/>
      <c r="M180" s="120"/>
      <c r="N180" s="120"/>
      <c r="O180" s="121">
        <f>SUM(K180:L180)/8760/0.2756*0.85/0.8634</f>
        <v>55995.347777260911</v>
      </c>
      <c r="Q180" s="189">
        <f t="shared" si="36"/>
        <v>3022742.7657954209</v>
      </c>
      <c r="R180" s="115">
        <f t="shared" si="45"/>
        <v>136192801.82675761</v>
      </c>
      <c r="S180" s="115">
        <f t="shared" si="37"/>
        <v>0</v>
      </c>
      <c r="T180" s="115">
        <f t="shared" si="38"/>
        <v>0</v>
      </c>
      <c r="U180" s="115">
        <f t="shared" si="39"/>
        <v>0</v>
      </c>
      <c r="V180" s="203">
        <f>SUM(R180:S180)/8760/0.2756*0.85/0.8634</f>
        <v>55536.398996097814</v>
      </c>
      <c r="X180" s="189">
        <f t="shared" si="40"/>
        <v>3055235.8474173793</v>
      </c>
      <c r="Y180" s="115">
        <f t="shared" si="41"/>
        <v>133243671.23129214</v>
      </c>
      <c r="Z180" s="115">
        <f t="shared" si="42"/>
        <v>0</v>
      </c>
      <c r="AA180" s="115">
        <f t="shared" si="43"/>
        <v>0</v>
      </c>
      <c r="AB180" s="115">
        <f t="shared" si="44"/>
        <v>0</v>
      </c>
      <c r="AC180" s="203">
        <f>SUM(Y180:Z180)/8760/0.2756*0.85/0.8634</f>
        <v>54333.809055627178</v>
      </c>
    </row>
    <row r="181" spans="1:29" ht="12.75" customHeight="1">
      <c r="D181" s="122" t="s">
        <v>500</v>
      </c>
      <c r="E181" s="52"/>
      <c r="F181" s="42" t="s">
        <v>484</v>
      </c>
      <c r="G181" s="42" t="s">
        <v>485</v>
      </c>
      <c r="H181" s="182" t="s">
        <v>498</v>
      </c>
      <c r="J181" s="186">
        <v>613382.5</v>
      </c>
      <c r="K181" s="91">
        <v>20933403.778434485</v>
      </c>
      <c r="L181" s="91"/>
      <c r="M181" s="91"/>
      <c r="N181" s="91"/>
      <c r="O181" s="123">
        <f t="shared" ref="O181:O182" si="46">SUM(K181:L181)/8760/0.2756*0.85/0.8634</f>
        <v>8536.1770151728506</v>
      </c>
      <c r="Q181" s="176">
        <f t="shared" si="36"/>
        <v>610510.26144640998</v>
      </c>
      <c r="R181" s="161">
        <f t="shared" si="45"/>
        <v>20911827.467781495</v>
      </c>
      <c r="S181" s="161">
        <f t="shared" si="37"/>
        <v>0</v>
      </c>
      <c r="T181" s="161">
        <f t="shared" si="38"/>
        <v>0</v>
      </c>
      <c r="U181" s="161">
        <f t="shared" si="39"/>
        <v>0</v>
      </c>
      <c r="V181" s="204">
        <f t="shared" ref="V181:V182" si="47">SUM(R181:S181)/8760/0.2756*0.85/0.8634</f>
        <v>8527.3786750167219</v>
      </c>
      <c r="X181" s="176">
        <f t="shared" si="40"/>
        <v>611148.53668054112</v>
      </c>
      <c r="Y181" s="161">
        <f t="shared" si="41"/>
        <v>20678013.019601658</v>
      </c>
      <c r="Z181" s="161">
        <f t="shared" si="42"/>
        <v>0</v>
      </c>
      <c r="AA181" s="161">
        <f t="shared" si="43"/>
        <v>0</v>
      </c>
      <c r="AB181" s="161">
        <f t="shared" si="44"/>
        <v>0</v>
      </c>
      <c r="AC181" s="204">
        <f t="shared" ref="AC181:AC182" si="48">SUM(Y181:Z181)/8760/0.2756*0.85/0.8634</f>
        <v>8432.0343373498472</v>
      </c>
    </row>
    <row r="182" spans="1:29" ht="12.75" customHeight="1">
      <c r="D182" s="124" t="s">
        <v>501</v>
      </c>
      <c r="E182" s="59"/>
      <c r="F182" s="125" t="s">
        <v>484</v>
      </c>
      <c r="G182" s="125" t="s">
        <v>485</v>
      </c>
      <c r="H182" s="183" t="s">
        <v>498</v>
      </c>
      <c r="J182" s="187">
        <v>109287.08333333333</v>
      </c>
      <c r="K182" s="126">
        <v>6863710.4689231096</v>
      </c>
      <c r="L182" s="126"/>
      <c r="M182" s="126"/>
      <c r="N182" s="126"/>
      <c r="O182" s="127">
        <f t="shared" si="46"/>
        <v>2798.868648584601</v>
      </c>
      <c r="Q182" s="190">
        <f t="shared" si="36"/>
        <v>108934.54435483871</v>
      </c>
      <c r="R182" s="191">
        <f t="shared" si="45"/>
        <v>6947332.709029804</v>
      </c>
      <c r="S182" s="191">
        <f t="shared" si="37"/>
        <v>0</v>
      </c>
      <c r="T182" s="191">
        <f t="shared" si="38"/>
        <v>0</v>
      </c>
      <c r="U182" s="191">
        <f t="shared" si="39"/>
        <v>0</v>
      </c>
      <c r="V182" s="205">
        <f t="shared" si="47"/>
        <v>2832.9679403916703</v>
      </c>
      <c r="X182" s="190">
        <f t="shared" si="40"/>
        <v>109639.62231182794</v>
      </c>
      <c r="Y182" s="191">
        <f t="shared" si="41"/>
        <v>6959004.2588277906</v>
      </c>
      <c r="Z182" s="191">
        <f t="shared" si="42"/>
        <v>0</v>
      </c>
      <c r="AA182" s="191">
        <f t="shared" si="43"/>
        <v>0</v>
      </c>
      <c r="AB182" s="191">
        <f t="shared" si="44"/>
        <v>0</v>
      </c>
      <c r="AC182" s="205">
        <f t="shared" si="48"/>
        <v>2837.7273391101749</v>
      </c>
    </row>
    <row r="183" spans="1:29" ht="12.75" customHeight="1">
      <c r="D183" s="119" t="s">
        <v>207</v>
      </c>
      <c r="E183" s="49"/>
      <c r="F183" s="111" t="s">
        <v>487</v>
      </c>
      <c r="G183" s="111" t="s">
        <v>485</v>
      </c>
      <c r="H183" s="181" t="s">
        <v>154</v>
      </c>
      <c r="J183" s="185"/>
      <c r="K183" s="120">
        <v>2867276.7095887898</v>
      </c>
      <c r="L183" s="120"/>
      <c r="M183" s="120"/>
      <c r="N183" s="120"/>
      <c r="O183" s="121">
        <f>SUM(K183:L183)/8760*0.15</f>
        <v>49.097203931314894</v>
      </c>
      <c r="Q183" s="189">
        <f t="shared" si="36"/>
        <v>0</v>
      </c>
      <c r="R183" s="115">
        <f t="shared" si="45"/>
        <v>2867276.7095887898</v>
      </c>
      <c r="S183" s="115">
        <f t="shared" si="37"/>
        <v>0</v>
      </c>
      <c r="T183" s="115">
        <f t="shared" si="38"/>
        <v>0</v>
      </c>
      <c r="U183" s="115">
        <f t="shared" si="39"/>
        <v>0</v>
      </c>
      <c r="V183" s="203">
        <f>SUM(R183:S183)/8760*0.15</f>
        <v>49.097203931314894</v>
      </c>
      <c r="X183" s="189">
        <f t="shared" si="40"/>
        <v>0</v>
      </c>
      <c r="Y183" s="115">
        <f t="shared" si="41"/>
        <v>2881613.0931367334</v>
      </c>
      <c r="Z183" s="115">
        <f t="shared" si="42"/>
        <v>0</v>
      </c>
      <c r="AA183" s="115">
        <f t="shared" si="43"/>
        <v>0</v>
      </c>
      <c r="AB183" s="115">
        <f t="shared" si="44"/>
        <v>0</v>
      </c>
      <c r="AC183" s="203">
        <f>SUM(Y183:Z183)/8760*0.15</f>
        <v>49.342689950971462</v>
      </c>
    </row>
    <row r="184" spans="1:29" ht="12.75" customHeight="1">
      <c r="D184" s="122" t="s">
        <v>208</v>
      </c>
      <c r="E184" s="52"/>
      <c r="F184" s="42" t="s">
        <v>487</v>
      </c>
      <c r="G184" s="42" t="s">
        <v>485</v>
      </c>
      <c r="H184" s="182" t="s">
        <v>154</v>
      </c>
      <c r="J184" s="186"/>
      <c r="K184" s="91">
        <v>514197.04657531052</v>
      </c>
      <c r="L184" s="91"/>
      <c r="M184" s="91"/>
      <c r="N184" s="91"/>
      <c r="O184" s="123">
        <f t="shared" ref="O184:O185" si="49">SUM(K184:L184)/8760*0.15</f>
        <v>8.8047439482073724</v>
      </c>
      <c r="Q184" s="176">
        <f t="shared" si="36"/>
        <v>0</v>
      </c>
      <c r="R184" s="161">
        <f t="shared" si="45"/>
        <v>514197.04657531052</v>
      </c>
      <c r="S184" s="161">
        <f t="shared" si="37"/>
        <v>0</v>
      </c>
      <c r="T184" s="161">
        <f t="shared" si="38"/>
        <v>0</v>
      </c>
      <c r="U184" s="161">
        <f t="shared" si="39"/>
        <v>0</v>
      </c>
      <c r="V184" s="204">
        <f t="shared" ref="V184:V185" si="50">SUM(R184:S184)/8760*0.15</f>
        <v>8.8047439482073724</v>
      </c>
      <c r="X184" s="176">
        <f t="shared" si="40"/>
        <v>0</v>
      </c>
      <c r="Y184" s="161">
        <f t="shared" si="41"/>
        <v>516768.03180818702</v>
      </c>
      <c r="Z184" s="161">
        <f t="shared" si="42"/>
        <v>0</v>
      </c>
      <c r="AA184" s="161">
        <f t="shared" si="43"/>
        <v>0</v>
      </c>
      <c r="AB184" s="161">
        <f t="shared" si="44"/>
        <v>0</v>
      </c>
      <c r="AC184" s="204">
        <f t="shared" ref="AC184:AC185" si="51">SUM(Y184:Z184)/8760*0.15</f>
        <v>8.8487676679484082</v>
      </c>
    </row>
    <row r="185" spans="1:29" ht="12.75" customHeight="1">
      <c r="D185" s="124" t="s">
        <v>209</v>
      </c>
      <c r="E185" s="59"/>
      <c r="F185" s="125" t="s">
        <v>487</v>
      </c>
      <c r="G185" s="125" t="s">
        <v>485</v>
      </c>
      <c r="H185" s="183" t="s">
        <v>154</v>
      </c>
      <c r="J185" s="187"/>
      <c r="K185" s="126">
        <v>72282.6027397258</v>
      </c>
      <c r="L185" s="126"/>
      <c r="M185" s="126"/>
      <c r="N185" s="126"/>
      <c r="O185" s="127">
        <f t="shared" si="49"/>
        <v>1.2377158003377706</v>
      </c>
      <c r="Q185" s="190">
        <f t="shared" si="36"/>
        <v>0</v>
      </c>
      <c r="R185" s="191">
        <f t="shared" si="45"/>
        <v>72282.6027397258</v>
      </c>
      <c r="S185" s="191">
        <f t="shared" si="37"/>
        <v>0</v>
      </c>
      <c r="T185" s="191">
        <f t="shared" si="38"/>
        <v>0</v>
      </c>
      <c r="U185" s="191">
        <f t="shared" si="39"/>
        <v>0</v>
      </c>
      <c r="V185" s="205">
        <f t="shared" si="50"/>
        <v>1.2377158003377706</v>
      </c>
      <c r="X185" s="190">
        <f t="shared" si="40"/>
        <v>0</v>
      </c>
      <c r="Y185" s="191">
        <f t="shared" si="41"/>
        <v>72644.015753424421</v>
      </c>
      <c r="Z185" s="191">
        <f t="shared" si="42"/>
        <v>0</v>
      </c>
      <c r="AA185" s="191">
        <f t="shared" si="43"/>
        <v>0</v>
      </c>
      <c r="AB185" s="191">
        <f t="shared" si="44"/>
        <v>0</v>
      </c>
      <c r="AC185" s="205">
        <f t="shared" si="51"/>
        <v>1.2439043793394591</v>
      </c>
    </row>
    <row r="186" spans="1:29" ht="12.75" customHeight="1">
      <c r="D186" s="119" t="s">
        <v>210</v>
      </c>
      <c r="E186" s="49"/>
      <c r="F186" s="111" t="s">
        <v>486</v>
      </c>
      <c r="G186" s="111" t="s">
        <v>485</v>
      </c>
      <c r="H186" s="181" t="s">
        <v>155</v>
      </c>
      <c r="J186" s="185"/>
      <c r="K186" s="120">
        <v>110791.2</v>
      </c>
      <c r="L186" s="120"/>
      <c r="M186" s="120"/>
      <c r="N186" s="120"/>
      <c r="O186" s="121">
        <f>SUM(K186:L186)/8760</f>
        <v>12.647397260273973</v>
      </c>
      <c r="Q186" s="189">
        <f t="shared" si="36"/>
        <v>0</v>
      </c>
      <c r="R186" s="115">
        <f t="shared" si="45"/>
        <v>110791.2</v>
      </c>
      <c r="S186" s="115">
        <f t="shared" si="37"/>
        <v>0</v>
      </c>
      <c r="T186" s="115">
        <f t="shared" si="38"/>
        <v>0</v>
      </c>
      <c r="U186" s="115">
        <f t="shared" si="39"/>
        <v>0</v>
      </c>
      <c r="V186" s="203">
        <f>SUM(R186:S186)/8760</f>
        <v>12.647397260273973</v>
      </c>
      <c r="X186" s="189">
        <f t="shared" si="40"/>
        <v>0</v>
      </c>
      <c r="Y186" s="115">
        <f t="shared" si="41"/>
        <v>111345.15599999999</v>
      </c>
      <c r="Z186" s="115">
        <f t="shared" si="42"/>
        <v>0</v>
      </c>
      <c r="AA186" s="115">
        <f t="shared" si="43"/>
        <v>0</v>
      </c>
      <c r="AB186" s="115">
        <f t="shared" si="44"/>
        <v>0</v>
      </c>
      <c r="AC186" s="203">
        <f>SUM(Y186:Z186)/8760</f>
        <v>12.71063424657534</v>
      </c>
    </row>
    <row r="187" spans="1:29" ht="12.75" customHeight="1">
      <c r="D187" s="122" t="s">
        <v>211</v>
      </c>
      <c r="E187" s="52"/>
      <c r="F187" s="42" t="s">
        <v>486</v>
      </c>
      <c r="G187" s="42" t="s">
        <v>485</v>
      </c>
      <c r="H187" s="182" t="s">
        <v>155</v>
      </c>
      <c r="J187" s="186"/>
      <c r="K187" s="91">
        <v>61500.800000000003</v>
      </c>
      <c r="L187" s="91"/>
      <c r="M187" s="91"/>
      <c r="N187" s="91"/>
      <c r="O187" s="123">
        <f t="shared" ref="O187:O188" si="52">SUM(K187:L187)/8760</f>
        <v>7.0206392694063933</v>
      </c>
      <c r="Q187" s="176">
        <f t="shared" si="36"/>
        <v>0</v>
      </c>
      <c r="R187" s="161">
        <f t="shared" si="45"/>
        <v>61500.800000000003</v>
      </c>
      <c r="S187" s="161">
        <f t="shared" si="37"/>
        <v>0</v>
      </c>
      <c r="T187" s="161">
        <f t="shared" si="38"/>
        <v>0</v>
      </c>
      <c r="U187" s="161">
        <f t="shared" si="39"/>
        <v>0</v>
      </c>
      <c r="V187" s="204">
        <f t="shared" ref="V187:V188" si="53">SUM(R187:S187)/8760</f>
        <v>7.0206392694063933</v>
      </c>
      <c r="X187" s="176">
        <f t="shared" si="40"/>
        <v>0</v>
      </c>
      <c r="Y187" s="161">
        <f t="shared" si="41"/>
        <v>61808.303999999996</v>
      </c>
      <c r="Z187" s="161">
        <f t="shared" si="42"/>
        <v>0</v>
      </c>
      <c r="AA187" s="161">
        <f t="shared" si="43"/>
        <v>0</v>
      </c>
      <c r="AB187" s="161">
        <f t="shared" si="44"/>
        <v>0</v>
      </c>
      <c r="AC187" s="204">
        <f t="shared" ref="AC187:AC188" si="54">SUM(Y187:Z187)/8760</f>
        <v>7.0557424657534247</v>
      </c>
    </row>
    <row r="188" spans="1:29" ht="12.75" customHeight="1">
      <c r="D188" s="124" t="s">
        <v>212</v>
      </c>
      <c r="E188" s="59"/>
      <c r="F188" s="125" t="s">
        <v>486</v>
      </c>
      <c r="G188" s="125" t="s">
        <v>485</v>
      </c>
      <c r="H188" s="183" t="s">
        <v>155</v>
      </c>
      <c r="J188" s="187"/>
      <c r="K188" s="126">
        <v>8607.0000000000018</v>
      </c>
      <c r="L188" s="126"/>
      <c r="M188" s="126"/>
      <c r="N188" s="126"/>
      <c r="O188" s="127">
        <f t="shared" si="52"/>
        <v>0.98253424657534272</v>
      </c>
      <c r="Q188" s="190">
        <f t="shared" si="36"/>
        <v>0</v>
      </c>
      <c r="R188" s="191">
        <f t="shared" si="45"/>
        <v>8607.0000000000018</v>
      </c>
      <c r="S188" s="191">
        <f t="shared" si="37"/>
        <v>0</v>
      </c>
      <c r="T188" s="191">
        <f t="shared" si="38"/>
        <v>0</v>
      </c>
      <c r="U188" s="191">
        <f t="shared" si="39"/>
        <v>0</v>
      </c>
      <c r="V188" s="205">
        <f t="shared" si="53"/>
        <v>0.98253424657534272</v>
      </c>
      <c r="X188" s="190">
        <f t="shared" si="40"/>
        <v>0</v>
      </c>
      <c r="Y188" s="191">
        <f t="shared" si="41"/>
        <v>8650.0350000000017</v>
      </c>
      <c r="Z188" s="191">
        <f t="shared" si="42"/>
        <v>0</v>
      </c>
      <c r="AA188" s="191">
        <f t="shared" si="43"/>
        <v>0</v>
      </c>
      <c r="AB188" s="191">
        <f t="shared" si="44"/>
        <v>0</v>
      </c>
      <c r="AC188" s="205">
        <f t="shared" si="54"/>
        <v>0.98744691780821936</v>
      </c>
    </row>
    <row r="189" spans="1:29" ht="12.75" customHeight="1">
      <c r="D189" s="119" t="s">
        <v>475</v>
      </c>
      <c r="E189" s="49"/>
      <c r="F189" s="111" t="s">
        <v>484</v>
      </c>
      <c r="G189" s="111" t="s">
        <v>485</v>
      </c>
      <c r="H189" s="181" t="s">
        <v>156</v>
      </c>
      <c r="I189" s="393"/>
      <c r="J189" s="185">
        <f>1075229.16666667-K189</f>
        <v>375341.66666667</v>
      </c>
      <c r="K189" s="120">
        <v>699887.5</v>
      </c>
      <c r="L189" s="120">
        <v>254283778.91760147</v>
      </c>
      <c r="M189" s="120">
        <v>546595.42522868933</v>
      </c>
      <c r="N189" s="120">
        <v>0</v>
      </c>
      <c r="O189" s="121">
        <f>SUM(K189:L189)/8760/0.2756*0.85/0.8634</f>
        <v>103976.67457982834</v>
      </c>
      <c r="Q189" s="189">
        <f t="shared" si="36"/>
        <v>377485.9701601566</v>
      </c>
      <c r="R189" s="115">
        <f t="shared" si="45"/>
        <v>703885.91356443486</v>
      </c>
      <c r="S189" s="115">
        <f t="shared" si="37"/>
        <v>252199619.51800278</v>
      </c>
      <c r="T189" s="115">
        <f t="shared" si="38"/>
        <v>532060.04866957373</v>
      </c>
      <c r="U189" s="115">
        <f t="shared" si="39"/>
        <v>0</v>
      </c>
      <c r="V189" s="203">
        <f>SUM(R189:S189)/8760/0.2756*0.85/0.8634</f>
        <v>103128.43114150428</v>
      </c>
      <c r="X189" s="189">
        <f t="shared" si="40"/>
        <v>381543.7691162416</v>
      </c>
      <c r="Y189" s="115">
        <f t="shared" si="41"/>
        <v>711452.36040232098</v>
      </c>
      <c r="Z189" s="115">
        <f t="shared" si="42"/>
        <v>246738467.35644144</v>
      </c>
      <c r="AA189" s="115">
        <f t="shared" si="43"/>
        <v>522809.17772888119</v>
      </c>
      <c r="AB189" s="115">
        <f t="shared" si="44"/>
        <v>0</v>
      </c>
      <c r="AC189" s="203">
        <f>SUM(Y189:Z189)/8760/0.2756*0.85/0.8634</f>
        <v>100904.58004108</v>
      </c>
    </row>
    <row r="190" spans="1:29" ht="12.75" customHeight="1">
      <c r="D190" s="122" t="s">
        <v>473</v>
      </c>
      <c r="E190" s="52"/>
      <c r="F190" s="42" t="s">
        <v>484</v>
      </c>
      <c r="G190" s="42" t="s">
        <v>485</v>
      </c>
      <c r="H190" s="182" t="s">
        <v>156</v>
      </c>
      <c r="I190" s="393"/>
      <c r="J190" s="186">
        <f>332606.25-K190</f>
        <v>90793.75</v>
      </c>
      <c r="K190" s="91">
        <v>241812.5</v>
      </c>
      <c r="L190" s="91">
        <v>50772828.121565513</v>
      </c>
      <c r="M190" s="91">
        <v>147042.95581491099</v>
      </c>
      <c r="N190" s="91">
        <v>0</v>
      </c>
      <c r="O190" s="123">
        <f t="shared" ref="O190:O191" si="55">SUM(K190:L190)/8760/0.2756*0.85/0.8634</f>
        <v>20802.637130600346</v>
      </c>
      <c r="Q190" s="176">
        <f t="shared" si="36"/>
        <v>90547.051795245032</v>
      </c>
      <c r="R190" s="161">
        <f t="shared" si="45"/>
        <v>241155.46458030082</v>
      </c>
      <c r="S190" s="161">
        <f t="shared" si="37"/>
        <v>50720495.957915641</v>
      </c>
      <c r="T190" s="161">
        <f t="shared" si="38"/>
        <v>144105.69307415531</v>
      </c>
      <c r="U190" s="161">
        <f t="shared" si="39"/>
        <v>0</v>
      </c>
      <c r="V190" s="204">
        <f t="shared" ref="V190:V191" si="56">SUM(R190:S190)/8760/0.2756*0.85/0.8634</f>
        <v>20781.029312400413</v>
      </c>
      <c r="X190" s="176">
        <f t="shared" si="40"/>
        <v>90641.716773598659</v>
      </c>
      <c r="Y190" s="161">
        <f t="shared" si="41"/>
        <v>241407.58738697128</v>
      </c>
      <c r="Z190" s="161">
        <f t="shared" si="42"/>
        <v>50153391.777657889</v>
      </c>
      <c r="AA190" s="161">
        <f t="shared" si="43"/>
        <v>142442.81854227555</v>
      </c>
      <c r="AB190" s="161">
        <f t="shared" si="44"/>
        <v>0</v>
      </c>
      <c r="AC190" s="204">
        <f t="shared" ref="AC190:AC191" si="57">SUM(Y190:Z190)/8760/0.2756*0.85/0.8634</f>
        <v>20549.879636264031</v>
      </c>
    </row>
    <row r="191" spans="1:29" ht="12.75" customHeight="1">
      <c r="D191" s="124" t="s">
        <v>474</v>
      </c>
      <c r="E191" s="59"/>
      <c r="F191" s="125" t="s">
        <v>484</v>
      </c>
      <c r="G191" s="125" t="s">
        <v>485</v>
      </c>
      <c r="H191" s="183" t="s">
        <v>156</v>
      </c>
      <c r="I191" s="393"/>
      <c r="J191" s="187">
        <f>9733.33333333333-K191</f>
        <v>7299.9999999999964</v>
      </c>
      <c r="K191" s="126">
        <v>2433.3333333333335</v>
      </c>
      <c r="L191" s="126">
        <v>4994395.5310768904</v>
      </c>
      <c r="M191" s="126">
        <v>10837.1283474094</v>
      </c>
      <c r="N191" s="126">
        <v>0</v>
      </c>
      <c r="O191" s="127">
        <f t="shared" si="55"/>
        <v>2037.5958039405236</v>
      </c>
      <c r="Q191" s="190">
        <f t="shared" si="36"/>
        <v>7374.4313725490165</v>
      </c>
      <c r="R191" s="191">
        <f t="shared" si="45"/>
        <v>2458.1437908496737</v>
      </c>
      <c r="S191" s="191">
        <f t="shared" si="37"/>
        <v>5055243.4564342434</v>
      </c>
      <c r="T191" s="191">
        <f t="shared" si="38"/>
        <v>10837.1283474094</v>
      </c>
      <c r="U191" s="191">
        <f t="shared" si="39"/>
        <v>0</v>
      </c>
      <c r="V191" s="205">
        <f t="shared" si="56"/>
        <v>2062.4183532886086</v>
      </c>
      <c r="X191" s="190">
        <f t="shared" si="40"/>
        <v>7422.1623199441556</v>
      </c>
      <c r="Y191" s="191">
        <f t="shared" si="41"/>
        <v>2474.0541066480532</v>
      </c>
      <c r="Z191" s="191">
        <f t="shared" si="42"/>
        <v>5063736.2878868133</v>
      </c>
      <c r="AA191" s="191">
        <f t="shared" si="43"/>
        <v>10852.014932678479</v>
      </c>
      <c r="AB191" s="191">
        <f t="shared" si="44"/>
        <v>0</v>
      </c>
      <c r="AC191" s="205">
        <f t="shared" si="57"/>
        <v>2065.8880291559421</v>
      </c>
    </row>
    <row r="192" spans="1:29" ht="12.75" customHeight="1">
      <c r="D192" s="122" t="s">
        <v>502</v>
      </c>
      <c r="E192" s="52"/>
      <c r="F192" s="42" t="s">
        <v>484</v>
      </c>
      <c r="G192" s="42" t="s">
        <v>485</v>
      </c>
      <c r="H192" s="184" t="s">
        <v>181</v>
      </c>
      <c r="J192" s="188">
        <v>4380</v>
      </c>
      <c r="K192" s="128"/>
      <c r="L192" s="128">
        <v>4020098</v>
      </c>
      <c r="M192" s="128">
        <v>81</v>
      </c>
      <c r="N192" s="128">
        <v>0</v>
      </c>
      <c r="O192" s="129">
        <f>SUM(K192:L192)/8760/0.2756*0.85/0.8634</f>
        <v>1639.3066559818062</v>
      </c>
      <c r="Q192" s="176">
        <f t="shared" si="36"/>
        <v>4404.1014051292132</v>
      </c>
      <c r="R192" s="161">
        <f t="shared" si="45"/>
        <v>0</v>
      </c>
      <c r="S192" s="161">
        <f t="shared" si="37"/>
        <v>3987148.4934696485</v>
      </c>
      <c r="T192" s="161">
        <f t="shared" si="38"/>
        <v>78.846001911201938</v>
      </c>
      <c r="U192" s="161">
        <f t="shared" si="39"/>
        <v>0</v>
      </c>
      <c r="V192" s="204">
        <f>SUM(R192:S192)/8760/0.2756*0.85/0.8634</f>
        <v>1625.8705792079265</v>
      </c>
      <c r="X192" s="176">
        <f t="shared" si="40"/>
        <v>4451.4434509187386</v>
      </c>
      <c r="Y192" s="161">
        <f t="shared" si="41"/>
        <v>0</v>
      </c>
      <c r="Z192" s="161">
        <f t="shared" si="42"/>
        <v>3900810.4384987787</v>
      </c>
      <c r="AA192" s="161">
        <f t="shared" si="43"/>
        <v>77.475114941405977</v>
      </c>
      <c r="AB192" s="161">
        <f t="shared" si="44"/>
        <v>0</v>
      </c>
      <c r="AC192" s="204">
        <f>SUM(Y192:Z192)/8760/0.2756*0.85/0.8634</f>
        <v>1590.6638384323855</v>
      </c>
    </row>
    <row r="193" spans="2:29" ht="12.75" customHeight="1">
      <c r="D193" s="122" t="s">
        <v>503</v>
      </c>
      <c r="E193" s="52"/>
      <c r="F193" s="42" t="s">
        <v>484</v>
      </c>
      <c r="G193" s="42" t="s">
        <v>485</v>
      </c>
      <c r="H193" s="182" t="s">
        <v>181</v>
      </c>
      <c r="J193" s="186">
        <v>334.58333333333337</v>
      </c>
      <c r="K193" s="91"/>
      <c r="L193" s="91">
        <v>372672</v>
      </c>
      <c r="M193" s="91">
        <v>6.3157894736842106</v>
      </c>
      <c r="N193" s="91">
        <v>0</v>
      </c>
      <c r="O193" s="123">
        <f>SUM(K193:L193)/8760/0.2756*0.85/0.8634</f>
        <v>151.96736251157353</v>
      </c>
      <c r="Q193" s="176">
        <f t="shared" si="36"/>
        <v>333.01660596600766</v>
      </c>
      <c r="R193" s="161">
        <f t="shared" si="45"/>
        <v>0</v>
      </c>
      <c r="S193" s="161">
        <f t="shared" si="37"/>
        <v>372287.8824943722</v>
      </c>
      <c r="T193" s="161">
        <f t="shared" si="38"/>
        <v>6.1896281557434811</v>
      </c>
      <c r="U193" s="161">
        <f t="shared" si="39"/>
        <v>0</v>
      </c>
      <c r="V193" s="204">
        <f>SUM(R193:S193)/8760/0.2756*0.85/0.8634</f>
        <v>151.81072792613438</v>
      </c>
      <c r="X193" s="176">
        <f t="shared" si="40"/>
        <v>333.36476760319118</v>
      </c>
      <c r="Y193" s="161">
        <f t="shared" si="41"/>
        <v>0</v>
      </c>
      <c r="Z193" s="161">
        <f t="shared" si="42"/>
        <v>368125.34404843423</v>
      </c>
      <c r="AA193" s="161">
        <f t="shared" si="43"/>
        <v>6.1182043639249635</v>
      </c>
      <c r="AB193" s="161">
        <f t="shared" si="44"/>
        <v>0</v>
      </c>
      <c r="AC193" s="204">
        <f>SUM(Y193:Z193)/8760/0.2756*0.85/0.8634</f>
        <v>150.11333722068235</v>
      </c>
    </row>
    <row r="194" spans="2:29" ht="12.75" customHeight="1">
      <c r="D194" s="124" t="s">
        <v>504</v>
      </c>
      <c r="E194" s="59"/>
      <c r="F194" s="125" t="s">
        <v>484</v>
      </c>
      <c r="G194" s="125" t="s">
        <v>485</v>
      </c>
      <c r="H194" s="183" t="s">
        <v>181</v>
      </c>
      <c r="J194" s="187">
        <v>0</v>
      </c>
      <c r="K194" s="126"/>
      <c r="L194" s="126"/>
      <c r="M194" s="126"/>
      <c r="N194" s="126"/>
      <c r="O194" s="127">
        <v>0</v>
      </c>
      <c r="Q194" s="190">
        <f t="shared" si="36"/>
        <v>0</v>
      </c>
      <c r="R194" s="191">
        <f t="shared" si="45"/>
        <v>0</v>
      </c>
      <c r="S194" s="191">
        <f t="shared" si="37"/>
        <v>0</v>
      </c>
      <c r="T194" s="191">
        <f t="shared" si="38"/>
        <v>0</v>
      </c>
      <c r="U194" s="191">
        <f t="shared" si="39"/>
        <v>0</v>
      </c>
      <c r="V194" s="205" t="str">
        <f>NA</f>
        <v>N/A</v>
      </c>
      <c r="X194" s="190">
        <f t="shared" si="40"/>
        <v>0</v>
      </c>
      <c r="Y194" s="191">
        <f t="shared" si="41"/>
        <v>0</v>
      </c>
      <c r="Z194" s="191">
        <f t="shared" si="42"/>
        <v>0</v>
      </c>
      <c r="AA194" s="191">
        <f t="shared" si="43"/>
        <v>0</v>
      </c>
      <c r="AB194" s="191">
        <f t="shared" si="44"/>
        <v>0</v>
      </c>
      <c r="AC194" s="205" t="str">
        <f>NA</f>
        <v>N/A</v>
      </c>
    </row>
    <row r="196" spans="2:29" s="7" customFormat="1" ht="15.6">
      <c r="B196" s="7" t="s">
        <v>218</v>
      </c>
    </row>
    <row r="199" spans="2:29" ht="12.75" customHeight="1">
      <c r="Q199" s="490" t="s">
        <v>309</v>
      </c>
      <c r="R199" s="490"/>
      <c r="S199" s="490"/>
      <c r="T199" s="490"/>
      <c r="U199" s="490"/>
      <c r="V199" s="490"/>
      <c r="X199" s="490" t="s">
        <v>310</v>
      </c>
      <c r="Y199" s="490"/>
      <c r="Z199" s="490"/>
      <c r="AA199" s="490"/>
      <c r="AB199" s="490"/>
      <c r="AC199" s="490"/>
    </row>
    <row r="200" spans="2:29" ht="25.8">
      <c r="C200" s="12" t="s">
        <v>219</v>
      </c>
      <c r="F200" s="55" t="s">
        <v>135</v>
      </c>
      <c r="G200" s="55" t="s">
        <v>136</v>
      </c>
      <c r="Q200" s="196" t="str">
        <f>Q176</f>
        <v>SAC</v>
      </c>
      <c r="R200" s="197" t="str">
        <f t="shared" ref="R200:V200" si="58">R176</f>
        <v>Manual Meter</v>
      </c>
      <c r="S200" s="197" t="str">
        <f t="shared" si="58"/>
        <v>Smart Meter</v>
      </c>
      <c r="T200" s="197" t="str">
        <f t="shared" si="58"/>
        <v>Peak</v>
      </c>
      <c r="U200" s="197" t="str">
        <f t="shared" si="58"/>
        <v>Off Peak</v>
      </c>
      <c r="V200" s="198" t="str">
        <f t="shared" si="58"/>
        <v>Co-incident Demand</v>
      </c>
      <c r="X200" s="196" t="str">
        <f>X176</f>
        <v>SAC</v>
      </c>
      <c r="Y200" s="197" t="str">
        <f t="shared" ref="Y200:AC200" si="59">Y176</f>
        <v>Manual Meter</v>
      </c>
      <c r="Z200" s="197" t="str">
        <f t="shared" si="59"/>
        <v>Smart Meter</v>
      </c>
      <c r="AA200" s="197" t="str">
        <f t="shared" si="59"/>
        <v>Peak</v>
      </c>
      <c r="AB200" s="197" t="str">
        <f t="shared" si="59"/>
        <v>Off Peak</v>
      </c>
      <c r="AC200" s="198" t="str">
        <f t="shared" si="59"/>
        <v>Co-incident Demand</v>
      </c>
    </row>
    <row r="201" spans="2:29" ht="12.75" customHeight="1">
      <c r="D201" s="119" t="s">
        <v>491</v>
      </c>
      <c r="E201" s="49"/>
      <c r="F201" s="111" t="s">
        <v>482</v>
      </c>
      <c r="G201" s="192" t="s">
        <v>164</v>
      </c>
      <c r="Q201" s="134">
        <v>5.7129375284383777E-3</v>
      </c>
      <c r="R201" s="135">
        <v>-8.1961948515562044E-3</v>
      </c>
      <c r="S201" s="135">
        <v>-8.1961948515562044E-3</v>
      </c>
      <c r="T201" s="135">
        <v>-2.6592568997506949E-2</v>
      </c>
      <c r="U201" s="135">
        <v>-2.6592568997506949E-2</v>
      </c>
      <c r="V201" s="199" t="str">
        <f t="shared" ref="V201:V219" si="60">NA</f>
        <v>N/A</v>
      </c>
      <c r="X201" s="134">
        <v>5.8648078018699312E-3</v>
      </c>
      <c r="Y201" s="135">
        <v>-2.1654085648497579E-2</v>
      </c>
      <c r="Z201" s="135">
        <v>-2.1654085648497579E-2</v>
      </c>
      <c r="AA201" s="135">
        <v>-1.7386892633311835E-2</v>
      </c>
      <c r="AB201" s="135">
        <v>-1.7386892633311835E-2</v>
      </c>
      <c r="AC201" s="199" t="str">
        <f t="shared" ref="AC201:AC219" si="61">NA</f>
        <v>N/A</v>
      </c>
    </row>
    <row r="202" spans="2:29" ht="12.75" customHeight="1">
      <c r="D202" s="122" t="s">
        <v>492</v>
      </c>
      <c r="E202" s="52"/>
      <c r="F202" s="42" t="s">
        <v>482</v>
      </c>
      <c r="G202" s="193" t="s">
        <v>164</v>
      </c>
      <c r="Q202" s="130">
        <v>-2.7171276079572815E-3</v>
      </c>
      <c r="R202" s="131">
        <v>-1.0307120084894761E-3</v>
      </c>
      <c r="S202" s="131">
        <v>-1.0307120084894761E-3</v>
      </c>
      <c r="T202" s="131">
        <v>-1.9975542007282132E-2</v>
      </c>
      <c r="U202" s="131">
        <v>-1.9975542007282132E-2</v>
      </c>
      <c r="V202" s="200" t="str">
        <f t="shared" si="60"/>
        <v>N/A</v>
      </c>
      <c r="X202" s="130">
        <v>-2.0433978787584017E-3</v>
      </c>
      <c r="Y202" s="131">
        <v>-1.118096677777547E-2</v>
      </c>
      <c r="Z202" s="131">
        <v>-1.118096677777547E-2</v>
      </c>
      <c r="AA202" s="131">
        <v>-1.1539270214841912E-2</v>
      </c>
      <c r="AB202" s="131">
        <v>-1.1539270214841912E-2</v>
      </c>
      <c r="AC202" s="200" t="str">
        <f t="shared" si="61"/>
        <v>N/A</v>
      </c>
    </row>
    <row r="203" spans="2:29" ht="12.75" customHeight="1">
      <c r="D203" s="124" t="s">
        <v>493</v>
      </c>
      <c r="E203" s="59"/>
      <c r="F203" s="125" t="s">
        <v>482</v>
      </c>
      <c r="G203" s="194" t="s">
        <v>164</v>
      </c>
      <c r="Q203" s="132">
        <v>1.0196078431372602E-2</v>
      </c>
      <c r="R203" s="133">
        <v>1.2183241190797833E-2</v>
      </c>
      <c r="S203" s="133">
        <v>1.2183241190797833E-2</v>
      </c>
      <c r="T203" s="133">
        <v>-3.313916181686638E-3</v>
      </c>
      <c r="U203" s="133">
        <v>-3.313916181686638E-3</v>
      </c>
      <c r="V203" s="201" t="str">
        <f t="shared" si="60"/>
        <v>N/A</v>
      </c>
      <c r="X203" s="132">
        <v>1.0869565217391353E-2</v>
      </c>
      <c r="Y203" s="133">
        <v>1.6800044400948622E-3</v>
      </c>
      <c r="Z203" s="133">
        <v>1.6800044400948622E-3</v>
      </c>
      <c r="AA203" s="133">
        <v>1.3736651252855836E-3</v>
      </c>
      <c r="AB203" s="133">
        <v>1.3736651252855836E-3</v>
      </c>
      <c r="AC203" s="201" t="str">
        <f t="shared" si="61"/>
        <v>N/A</v>
      </c>
    </row>
    <row r="204" spans="2:29" ht="12.75" customHeight="1">
      <c r="D204" s="119" t="s">
        <v>499</v>
      </c>
      <c r="E204" s="49"/>
      <c r="F204" s="111" t="s">
        <v>482</v>
      </c>
      <c r="G204" s="192" t="s">
        <v>164</v>
      </c>
      <c r="Q204" s="134">
        <v>5.5026039107792801E-3</v>
      </c>
      <c r="R204" s="135">
        <v>-8.1961948515562044E-3</v>
      </c>
      <c r="S204" s="135">
        <v>-8.1961948515562044E-3</v>
      </c>
      <c r="T204" s="135">
        <v>-2.6592568997506949E-2</v>
      </c>
      <c r="U204" s="135">
        <v>-2.6592568997506949E-2</v>
      </c>
      <c r="V204" s="199" t="str">
        <f t="shared" si="60"/>
        <v>N/A</v>
      </c>
      <c r="X204" s="134">
        <v>1.0749535815498978E-2</v>
      </c>
      <c r="Y204" s="135">
        <v>-2.1654085648497579E-2</v>
      </c>
      <c r="Z204" s="135">
        <v>-2.1654085648497579E-2</v>
      </c>
      <c r="AA204" s="135">
        <v>-1.7386892633311835E-2</v>
      </c>
      <c r="AB204" s="135">
        <v>-1.7386892633311835E-2</v>
      </c>
      <c r="AC204" s="199" t="str">
        <f t="shared" si="61"/>
        <v>N/A</v>
      </c>
    </row>
    <row r="205" spans="2:29" ht="12.75" customHeight="1">
      <c r="D205" s="122" t="s">
        <v>500</v>
      </c>
      <c r="E205" s="52"/>
      <c r="F205" s="42" t="s">
        <v>482</v>
      </c>
      <c r="G205" s="193" t="s">
        <v>164</v>
      </c>
      <c r="Q205" s="130">
        <v>-4.6826222684703822E-3</v>
      </c>
      <c r="R205" s="131">
        <v>-1.0307120084894761E-3</v>
      </c>
      <c r="S205" s="131">
        <v>-1.0307120084894761E-3</v>
      </c>
      <c r="T205" s="131">
        <v>-1.9975542007282132E-2</v>
      </c>
      <c r="U205" s="131">
        <v>-1.9975542007282132E-2</v>
      </c>
      <c r="V205" s="200" t="str">
        <f t="shared" si="60"/>
        <v>N/A</v>
      </c>
      <c r="X205" s="130">
        <v>1.045478306325176E-3</v>
      </c>
      <c r="Y205" s="131">
        <v>-1.118096677777547E-2</v>
      </c>
      <c r="Z205" s="131">
        <v>-1.118096677777547E-2</v>
      </c>
      <c r="AA205" s="131">
        <v>-1.1539270214841912E-2</v>
      </c>
      <c r="AB205" s="131">
        <v>-1.1539270214841912E-2</v>
      </c>
      <c r="AC205" s="200" t="str">
        <f t="shared" si="61"/>
        <v>N/A</v>
      </c>
    </row>
    <row r="206" spans="2:29" ht="12.75" customHeight="1">
      <c r="D206" s="124" t="s">
        <v>501</v>
      </c>
      <c r="E206" s="59"/>
      <c r="F206" s="125" t="s">
        <v>482</v>
      </c>
      <c r="G206" s="194" t="s">
        <v>164</v>
      </c>
      <c r="Q206" s="132">
        <v>-3.225806451612856E-3</v>
      </c>
      <c r="R206" s="133">
        <v>1.2183241190797833E-2</v>
      </c>
      <c r="S206" s="133">
        <v>1.2183241190797833E-2</v>
      </c>
      <c r="T206" s="133">
        <v>-3.313916181686638E-3</v>
      </c>
      <c r="U206" s="133">
        <v>-3.313916181686638E-3</v>
      </c>
      <c r="V206" s="201" t="str">
        <f t="shared" si="60"/>
        <v>N/A</v>
      </c>
      <c r="X206" s="132">
        <v>6.4724919093850364E-3</v>
      </c>
      <c r="Y206" s="133">
        <v>1.6800044400948622E-3</v>
      </c>
      <c r="Z206" s="133">
        <v>1.6800044400948622E-3</v>
      </c>
      <c r="AA206" s="133">
        <v>1.3736651252855836E-3</v>
      </c>
      <c r="AB206" s="133">
        <v>1.3736651252855836E-3</v>
      </c>
      <c r="AC206" s="201" t="str">
        <f t="shared" si="61"/>
        <v>N/A</v>
      </c>
    </row>
    <row r="207" spans="2:29" ht="12.75" customHeight="1">
      <c r="D207" s="119" t="s">
        <v>207</v>
      </c>
      <c r="E207" s="49"/>
      <c r="F207" s="111" t="s">
        <v>482</v>
      </c>
      <c r="G207" s="192" t="s">
        <v>164</v>
      </c>
      <c r="Q207" s="134"/>
      <c r="R207" s="135">
        <v>0</v>
      </c>
      <c r="S207" s="135">
        <v>0</v>
      </c>
      <c r="T207" s="135"/>
      <c r="U207" s="135"/>
      <c r="V207" s="199" t="str">
        <f t="shared" si="60"/>
        <v>N/A</v>
      </c>
      <c r="X207" s="134"/>
      <c r="Y207" s="135">
        <v>5.0000000000000001E-3</v>
      </c>
      <c r="Z207" s="135">
        <v>5.0000000000000001E-3</v>
      </c>
      <c r="AA207" s="135">
        <v>0</v>
      </c>
      <c r="AB207" s="135">
        <v>0</v>
      </c>
      <c r="AC207" s="199" t="str">
        <f t="shared" si="61"/>
        <v>N/A</v>
      </c>
    </row>
    <row r="208" spans="2:29" ht="12.75" customHeight="1">
      <c r="D208" s="122" t="s">
        <v>208</v>
      </c>
      <c r="E208" s="52"/>
      <c r="F208" s="42" t="s">
        <v>482</v>
      </c>
      <c r="G208" s="193" t="s">
        <v>164</v>
      </c>
      <c r="Q208" s="130"/>
      <c r="R208" s="131">
        <v>0</v>
      </c>
      <c r="S208" s="131">
        <v>0</v>
      </c>
      <c r="T208" s="131"/>
      <c r="U208" s="131"/>
      <c r="V208" s="200" t="str">
        <f t="shared" si="60"/>
        <v>N/A</v>
      </c>
      <c r="X208" s="130"/>
      <c r="Y208" s="131">
        <v>5.0000000000000001E-3</v>
      </c>
      <c r="Z208" s="131">
        <v>5.0000000000000001E-3</v>
      </c>
      <c r="AA208" s="131">
        <v>0</v>
      </c>
      <c r="AB208" s="131">
        <v>0</v>
      </c>
      <c r="AC208" s="200" t="str">
        <f t="shared" si="61"/>
        <v>N/A</v>
      </c>
    </row>
    <row r="209" spans="2:29" ht="12.75" customHeight="1">
      <c r="D209" s="124" t="s">
        <v>209</v>
      </c>
      <c r="E209" s="59"/>
      <c r="F209" s="125" t="s">
        <v>482</v>
      </c>
      <c r="G209" s="194" t="s">
        <v>164</v>
      </c>
      <c r="Q209" s="132"/>
      <c r="R209" s="133">
        <v>0</v>
      </c>
      <c r="S209" s="133">
        <v>0</v>
      </c>
      <c r="T209" s="133"/>
      <c r="U209" s="133"/>
      <c r="V209" s="201" t="str">
        <f t="shared" si="60"/>
        <v>N/A</v>
      </c>
      <c r="X209" s="132"/>
      <c r="Y209" s="133">
        <v>5.0000000000000001E-3</v>
      </c>
      <c r="Z209" s="133">
        <v>5.0000000000000001E-3</v>
      </c>
      <c r="AA209" s="133">
        <v>0</v>
      </c>
      <c r="AB209" s="133">
        <v>0</v>
      </c>
      <c r="AC209" s="201" t="str">
        <f t="shared" si="61"/>
        <v>N/A</v>
      </c>
    </row>
    <row r="210" spans="2:29" ht="12.75" customHeight="1">
      <c r="D210" s="119" t="s">
        <v>210</v>
      </c>
      <c r="E210" s="49"/>
      <c r="F210" s="111" t="s">
        <v>482</v>
      </c>
      <c r="G210" s="192" t="s">
        <v>164</v>
      </c>
      <c r="Q210" s="134"/>
      <c r="R210" s="135">
        <v>0</v>
      </c>
      <c r="S210" s="135">
        <v>0</v>
      </c>
      <c r="T210" s="135"/>
      <c r="U210" s="135"/>
      <c r="V210" s="199" t="str">
        <f t="shared" si="60"/>
        <v>N/A</v>
      </c>
      <c r="X210" s="134"/>
      <c r="Y210" s="135">
        <v>5.0000000000000001E-3</v>
      </c>
      <c r="Z210" s="135">
        <v>5.0000000000000001E-3</v>
      </c>
      <c r="AA210" s="135">
        <v>0</v>
      </c>
      <c r="AB210" s="135">
        <v>0</v>
      </c>
      <c r="AC210" s="199" t="str">
        <f t="shared" si="61"/>
        <v>N/A</v>
      </c>
    </row>
    <row r="211" spans="2:29" ht="12.75" customHeight="1">
      <c r="D211" s="122" t="s">
        <v>211</v>
      </c>
      <c r="E211" s="52"/>
      <c r="F211" s="42" t="s">
        <v>482</v>
      </c>
      <c r="G211" s="193" t="s">
        <v>164</v>
      </c>
      <c r="Q211" s="130"/>
      <c r="R211" s="131">
        <v>0</v>
      </c>
      <c r="S211" s="131">
        <v>0</v>
      </c>
      <c r="T211" s="131"/>
      <c r="U211" s="131"/>
      <c r="V211" s="200" t="str">
        <f t="shared" si="60"/>
        <v>N/A</v>
      </c>
      <c r="X211" s="130"/>
      <c r="Y211" s="131">
        <v>5.0000000000000001E-3</v>
      </c>
      <c r="Z211" s="131">
        <v>5.0000000000000001E-3</v>
      </c>
      <c r="AA211" s="131">
        <v>0</v>
      </c>
      <c r="AB211" s="131">
        <v>0</v>
      </c>
      <c r="AC211" s="200" t="str">
        <f t="shared" si="61"/>
        <v>N/A</v>
      </c>
    </row>
    <row r="212" spans="2:29" ht="12.75" customHeight="1">
      <c r="D212" s="124" t="s">
        <v>212</v>
      </c>
      <c r="E212" s="59"/>
      <c r="F212" s="125" t="s">
        <v>482</v>
      </c>
      <c r="G212" s="194" t="s">
        <v>164</v>
      </c>
      <c r="Q212" s="132"/>
      <c r="R212" s="133">
        <v>0</v>
      </c>
      <c r="S212" s="133">
        <v>0</v>
      </c>
      <c r="T212" s="133"/>
      <c r="U212" s="133"/>
      <c r="V212" s="201" t="str">
        <f t="shared" si="60"/>
        <v>N/A</v>
      </c>
      <c r="X212" s="132"/>
      <c r="Y212" s="133">
        <v>5.0000000000000001E-3</v>
      </c>
      <c r="Z212" s="133">
        <v>5.0000000000000001E-3</v>
      </c>
      <c r="AA212" s="133">
        <v>0</v>
      </c>
      <c r="AB212" s="133">
        <v>0</v>
      </c>
      <c r="AC212" s="201" t="str">
        <f t="shared" si="61"/>
        <v>N/A</v>
      </c>
    </row>
    <row r="213" spans="2:29" ht="12.75" customHeight="1">
      <c r="D213" s="119" t="s">
        <v>505</v>
      </c>
      <c r="E213" s="49"/>
      <c r="F213" s="111" t="s">
        <v>482</v>
      </c>
      <c r="G213" s="192" t="s">
        <v>164</v>
      </c>
      <c r="Q213" s="134">
        <v>5.7129375284383777E-3</v>
      </c>
      <c r="R213" s="134">
        <v>5.7129375284383777E-3</v>
      </c>
      <c r="S213" s="135">
        <v>-8.1961948515562044E-3</v>
      </c>
      <c r="T213" s="135">
        <v>-2.6592568997506949E-2</v>
      </c>
      <c r="U213" s="135">
        <v>-2.6592568997506949E-2</v>
      </c>
      <c r="V213" s="199" t="str">
        <f t="shared" si="60"/>
        <v>N/A</v>
      </c>
      <c r="X213" s="134">
        <v>1.0749535815498978E-2</v>
      </c>
      <c r="Y213" s="134">
        <v>1.0749535815498978E-2</v>
      </c>
      <c r="Z213" s="135">
        <v>-2.1654085648497579E-2</v>
      </c>
      <c r="AA213" s="135">
        <v>-1.7386892633311835E-2</v>
      </c>
      <c r="AB213" s="135">
        <v>-1.7386892633311835E-2</v>
      </c>
      <c r="AC213" s="199" t="str">
        <f t="shared" si="61"/>
        <v>N/A</v>
      </c>
    </row>
    <row r="214" spans="2:29" ht="12.75" customHeight="1">
      <c r="D214" s="122" t="s">
        <v>506</v>
      </c>
      <c r="E214" s="52"/>
      <c r="F214" s="42" t="s">
        <v>482</v>
      </c>
      <c r="G214" s="193" t="s">
        <v>164</v>
      </c>
      <c r="Q214" s="130">
        <v>-2.7171276079572815E-3</v>
      </c>
      <c r="R214" s="130">
        <v>-2.7171276079572815E-3</v>
      </c>
      <c r="S214" s="131">
        <v>-1.0307120084894761E-3</v>
      </c>
      <c r="T214" s="131">
        <v>-1.9975542007282132E-2</v>
      </c>
      <c r="U214" s="131">
        <v>-1.9975542007282132E-2</v>
      </c>
      <c r="V214" s="200" t="str">
        <f t="shared" si="60"/>
        <v>N/A</v>
      </c>
      <c r="X214" s="130">
        <v>1.045478306325176E-3</v>
      </c>
      <c r="Y214" s="130">
        <v>1.045478306325176E-3</v>
      </c>
      <c r="Z214" s="131">
        <v>-1.118096677777547E-2</v>
      </c>
      <c r="AA214" s="131">
        <v>-1.1539270214841912E-2</v>
      </c>
      <c r="AB214" s="131">
        <v>-1.1539270214841912E-2</v>
      </c>
      <c r="AC214" s="200" t="str">
        <f t="shared" si="61"/>
        <v>N/A</v>
      </c>
    </row>
    <row r="215" spans="2:29" ht="12.75" customHeight="1">
      <c r="D215" s="124" t="s">
        <v>507</v>
      </c>
      <c r="E215" s="59"/>
      <c r="F215" s="125" t="s">
        <v>482</v>
      </c>
      <c r="G215" s="194" t="s">
        <v>164</v>
      </c>
      <c r="Q215" s="132">
        <v>1.0196078431372602E-2</v>
      </c>
      <c r="R215" s="132">
        <v>1.0196078431372602E-2</v>
      </c>
      <c r="S215" s="133">
        <v>1.2183241190797833E-2</v>
      </c>
      <c r="T215" s="133"/>
      <c r="U215" s="133"/>
      <c r="V215" s="201" t="str">
        <f t="shared" si="60"/>
        <v>N/A</v>
      </c>
      <c r="X215" s="132">
        <v>6.4724919093850364E-3</v>
      </c>
      <c r="Y215" s="132">
        <v>6.4724919093850364E-3</v>
      </c>
      <c r="Z215" s="133">
        <v>1.6800044400948622E-3</v>
      </c>
      <c r="AA215" s="133">
        <v>1.3736651252855836E-3</v>
      </c>
      <c r="AB215" s="133">
        <v>1.3736651252855836E-3</v>
      </c>
      <c r="AC215" s="201" t="str">
        <f t="shared" si="61"/>
        <v>N/A</v>
      </c>
    </row>
    <row r="216" spans="2:29" ht="12.75" customHeight="1">
      <c r="D216" s="119" t="s">
        <v>502</v>
      </c>
      <c r="E216" s="49"/>
      <c r="F216" s="42" t="s">
        <v>482</v>
      </c>
      <c r="G216" s="193" t="s">
        <v>164</v>
      </c>
      <c r="Q216" s="134">
        <v>5.5026039107792801E-3</v>
      </c>
      <c r="R216" s="134">
        <v>5.5026039107792801E-3</v>
      </c>
      <c r="S216" s="135">
        <v>-8.1961948515562044E-3</v>
      </c>
      <c r="T216" s="135">
        <v>-2.6592568997506949E-2</v>
      </c>
      <c r="U216" s="135">
        <v>-2.6592568997506949E-2</v>
      </c>
      <c r="V216" s="199" t="str">
        <f t="shared" si="60"/>
        <v>N/A</v>
      </c>
      <c r="X216" s="134">
        <v>1.0749535815498978E-2</v>
      </c>
      <c r="Y216" s="134">
        <v>1.0749535815498978E-2</v>
      </c>
      <c r="Z216" s="135">
        <v>-2.1654085648497579E-2</v>
      </c>
      <c r="AA216" s="135">
        <v>-1.7386892633311835E-2</v>
      </c>
      <c r="AB216" s="135">
        <v>-1.7386892633311835E-2</v>
      </c>
      <c r="AC216" s="199" t="str">
        <f t="shared" si="61"/>
        <v>N/A</v>
      </c>
    </row>
    <row r="217" spans="2:29" ht="12.75" customHeight="1">
      <c r="D217" s="122" t="s">
        <v>503</v>
      </c>
      <c r="E217" s="52"/>
      <c r="F217" s="42" t="s">
        <v>482</v>
      </c>
      <c r="G217" s="193" t="s">
        <v>164</v>
      </c>
      <c r="Q217" s="130">
        <v>-4.6826222684703822E-3</v>
      </c>
      <c r="R217" s="130">
        <v>-4.6826222684703822E-3</v>
      </c>
      <c r="S217" s="131">
        <v>-1.0307120084894761E-3</v>
      </c>
      <c r="T217" s="131">
        <v>-1.9975542007282132E-2</v>
      </c>
      <c r="U217" s="131">
        <v>-1.9975542007282132E-2</v>
      </c>
      <c r="V217" s="200" t="str">
        <f t="shared" si="60"/>
        <v>N/A</v>
      </c>
      <c r="X217" s="130">
        <v>1.045478306325176E-3</v>
      </c>
      <c r="Y217" s="130">
        <v>1.045478306325176E-3</v>
      </c>
      <c r="Z217" s="131">
        <v>-1.118096677777547E-2</v>
      </c>
      <c r="AA217" s="131">
        <v>-1.1539270214841912E-2</v>
      </c>
      <c r="AB217" s="131">
        <v>-1.1539270214841912E-2</v>
      </c>
      <c r="AC217" s="200" t="str">
        <f t="shared" si="61"/>
        <v>N/A</v>
      </c>
    </row>
    <row r="218" spans="2:29" ht="12.75" customHeight="1">
      <c r="D218" s="124" t="s">
        <v>504</v>
      </c>
      <c r="E218" s="59"/>
      <c r="F218" s="125" t="s">
        <v>482</v>
      </c>
      <c r="G218" s="194" t="s">
        <v>164</v>
      </c>
      <c r="Q218" s="132">
        <v>-3.225806451612856E-3</v>
      </c>
      <c r="R218" s="132">
        <v>-3.225806451612856E-3</v>
      </c>
      <c r="S218" s="133">
        <v>1.2183241190797833E-2</v>
      </c>
      <c r="T218" s="133"/>
      <c r="U218" s="133"/>
      <c r="V218" s="201" t="str">
        <f t="shared" si="60"/>
        <v>N/A</v>
      </c>
      <c r="X218" s="132">
        <v>6.4724919093850364E-3</v>
      </c>
      <c r="Y218" s="132">
        <v>6.4724919093850364E-3</v>
      </c>
      <c r="Z218" s="133">
        <v>1.6800044400948622E-3</v>
      </c>
      <c r="AA218" s="133">
        <v>1.3736651252855836E-3</v>
      </c>
      <c r="AB218" s="133">
        <v>1.3736651252855836E-3</v>
      </c>
      <c r="AC218" s="201" t="str">
        <f t="shared" si="61"/>
        <v>N/A</v>
      </c>
    </row>
    <row r="219" spans="2:29" ht="12.75" customHeight="1">
      <c r="D219" s="136" t="s">
        <v>220</v>
      </c>
      <c r="E219" s="137"/>
      <c r="F219" s="140" t="s">
        <v>488</v>
      </c>
      <c r="G219" s="141" t="s">
        <v>164</v>
      </c>
      <c r="Q219" s="138">
        <v>0.01</v>
      </c>
      <c r="R219" s="139">
        <v>0.01</v>
      </c>
      <c r="S219" s="139">
        <v>0.01</v>
      </c>
      <c r="T219" s="139">
        <v>0.01</v>
      </c>
      <c r="U219" s="139">
        <v>0.01</v>
      </c>
      <c r="V219" s="202" t="str">
        <f t="shared" si="60"/>
        <v>N/A</v>
      </c>
      <c r="X219" s="138">
        <v>0.01</v>
      </c>
      <c r="Y219" s="139">
        <v>0.01</v>
      </c>
      <c r="Z219" s="139">
        <v>0.01</v>
      </c>
      <c r="AA219" s="139">
        <v>0.01</v>
      </c>
      <c r="AB219" s="139">
        <v>0.01</v>
      </c>
      <c r="AC219" s="202" t="str">
        <f t="shared" si="61"/>
        <v>N/A</v>
      </c>
    </row>
    <row r="221" spans="2:29" s="7" customFormat="1" ht="15.6">
      <c r="B221" s="7" t="s">
        <v>332</v>
      </c>
    </row>
    <row r="223" spans="2:29" ht="38.700000000000003">
      <c r="C223" s="12" t="s">
        <v>221</v>
      </c>
      <c r="F223" s="55" t="s">
        <v>135</v>
      </c>
      <c r="G223" s="55" t="s">
        <v>136</v>
      </c>
      <c r="I223" s="74" t="s">
        <v>524</v>
      </c>
      <c r="K223" s="258" t="s">
        <v>341</v>
      </c>
      <c r="M223" s="258" t="s">
        <v>342</v>
      </c>
    </row>
    <row r="224" spans="2:29" ht="12.75" customHeight="1">
      <c r="D224" s="14" t="s">
        <v>190</v>
      </c>
      <c r="F224" s="42" t="s">
        <v>481</v>
      </c>
      <c r="G224" s="108" t="s">
        <v>521</v>
      </c>
      <c r="I224" s="350">
        <f>'[2]PTRM input'!J7</f>
        <v>268.24601667949491</v>
      </c>
      <c r="K224" s="180" t="s">
        <v>338</v>
      </c>
      <c r="M224" s="180" t="s">
        <v>190</v>
      </c>
    </row>
    <row r="225" spans="2:13" ht="12.75" customHeight="1">
      <c r="D225" s="14" t="s">
        <v>191</v>
      </c>
      <c r="F225" s="42" t="s">
        <v>481</v>
      </c>
      <c r="G225" s="108" t="s">
        <v>521</v>
      </c>
      <c r="I225" s="350">
        <f>'[2]PTRM input'!J8</f>
        <v>243.79090173519486</v>
      </c>
      <c r="K225" s="180" t="s">
        <v>338</v>
      </c>
      <c r="M225" s="180" t="s">
        <v>191</v>
      </c>
    </row>
    <row r="226" spans="2:13" ht="12.75" customHeight="1">
      <c r="D226" s="14" t="s">
        <v>192</v>
      </c>
      <c r="F226" s="42" t="s">
        <v>481</v>
      </c>
      <c r="G226" s="108" t="s">
        <v>521</v>
      </c>
      <c r="I226" s="350">
        <f>'[2]PTRM input'!J9</f>
        <v>180.53440799429359</v>
      </c>
      <c r="K226" s="180" t="s">
        <v>338</v>
      </c>
      <c r="M226" s="180" t="s">
        <v>192</v>
      </c>
    </row>
    <row r="227" spans="2:13" ht="12.75" customHeight="1">
      <c r="D227" s="14" t="s">
        <v>193</v>
      </c>
      <c r="F227" s="42" t="s">
        <v>481</v>
      </c>
      <c r="G227" s="108" t="s">
        <v>521</v>
      </c>
      <c r="I227" s="350">
        <f>'[2]PTRM input'!J10</f>
        <v>7.6600899739675867</v>
      </c>
      <c r="K227" s="180" t="s">
        <v>338</v>
      </c>
      <c r="M227" s="180" t="s">
        <v>193</v>
      </c>
    </row>
    <row r="228" spans="2:13" ht="12.75" customHeight="1">
      <c r="D228" s="14" t="s">
        <v>185</v>
      </c>
      <c r="F228" s="42" t="s">
        <v>481</v>
      </c>
      <c r="G228" s="108" t="s">
        <v>521</v>
      </c>
      <c r="I228" s="350">
        <f>'[2]PTRM input'!J11</f>
        <v>99.608956662973966</v>
      </c>
      <c r="K228" s="180" t="s">
        <v>338</v>
      </c>
      <c r="M228" s="180" t="s">
        <v>185</v>
      </c>
    </row>
    <row r="229" spans="2:13" ht="12.75" customHeight="1">
      <c r="D229" s="14" t="s">
        <v>194</v>
      </c>
      <c r="F229" s="42" t="s">
        <v>481</v>
      </c>
      <c r="G229" s="108" t="s">
        <v>521</v>
      </c>
      <c r="I229" s="350">
        <f>'[2]PTRM input'!J12</f>
        <v>43.812806131127651</v>
      </c>
      <c r="K229" s="180" t="s">
        <v>338</v>
      </c>
      <c r="M229" s="180" t="s">
        <v>194</v>
      </c>
    </row>
    <row r="230" spans="2:13" ht="12.75" customHeight="1">
      <c r="D230" s="14" t="s">
        <v>195</v>
      </c>
      <c r="F230" s="42" t="s">
        <v>481</v>
      </c>
      <c r="G230" s="108" t="s">
        <v>521</v>
      </c>
      <c r="I230" s="350">
        <f>'[2]PTRM input'!J13</f>
        <v>33.116638375029275</v>
      </c>
      <c r="K230" s="180" t="s">
        <v>330</v>
      </c>
      <c r="M230" s="180" t="s">
        <v>251</v>
      </c>
    </row>
    <row r="231" spans="2:13" ht="12.75" customHeight="1">
      <c r="D231" s="14" t="s">
        <v>196</v>
      </c>
      <c r="F231" s="42" t="s">
        <v>481</v>
      </c>
      <c r="G231" s="108" t="s">
        <v>521</v>
      </c>
      <c r="I231" s="350">
        <f>'[2]PTRM input'!J14</f>
        <v>9.4940274448363784</v>
      </c>
      <c r="K231" s="180" t="s">
        <v>330</v>
      </c>
      <c r="M231" s="180" t="s">
        <v>251</v>
      </c>
    </row>
    <row r="232" spans="2:13" ht="12.75" customHeight="1">
      <c r="D232" s="14" t="s">
        <v>197</v>
      </c>
      <c r="F232" s="42" t="s">
        <v>481</v>
      </c>
      <c r="G232" s="108" t="s">
        <v>521</v>
      </c>
      <c r="I232" s="350">
        <f>'[2]PTRM input'!J15</f>
        <v>15.044125562886432</v>
      </c>
      <c r="K232" s="180" t="s">
        <v>330</v>
      </c>
      <c r="M232" s="180" t="s">
        <v>251</v>
      </c>
    </row>
    <row r="233" spans="2:13" ht="12.75" customHeight="1">
      <c r="D233" s="14" t="s">
        <v>198</v>
      </c>
      <c r="F233" s="42" t="s">
        <v>481</v>
      </c>
      <c r="G233" s="108" t="s">
        <v>521</v>
      </c>
      <c r="I233" s="350">
        <f>'[2]PTRM input'!J16</f>
        <v>46.354917721396681</v>
      </c>
      <c r="K233" s="180" t="s">
        <v>339</v>
      </c>
      <c r="M233" s="180" t="s">
        <v>251</v>
      </c>
    </row>
    <row r="234" spans="2:13" ht="12.75" customHeight="1">
      <c r="D234" s="14" t="s">
        <v>199</v>
      </c>
      <c r="F234" s="42" t="s">
        <v>481</v>
      </c>
      <c r="G234" s="108" t="s">
        <v>521</v>
      </c>
      <c r="I234" s="350">
        <f>'[2]PTRM input'!J17</f>
        <v>10.359004210140208</v>
      </c>
      <c r="K234" s="180" t="s">
        <v>330</v>
      </c>
      <c r="M234" s="180" t="s">
        <v>251</v>
      </c>
    </row>
    <row r="235" spans="2:13" ht="12.75" customHeight="1">
      <c r="D235" s="14" t="s">
        <v>200</v>
      </c>
      <c r="F235" s="42" t="s">
        <v>481</v>
      </c>
      <c r="G235" s="108" t="s">
        <v>521</v>
      </c>
      <c r="I235" s="350">
        <f>'[2]PTRM input'!J18</f>
        <v>14.722412528496614</v>
      </c>
      <c r="K235" s="180" t="s">
        <v>331</v>
      </c>
      <c r="M235" s="180" t="s">
        <v>251</v>
      </c>
    </row>
    <row r="236" spans="2:13" ht="12.75" customHeight="1">
      <c r="D236" s="14" t="s">
        <v>201</v>
      </c>
      <c r="F236" s="42" t="s">
        <v>481</v>
      </c>
      <c r="G236" s="108" t="s">
        <v>521</v>
      </c>
      <c r="I236" s="350">
        <f>'[2]PTRM input'!J19</f>
        <v>0.31276830796123112</v>
      </c>
      <c r="K236" s="180" t="s">
        <v>331</v>
      </c>
      <c r="M236" s="180" t="s">
        <v>251</v>
      </c>
    </row>
    <row r="237" spans="2:13" ht="12.75" customHeight="1">
      <c r="D237" s="14" t="s">
        <v>202</v>
      </c>
      <c r="F237" s="42" t="s">
        <v>481</v>
      </c>
      <c r="G237" s="108" t="s">
        <v>521</v>
      </c>
      <c r="I237" s="351">
        <f>'[2]PTRM input'!J20</f>
        <v>0.44612408791803038</v>
      </c>
      <c r="K237" s="180" t="s">
        <v>331</v>
      </c>
      <c r="M237" s="180" t="s">
        <v>251</v>
      </c>
    </row>
    <row r="238" spans="2:13" ht="12.75" customHeight="1">
      <c r="D238" s="143" t="s">
        <v>523</v>
      </c>
      <c r="E238" s="144"/>
      <c r="F238" s="117" t="s">
        <v>481</v>
      </c>
      <c r="G238" s="145" t="s">
        <v>521</v>
      </c>
      <c r="H238" s="49"/>
      <c r="I238" s="352">
        <f>SUM(I224:I237)</f>
        <v>973.50319741571764</v>
      </c>
    </row>
    <row r="239" spans="2:13" ht="12.75" customHeight="1">
      <c r="J239" s="417" t="s">
        <v>522</v>
      </c>
    </row>
    <row r="240" spans="2:13" s="7" customFormat="1" ht="15.6">
      <c r="B240" s="7" t="s">
        <v>343</v>
      </c>
    </row>
    <row r="242" spans="2:13" ht="12.75" customHeight="1">
      <c r="F242" s="55" t="s">
        <v>135</v>
      </c>
      <c r="G242" s="55" t="s">
        <v>136</v>
      </c>
      <c r="H242" s="30" t="s">
        <v>228</v>
      </c>
      <c r="J242" s="258" t="s">
        <v>342</v>
      </c>
    </row>
    <row r="243" spans="2:13" ht="12.75" customHeight="1">
      <c r="D243" s="14" t="s">
        <v>344</v>
      </c>
      <c r="F243" s="42" t="s">
        <v>488</v>
      </c>
      <c r="G243" s="108" t="s">
        <v>164</v>
      </c>
      <c r="H243" s="112">
        <v>0.5</v>
      </c>
      <c r="J243" s="180" t="s">
        <v>190</v>
      </c>
    </row>
    <row r="244" spans="2:13" ht="12.75" customHeight="1">
      <c r="D244" s="14" t="s">
        <v>345</v>
      </c>
      <c r="F244" s="42" t="s">
        <v>488</v>
      </c>
      <c r="G244" s="108" t="s">
        <v>164</v>
      </c>
      <c r="H244" s="112">
        <v>0.5</v>
      </c>
      <c r="J244" s="180" t="s">
        <v>185</v>
      </c>
    </row>
    <row r="246" spans="2:13" s="7" customFormat="1" ht="15.6">
      <c r="B246" s="7" t="s">
        <v>225</v>
      </c>
    </row>
    <row r="248" spans="2:13" ht="12.75" customHeight="1">
      <c r="F248" s="55" t="s">
        <v>135</v>
      </c>
      <c r="G248" s="55" t="s">
        <v>136</v>
      </c>
      <c r="H248" s="30" t="s">
        <v>228</v>
      </c>
    </row>
    <row r="249" spans="2:13" ht="12.75" customHeight="1">
      <c r="D249" s="14" t="s">
        <v>226</v>
      </c>
      <c r="F249" s="42" t="s">
        <v>153</v>
      </c>
      <c r="G249" s="108" t="s">
        <v>164</v>
      </c>
      <c r="H249" s="112">
        <v>0.74212929398260641</v>
      </c>
    </row>
    <row r="250" spans="2:13" ht="12.75" customHeight="1">
      <c r="D250" s="14" t="s">
        <v>227</v>
      </c>
      <c r="F250" s="42" t="s">
        <v>153</v>
      </c>
      <c r="G250" s="108" t="s">
        <v>164</v>
      </c>
      <c r="H250" s="112">
        <v>0.25787070601739359</v>
      </c>
    </row>
    <row r="252" spans="2:13" s="7" customFormat="1" ht="15.6">
      <c r="B252" s="7" t="s">
        <v>229</v>
      </c>
    </row>
    <row r="254" spans="2:13" ht="25.8">
      <c r="F254" s="55" t="s">
        <v>135</v>
      </c>
      <c r="G254" s="55" t="s">
        <v>136</v>
      </c>
      <c r="I254" s="264" t="str">
        <f>$D111</f>
        <v>Transmission</v>
      </c>
      <c r="J254" s="264" t="str">
        <f>$D112</f>
        <v>Zone Substations</v>
      </c>
      <c r="K254" s="264" t="str">
        <f>$D113</f>
        <v>HV Distribution</v>
      </c>
      <c r="L254" s="264" t="str">
        <f>$D114</f>
        <v>Distribution Substations</v>
      </c>
      <c r="M254" s="264" t="str">
        <f>$D115</f>
        <v>LV Distribution</v>
      </c>
    </row>
    <row r="255" spans="2:13" ht="12.75" customHeight="1">
      <c r="D255" s="14" t="s">
        <v>232</v>
      </c>
      <c r="F255" s="42" t="s">
        <v>488</v>
      </c>
      <c r="G255" s="108" t="s">
        <v>164</v>
      </c>
      <c r="I255" s="118">
        <v>0.02</v>
      </c>
      <c r="J255" s="118">
        <v>0.02</v>
      </c>
      <c r="K255" s="118">
        <v>2.5000000000000001E-2</v>
      </c>
      <c r="L255" s="118">
        <v>2.5000000000000001E-2</v>
      </c>
      <c r="M255" s="118">
        <v>2.5000000000000001E-2</v>
      </c>
    </row>
    <row r="256" spans="2:13" ht="12.75" customHeight="1">
      <c r="D256" s="14" t="s">
        <v>233</v>
      </c>
      <c r="F256" s="42" t="s">
        <v>488</v>
      </c>
      <c r="G256" s="108" t="s">
        <v>164</v>
      </c>
      <c r="H256" s="118">
        <v>0.1</v>
      </c>
    </row>
    <row r="258" spans="1:9" s="7" customFormat="1" ht="15.6">
      <c r="B258" s="7" t="s">
        <v>234</v>
      </c>
    </row>
    <row r="260" spans="1:9" ht="25.8">
      <c r="F260" s="55" t="s">
        <v>135</v>
      </c>
      <c r="G260" s="55" t="s">
        <v>136</v>
      </c>
      <c r="H260" s="416" t="s">
        <v>528</v>
      </c>
      <c r="I260" s="30" t="s">
        <v>238</v>
      </c>
    </row>
    <row r="261" spans="1:9" ht="12.75" customHeight="1">
      <c r="A261" s="399"/>
      <c r="D261" s="14" t="s">
        <v>235</v>
      </c>
      <c r="F261" s="42" t="s">
        <v>481</v>
      </c>
      <c r="G261" s="108" t="s">
        <v>164</v>
      </c>
      <c r="H261" s="142">
        <f>'[2]Revenue summary'!Q30+'[2]Revenue summary'!Q34</f>
        <v>372.71748606093911</v>
      </c>
      <c r="I261" s="492">
        <f>SUM(H261:H262)/SUM(H261:H263)</f>
        <v>0.60575472912138617</v>
      </c>
    </row>
    <row r="262" spans="1:9" ht="12.75" customHeight="1">
      <c r="D262" s="14" t="s">
        <v>236</v>
      </c>
      <c r="F262" s="42" t="s">
        <v>481</v>
      </c>
      <c r="G262" s="108" t="s">
        <v>164</v>
      </c>
      <c r="H262" s="142">
        <f>'[2]Revenue summary'!Q31</f>
        <v>149.11498268395454</v>
      </c>
      <c r="I262" s="492"/>
    </row>
    <row r="263" spans="1:9" ht="12.75" customHeight="1">
      <c r="D263" s="14" t="s">
        <v>237</v>
      </c>
      <c r="F263" s="42" t="s">
        <v>481</v>
      </c>
      <c r="G263" s="108" t="s">
        <v>164</v>
      </c>
      <c r="H263" s="142">
        <f>'[2]Revenue summary'!Q32+'[2]Revenue summary'!Q33</f>
        <v>339.62588008513995</v>
      </c>
      <c r="I263" s="146">
        <f>H263/SUM(H261:H263)</f>
        <v>0.39424527087861377</v>
      </c>
    </row>
    <row r="265" spans="1:9" ht="12.75" customHeight="1">
      <c r="H265" s="417" t="s">
        <v>525</v>
      </c>
    </row>
  </sheetData>
  <mergeCells count="17">
    <mergeCell ref="Q199:V199"/>
    <mergeCell ref="X199:AC199"/>
    <mergeCell ref="AF14:AL14"/>
    <mergeCell ref="I261:I262"/>
    <mergeCell ref="H98:J98"/>
    <mergeCell ref="H109:J109"/>
    <mergeCell ref="J122:N122"/>
    <mergeCell ref="J148:N148"/>
    <mergeCell ref="H14:N14"/>
    <mergeCell ref="P14:V14"/>
    <mergeCell ref="J175:O175"/>
    <mergeCell ref="Q175:V175"/>
    <mergeCell ref="X175:AC175"/>
    <mergeCell ref="X14:AD14"/>
    <mergeCell ref="H50:N50"/>
    <mergeCell ref="P50:V50"/>
    <mergeCell ref="X50:AD50"/>
  </mergeCells>
  <conditionalFormatting sqref="B2">
    <cfRule type="cellIs" dxfId="26" priority="1" operator="notEqual">
      <formula>"No Errors Found"</formula>
    </cfRule>
  </conditionalFormatting>
  <dataValidations count="6">
    <dataValidation type="list" allowBlank="1" showInputMessage="1" showErrorMessage="1" sqref="F9" xr:uid="{00000000-0002-0000-0300-000000000000}">
      <formula1>Tariff_Year_List</formula1>
    </dataValidation>
    <dataValidation type="list" allowBlank="1" showInputMessage="1" showErrorMessage="1" sqref="H177:H194" xr:uid="{00000000-0002-0000-0300-000001000000}">
      <formula1>Cust_Type</formula1>
    </dataValidation>
    <dataValidation type="list" allowBlank="1" showInputMessage="1" showErrorMessage="1" sqref="K224:K237" xr:uid="{00000000-0002-0000-0300-000002000000}">
      <formula1>Sys_Non_Sys_Assets</formula1>
    </dataValidation>
    <dataValidation type="list" allowBlank="1" showInputMessage="1" showErrorMessage="1" sqref="M224:M237 J243:J244" xr:uid="{00000000-0002-0000-0300-000003000000}">
      <formula1>Asset_Class_Allocation</formula1>
    </dataValidation>
    <dataValidation type="list" allowBlank="1" showInputMessage="1" showErrorMessage="1" sqref="AF16:AF22 AF24:AF28 AF30:AF34 AF36:AF40 AF42:AF46" xr:uid="{00000000-0002-0000-0300-000004000000}">
      <formula1>Yes_No</formula1>
    </dataValidation>
    <dataValidation type="list" allowBlank="1" showInputMessage="1" showErrorMessage="1" sqref="P150:P164 P124:P138" xr:uid="{00000000-0002-0000-0300-000005000000}">
      <formula1>$D$143:$D$144</formula1>
    </dataValidation>
  </dataValidations>
  <hyperlinks>
    <hyperlink ref="B4" location="'ToC'!$A$1" tooltip="Go To Table of Contents" display="='ToC'!B1" xr:uid="{00000000-0004-0000-0300-000000000000}"/>
  </hyperlinks>
  <pageMargins left="0.7" right="0.7" top="0.75" bottom="0.75" header="0.3" footer="0.3"/>
  <pageSetup paperSize="9" scale="77"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B1:J4"/>
  <sheetViews>
    <sheetView showGridLines="0" zoomScaleNormal="100" workbookViewId="0">
      <pane xSplit="8" ySplit="8" topLeftCell="I9" activePane="bottomRight" state="frozen"/>
      <selection activeCell="I9" sqref="I9"/>
      <selection pane="topRight" activeCell="I9" sqref="I9"/>
      <selection pane="bottomLeft" activeCell="I9" sqref="I9"/>
      <selection pane="bottomRight" activeCell="I9" sqref="I9"/>
    </sheetView>
  </sheetViews>
  <sheetFormatPr defaultColWidth="9.1171875" defaultRowHeight="12.75" customHeight="1"/>
  <cols>
    <col min="1" max="2" width="2.703125" customWidth="1"/>
    <col min="3" max="3" width="11" bestFit="1" customWidth="1"/>
    <col min="4" max="4" width="14.87890625" customWidth="1"/>
    <col min="5" max="5" width="7.5859375" bestFit="1" customWidth="1"/>
    <col min="6" max="6" width="8.1171875" customWidth="1"/>
    <col min="7" max="7" width="15.703125" customWidth="1"/>
    <col min="8" max="8" width="18.29296875" bestFit="1" customWidth="1"/>
    <col min="9" max="29" width="10.703125" customWidth="1"/>
    <col min="30" max="30" width="20.703125" customWidth="1"/>
    <col min="31" max="35" width="15.703125" customWidth="1"/>
    <col min="36" max="36" width="3.703125" customWidth="1"/>
    <col min="37" max="57" width="10.703125" customWidth="1"/>
    <col min="58" max="58" width="20.703125" customWidth="1"/>
    <col min="59" max="63" width="15.703125" customWidth="1"/>
    <col min="64" max="64" width="3.703125" customWidth="1"/>
    <col min="65" max="85" width="10.703125" customWidth="1"/>
    <col min="86" max="86" width="20.703125" customWidth="1"/>
    <col min="87" max="91" width="15.703125" customWidth="1"/>
  </cols>
  <sheetData>
    <row r="1" spans="2:10" s="107" customFormat="1" ht="20.399999999999999">
      <c r="B1" s="433" t="s">
        <v>451</v>
      </c>
      <c r="H1" s="467" t="s">
        <v>552</v>
      </c>
      <c r="J1" s="466"/>
    </row>
    <row r="2" spans="2:10" s="107" customFormat="1" ht="12.9">
      <c r="B2" s="434" t="str">
        <f>Title_Msg</f>
        <v>No Errors Found</v>
      </c>
    </row>
    <row r="3" spans="2:10" s="107" customFormat="1" ht="12.9">
      <c r="B3" s="435" t="str">
        <f>Model_Name</f>
        <v>Power and Water Corporation (PWC) Network Pricing Model</v>
      </c>
    </row>
    <row r="4" spans="2:10" s="107" customFormat="1" ht="12.9">
      <c r="B4" s="436" t="str">
        <f>TOC!$B$1</f>
        <v>Table of Contents</v>
      </c>
    </row>
  </sheetData>
  <conditionalFormatting sqref="B2">
    <cfRule type="cellIs" dxfId="25" priority="1" operator="notEqual">
      <formula>"No Errors Found"</formula>
    </cfRule>
  </conditionalFormatting>
  <hyperlinks>
    <hyperlink ref="B4" location="'ToC'!$A$1" tooltip="Go To Table of Contents" display="='ToC'!B1" xr:uid="{00000000-0004-0000-0400-000000000000}"/>
  </hyperlinks>
  <pageMargins left="0.7" right="0.7" top="0.75" bottom="0.75" header="0.3" footer="0.3"/>
  <pageSetup paperSize="9" scale="77"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H156"/>
  <sheetViews>
    <sheetView showGridLines="0" zoomScaleNormal="100" workbookViewId="0">
      <pane xSplit="5" ySplit="9" topLeftCell="F10" activePane="bottomRight" state="frozen"/>
      <selection activeCell="E4" sqref="E4"/>
      <selection pane="topRight" activeCell="E4" sqref="E4"/>
      <selection pane="bottomLeft" activeCell="E4" sqref="E4"/>
      <selection pane="bottomRight" activeCell="F10" sqref="F10"/>
    </sheetView>
  </sheetViews>
  <sheetFormatPr defaultColWidth="9.1171875" defaultRowHeight="12.75" customHeight="1"/>
  <cols>
    <col min="1" max="3" width="2.703125" style="13" customWidth="1"/>
    <col min="4" max="4" width="20.703125" style="13" customWidth="1"/>
    <col min="5" max="5" width="10.703125" style="13" customWidth="1"/>
    <col min="6" max="12" width="12.703125" style="13" customWidth="1"/>
    <col min="13" max="13" width="2.703125" style="13" customWidth="1"/>
    <col min="14" max="20" width="12.703125" style="13" customWidth="1"/>
    <col min="21" max="21" width="2.703125" style="13" customWidth="1"/>
    <col min="22" max="28" width="12.703125" style="13" customWidth="1"/>
    <col min="29" max="30" width="10.703125" style="13" customWidth="1"/>
    <col min="31" max="31" width="11.703125" style="13" customWidth="1"/>
    <col min="32" max="32" width="11.5859375" style="13" bestFit="1" customWidth="1"/>
    <col min="33" max="33" width="7.5859375" style="13" customWidth="1"/>
    <col min="34" max="34" width="7.41015625" style="13" bestFit="1" customWidth="1"/>
    <col min="35" max="36" width="15.703125" style="13" customWidth="1"/>
    <col min="37" max="16384" width="9.1171875" style="13"/>
  </cols>
  <sheetData>
    <row r="1" spans="2:28" ht="20.399999999999999">
      <c r="B1" s="8" t="s">
        <v>450</v>
      </c>
    </row>
    <row r="2" spans="2:28" ht="11.25" customHeight="1">
      <c r="B2" s="72" t="s">
        <v>565</v>
      </c>
    </row>
    <row r="3" spans="2:28" ht="12.9">
      <c r="B3" s="71" t="s">
        <v>547</v>
      </c>
    </row>
    <row r="4" spans="2:28" ht="12.9">
      <c r="B4" s="337" t="s">
        <v>96</v>
      </c>
      <c r="F4" s="14" t="s">
        <v>287</v>
      </c>
      <c r="H4" s="367" t="s">
        <v>173</v>
      </c>
    </row>
    <row r="6" spans="2:28" ht="12.75" customHeight="1">
      <c r="F6" s="496" t="s">
        <v>172</v>
      </c>
      <c r="G6" s="497" t="e">
        <v>#VALUE!</v>
      </c>
      <c r="H6" s="497" t="e">
        <v>#VALUE!</v>
      </c>
      <c r="I6" s="497" t="e">
        <v>#VALUE!</v>
      </c>
      <c r="J6" s="497" t="e">
        <v>#VALUE!</v>
      </c>
      <c r="K6" s="497" t="e">
        <v>#VALUE!</v>
      </c>
      <c r="L6" s="498" t="e">
        <v>#VALUE!</v>
      </c>
      <c r="N6" s="496" t="s">
        <v>158</v>
      </c>
      <c r="O6" s="497" t="e">
        <v>#VALUE!</v>
      </c>
      <c r="P6" s="497" t="e">
        <v>#VALUE!</v>
      </c>
      <c r="Q6" s="497" t="e">
        <v>#VALUE!</v>
      </c>
      <c r="R6" s="497" t="e">
        <v>#VALUE!</v>
      </c>
      <c r="S6" s="497" t="e">
        <v>#VALUE!</v>
      </c>
      <c r="T6" s="498" t="e">
        <v>#VALUE!</v>
      </c>
      <c r="V6" s="496" t="s">
        <v>159</v>
      </c>
      <c r="W6" s="497"/>
      <c r="X6" s="497"/>
      <c r="Y6" s="497"/>
      <c r="Z6" s="497"/>
      <c r="AA6" s="497"/>
      <c r="AB6" s="498"/>
    </row>
    <row r="7" spans="2:28" ht="12.75" customHeight="1">
      <c r="F7" s="496" t="s">
        <v>290</v>
      </c>
      <c r="G7" s="497"/>
      <c r="H7" s="497"/>
      <c r="I7" s="497"/>
      <c r="J7" s="497"/>
      <c r="K7" s="497"/>
      <c r="L7" s="498"/>
      <c r="N7" s="496" t="s">
        <v>289</v>
      </c>
      <c r="O7" s="497"/>
      <c r="P7" s="497"/>
      <c r="Q7" s="497"/>
      <c r="R7" s="497"/>
      <c r="S7" s="497"/>
      <c r="T7" s="498"/>
      <c r="V7" s="496" t="s">
        <v>288</v>
      </c>
      <c r="W7" s="497"/>
      <c r="X7" s="497"/>
      <c r="Y7" s="497"/>
      <c r="Z7" s="497"/>
      <c r="AA7" s="497"/>
      <c r="AB7" s="498"/>
    </row>
    <row r="8" spans="2:28" ht="12.75" customHeight="1">
      <c r="F8" s="113" t="s">
        <v>490</v>
      </c>
      <c r="G8" s="113" t="s">
        <v>498</v>
      </c>
      <c r="H8" s="113" t="s">
        <v>154</v>
      </c>
      <c r="I8" s="113" t="s">
        <v>155</v>
      </c>
      <c r="J8" s="113" t="s">
        <v>156</v>
      </c>
      <c r="K8" s="113" t="s">
        <v>314</v>
      </c>
      <c r="L8" s="113" t="s">
        <v>181</v>
      </c>
      <c r="N8" s="113" t="s">
        <v>490</v>
      </c>
      <c r="O8" s="113" t="s">
        <v>498</v>
      </c>
      <c r="P8" s="113" t="s">
        <v>154</v>
      </c>
      <c r="Q8" s="113" t="s">
        <v>155</v>
      </c>
      <c r="R8" s="113" t="s">
        <v>156</v>
      </c>
      <c r="S8" s="113" t="s">
        <v>314</v>
      </c>
      <c r="T8" s="113" t="s">
        <v>181</v>
      </c>
      <c r="V8" s="113" t="s">
        <v>490</v>
      </c>
      <c r="W8" s="113" t="s">
        <v>498</v>
      </c>
      <c r="X8" s="113" t="s">
        <v>154</v>
      </c>
      <c r="Y8" s="113" t="s">
        <v>155</v>
      </c>
      <c r="Z8" s="113" t="s">
        <v>156</v>
      </c>
      <c r="AA8" s="113" t="s">
        <v>314</v>
      </c>
      <c r="AB8" s="113" t="s">
        <v>181</v>
      </c>
    </row>
    <row r="9" spans="2:28" ht="12.75" customHeight="1">
      <c r="F9" s="169" t="s">
        <v>251</v>
      </c>
      <c r="G9" s="169" t="s">
        <v>251</v>
      </c>
      <c r="H9" s="169" t="s">
        <v>251</v>
      </c>
      <c r="I9" s="169" t="s">
        <v>251</v>
      </c>
      <c r="J9" s="169" t="s">
        <v>251</v>
      </c>
      <c r="K9" s="35" t="s">
        <v>205</v>
      </c>
      <c r="L9" s="35" t="s">
        <v>181</v>
      </c>
      <c r="N9" s="169" t="s">
        <v>251</v>
      </c>
      <c r="O9" s="169" t="s">
        <v>251</v>
      </c>
      <c r="P9" s="169" t="s">
        <v>251</v>
      </c>
      <c r="Q9" s="169" t="s">
        <v>251</v>
      </c>
      <c r="R9" s="169" t="s">
        <v>251</v>
      </c>
      <c r="S9" s="169" t="s">
        <v>205</v>
      </c>
      <c r="T9" s="169" t="s">
        <v>181</v>
      </c>
      <c r="V9" s="169" t="s">
        <v>251</v>
      </c>
      <c r="W9" s="169" t="s">
        <v>251</v>
      </c>
      <c r="X9" s="169" t="s">
        <v>251</v>
      </c>
      <c r="Y9" s="169" t="s">
        <v>251</v>
      </c>
      <c r="Z9" s="169" t="s">
        <v>251</v>
      </c>
      <c r="AA9" s="169" t="s">
        <v>205</v>
      </c>
      <c r="AB9" s="169" t="s">
        <v>181</v>
      </c>
    </row>
    <row r="11" spans="2:28" s="7" customFormat="1" ht="15.6">
      <c r="B11" s="7" t="s">
        <v>291</v>
      </c>
    </row>
    <row r="13" spans="2:28" s="361" customFormat="1" ht="12.75" customHeight="1">
      <c r="C13" s="404" t="s">
        <v>292</v>
      </c>
      <c r="D13" s="220"/>
      <c r="E13" s="221"/>
      <c r="F13" s="206">
        <v>0</v>
      </c>
      <c r="G13" s="207">
        <v>0</v>
      </c>
      <c r="H13" s="207">
        <v>0</v>
      </c>
      <c r="I13" s="207">
        <v>0</v>
      </c>
      <c r="J13" s="207">
        <v>944133.33333333337</v>
      </c>
      <c r="K13" s="207">
        <v>0</v>
      </c>
      <c r="L13" s="208">
        <v>0</v>
      </c>
      <c r="N13" s="206">
        <v>0</v>
      </c>
      <c r="O13" s="207">
        <v>0</v>
      </c>
      <c r="P13" s="207">
        <v>0</v>
      </c>
      <c r="Q13" s="207">
        <v>0</v>
      </c>
      <c r="R13" s="207">
        <v>947499.52193558542</v>
      </c>
      <c r="S13" s="207">
        <v>0</v>
      </c>
      <c r="T13" s="208">
        <v>0</v>
      </c>
      <c r="V13" s="206">
        <v>0</v>
      </c>
      <c r="W13" s="207">
        <v>0</v>
      </c>
      <c r="X13" s="207">
        <v>0</v>
      </c>
      <c r="Y13" s="207">
        <v>0</v>
      </c>
      <c r="Z13" s="207">
        <v>955334.0018959404</v>
      </c>
      <c r="AA13" s="207">
        <v>0</v>
      </c>
      <c r="AB13" s="208">
        <v>0</v>
      </c>
    </row>
    <row r="14" spans="2:28" s="361" customFormat="1" ht="12.75" customHeight="1">
      <c r="C14" s="400" t="s">
        <v>293</v>
      </c>
      <c r="D14" s="223"/>
      <c r="E14" s="224"/>
      <c r="F14" s="209">
        <v>25928839.583333332</v>
      </c>
      <c r="G14" s="210">
        <v>3728870.4166666665</v>
      </c>
      <c r="H14" s="210">
        <v>0</v>
      </c>
      <c r="I14" s="210">
        <v>0</v>
      </c>
      <c r="J14" s="210">
        <v>473435.41666667</v>
      </c>
      <c r="K14" s="210">
        <v>0</v>
      </c>
      <c r="L14" s="211">
        <v>4714.583333333333</v>
      </c>
      <c r="N14" s="209">
        <v>26047244.676878314</v>
      </c>
      <c r="O14" s="210">
        <v>3742187.5715966695</v>
      </c>
      <c r="P14" s="210">
        <v>0</v>
      </c>
      <c r="Q14" s="210">
        <v>0</v>
      </c>
      <c r="R14" s="210">
        <v>475407.45332795067</v>
      </c>
      <c r="S14" s="210">
        <v>0</v>
      </c>
      <c r="T14" s="211">
        <v>4737.1180110952209</v>
      </c>
      <c r="V14" s="209">
        <v>26172636.581887089</v>
      </c>
      <c r="W14" s="210">
        <v>3776024.006409748</v>
      </c>
      <c r="X14" s="210">
        <v>0</v>
      </c>
      <c r="Y14" s="210">
        <v>0</v>
      </c>
      <c r="Z14" s="210">
        <v>479607.64820978447</v>
      </c>
      <c r="AA14" s="210">
        <v>0</v>
      </c>
      <c r="AB14" s="211">
        <v>4784.80821852193</v>
      </c>
    </row>
    <row r="15" spans="2:28" s="361" customFormat="1" ht="12.75" customHeight="1">
      <c r="C15" s="400" t="s">
        <v>214</v>
      </c>
      <c r="D15" s="223"/>
      <c r="E15" s="224"/>
      <c r="F15" s="209">
        <v>648370552.00658178</v>
      </c>
      <c r="G15" s="210">
        <v>165115403.52975613</v>
      </c>
      <c r="H15" s="210">
        <v>3453756.3589038262</v>
      </c>
      <c r="I15" s="210">
        <v>180899</v>
      </c>
      <c r="J15" s="210">
        <v>944133.33333333337</v>
      </c>
      <c r="K15" s="210">
        <v>0</v>
      </c>
      <c r="L15" s="211">
        <v>0</v>
      </c>
      <c r="N15" s="209">
        <v>643844340.58173037</v>
      </c>
      <c r="O15" s="210">
        <v>164051962.00356889</v>
      </c>
      <c r="P15" s="210">
        <v>3453756.3589038262</v>
      </c>
      <c r="Q15" s="210">
        <v>180899</v>
      </c>
      <c r="R15" s="210">
        <v>947499.52193558542</v>
      </c>
      <c r="S15" s="210">
        <v>0</v>
      </c>
      <c r="T15" s="211">
        <v>0</v>
      </c>
      <c r="V15" s="209">
        <v>630990366.16546369</v>
      </c>
      <c r="W15" s="210">
        <v>160880688.50972158</v>
      </c>
      <c r="X15" s="210">
        <v>3471025.1406983449</v>
      </c>
      <c r="Y15" s="210">
        <v>181803.495</v>
      </c>
      <c r="Z15" s="210">
        <v>955334.0018959404</v>
      </c>
      <c r="AA15" s="210">
        <v>0</v>
      </c>
      <c r="AB15" s="211">
        <v>0</v>
      </c>
    </row>
    <row r="16" spans="2:28" s="361" customFormat="1" ht="12.75" customHeight="1">
      <c r="C16" s="400" t="s">
        <v>215</v>
      </c>
      <c r="D16" s="223"/>
      <c r="E16" s="224"/>
      <c r="F16" s="209"/>
      <c r="G16" s="210"/>
      <c r="H16" s="210">
        <v>0</v>
      </c>
      <c r="I16" s="210">
        <v>0</v>
      </c>
      <c r="J16" s="210">
        <v>310051002.5702439</v>
      </c>
      <c r="K16" s="210">
        <v>0</v>
      </c>
      <c r="L16" s="211">
        <v>4392770</v>
      </c>
      <c r="N16" s="209"/>
      <c r="O16" s="210"/>
      <c r="P16" s="210">
        <v>0</v>
      </c>
      <c r="Q16" s="210">
        <v>0</v>
      </c>
      <c r="R16" s="210">
        <v>307975358.93235266</v>
      </c>
      <c r="S16" s="210">
        <v>0</v>
      </c>
      <c r="T16" s="211">
        <v>4359436.3759640204</v>
      </c>
      <c r="V16" s="209"/>
      <c r="W16" s="210"/>
      <c r="X16" s="210">
        <v>0</v>
      </c>
      <c r="Y16" s="210">
        <v>0</v>
      </c>
      <c r="Z16" s="210">
        <v>301955595.4219861</v>
      </c>
      <c r="AA16" s="210">
        <v>0</v>
      </c>
      <c r="AB16" s="211">
        <v>4268935.7825472131</v>
      </c>
    </row>
    <row r="17" spans="3:28" s="361" customFormat="1" ht="12.75" customHeight="1">
      <c r="C17" s="400" t="s">
        <v>296</v>
      </c>
      <c r="D17" s="223"/>
      <c r="E17" s="224"/>
      <c r="F17" s="209"/>
      <c r="G17" s="210"/>
      <c r="H17" s="210">
        <v>0</v>
      </c>
      <c r="I17" s="210">
        <v>0</v>
      </c>
      <c r="J17" s="210">
        <v>704475.50939100981</v>
      </c>
      <c r="K17" s="210">
        <v>0</v>
      </c>
      <c r="L17" s="211">
        <v>87.315789473684205</v>
      </c>
      <c r="N17" s="209"/>
      <c r="O17" s="210"/>
      <c r="P17" s="210">
        <v>0</v>
      </c>
      <c r="Q17" s="210">
        <v>0</v>
      </c>
      <c r="R17" s="210">
        <v>687002.87009113841</v>
      </c>
      <c r="S17" s="210">
        <v>0</v>
      </c>
      <c r="T17" s="211">
        <v>85.035630066945416</v>
      </c>
      <c r="V17" s="209"/>
      <c r="W17" s="210"/>
      <c r="X17" s="210">
        <v>0</v>
      </c>
      <c r="Y17" s="210">
        <v>0</v>
      </c>
      <c r="Z17" s="210">
        <v>676104.01120383514</v>
      </c>
      <c r="AA17" s="210">
        <v>0</v>
      </c>
      <c r="AB17" s="211">
        <v>83.593319305330937</v>
      </c>
    </row>
    <row r="18" spans="3:28" s="361" customFormat="1" ht="12.75" customHeight="1">
      <c r="C18" s="400" t="s">
        <v>297</v>
      </c>
      <c r="D18" s="223"/>
      <c r="E18" s="224"/>
      <c r="F18" s="209">
        <v>0</v>
      </c>
      <c r="G18" s="210">
        <v>0</v>
      </c>
      <c r="H18" s="210">
        <v>0</v>
      </c>
      <c r="I18" s="210">
        <v>0</v>
      </c>
      <c r="J18" s="210">
        <v>0</v>
      </c>
      <c r="K18" s="210">
        <v>0</v>
      </c>
      <c r="L18" s="211">
        <v>0</v>
      </c>
      <c r="N18" s="209">
        <v>0</v>
      </c>
      <c r="O18" s="210">
        <v>0</v>
      </c>
      <c r="P18" s="210">
        <v>0</v>
      </c>
      <c r="Q18" s="210">
        <v>0</v>
      </c>
      <c r="R18" s="210">
        <v>0</v>
      </c>
      <c r="S18" s="210">
        <v>0</v>
      </c>
      <c r="T18" s="211">
        <v>0</v>
      </c>
      <c r="V18" s="209">
        <v>0</v>
      </c>
      <c r="W18" s="210">
        <v>0</v>
      </c>
      <c r="X18" s="210">
        <v>0</v>
      </c>
      <c r="Y18" s="210">
        <v>0</v>
      </c>
      <c r="Z18" s="210">
        <v>0</v>
      </c>
      <c r="AA18" s="210">
        <v>0</v>
      </c>
      <c r="AB18" s="211">
        <v>0</v>
      </c>
    </row>
    <row r="19" spans="3:28" s="361" customFormat="1" ht="12.75" customHeight="1">
      <c r="C19" s="362" t="s">
        <v>298</v>
      </c>
      <c r="D19" s="363"/>
      <c r="E19" s="405"/>
      <c r="F19" s="212">
        <v>0</v>
      </c>
      <c r="G19" s="213">
        <v>0</v>
      </c>
      <c r="H19" s="213">
        <v>0</v>
      </c>
      <c r="I19" s="213">
        <v>0</v>
      </c>
      <c r="J19" s="213">
        <v>0</v>
      </c>
      <c r="K19" s="213">
        <v>0</v>
      </c>
      <c r="L19" s="214">
        <v>0</v>
      </c>
      <c r="N19" s="212">
        <v>0</v>
      </c>
      <c r="O19" s="213">
        <v>0</v>
      </c>
      <c r="P19" s="213">
        <v>0</v>
      </c>
      <c r="Q19" s="213">
        <v>0</v>
      </c>
      <c r="R19" s="213">
        <v>0</v>
      </c>
      <c r="S19" s="213">
        <v>0</v>
      </c>
      <c r="T19" s="214">
        <v>0</v>
      </c>
      <c r="V19" s="212">
        <v>0</v>
      </c>
      <c r="W19" s="213">
        <v>0</v>
      </c>
      <c r="X19" s="213">
        <v>0</v>
      </c>
      <c r="Y19" s="213">
        <v>0</v>
      </c>
      <c r="Z19" s="213">
        <v>0</v>
      </c>
      <c r="AA19" s="213">
        <v>0</v>
      </c>
      <c r="AB19" s="214">
        <v>0</v>
      </c>
    </row>
    <row r="20" spans="3:28" ht="12.75" customHeight="1">
      <c r="C20" s="195" t="s">
        <v>138</v>
      </c>
      <c r="D20" s="49"/>
      <c r="E20" s="50"/>
      <c r="F20" s="48"/>
      <c r="G20" s="49"/>
      <c r="H20" s="49"/>
      <c r="I20" s="49"/>
      <c r="J20" s="49"/>
      <c r="K20" s="49"/>
      <c r="L20" s="50"/>
      <c r="N20" s="219"/>
      <c r="O20" s="220"/>
      <c r="P20" s="220"/>
      <c r="Q20" s="220"/>
      <c r="R20" s="220"/>
      <c r="S20" s="220"/>
      <c r="T20" s="221"/>
      <c r="V20" s="219"/>
      <c r="W20" s="220"/>
      <c r="X20" s="220"/>
      <c r="Y20" s="220"/>
      <c r="Z20" s="220"/>
      <c r="AA20" s="220"/>
      <c r="AB20" s="221"/>
    </row>
    <row r="21" spans="3:28" ht="12.75" customHeight="1">
      <c r="C21" s="51"/>
      <c r="D21" s="217" t="s">
        <v>139</v>
      </c>
      <c r="E21" s="53"/>
      <c r="F21" s="209">
        <v>0</v>
      </c>
      <c r="G21" s="210">
        <v>0</v>
      </c>
      <c r="H21" s="210">
        <v>0</v>
      </c>
      <c r="I21" s="210">
        <v>0</v>
      </c>
      <c r="J21" s="210">
        <v>0</v>
      </c>
      <c r="K21" s="210">
        <v>0</v>
      </c>
      <c r="L21" s="211">
        <v>0</v>
      </c>
      <c r="N21" s="209">
        <v>0</v>
      </c>
      <c r="O21" s="210">
        <v>0</v>
      </c>
      <c r="P21" s="210">
        <v>0</v>
      </c>
      <c r="Q21" s="210">
        <v>0</v>
      </c>
      <c r="R21" s="210">
        <v>0</v>
      </c>
      <c r="S21" s="210">
        <v>0</v>
      </c>
      <c r="T21" s="211">
        <v>0</v>
      </c>
      <c r="V21" s="209">
        <v>0</v>
      </c>
      <c r="W21" s="210">
        <v>0</v>
      </c>
      <c r="X21" s="210">
        <v>0</v>
      </c>
      <c r="Y21" s="210">
        <v>0</v>
      </c>
      <c r="Z21" s="210">
        <v>0</v>
      </c>
      <c r="AA21" s="210">
        <v>0</v>
      </c>
      <c r="AB21" s="211">
        <v>0</v>
      </c>
    </row>
    <row r="22" spans="3:28" ht="12.75" customHeight="1">
      <c r="C22" s="51"/>
      <c r="D22" s="217" t="s">
        <v>140</v>
      </c>
      <c r="E22" s="53"/>
      <c r="F22" s="209">
        <v>0</v>
      </c>
      <c r="G22" s="210">
        <v>0</v>
      </c>
      <c r="H22" s="210">
        <v>0</v>
      </c>
      <c r="I22" s="210">
        <v>0</v>
      </c>
      <c r="J22" s="210">
        <v>0</v>
      </c>
      <c r="K22" s="210">
        <v>0</v>
      </c>
      <c r="L22" s="211">
        <v>0</v>
      </c>
      <c r="N22" s="209">
        <v>0</v>
      </c>
      <c r="O22" s="210">
        <v>0</v>
      </c>
      <c r="P22" s="210">
        <v>0</v>
      </c>
      <c r="Q22" s="210">
        <v>0</v>
      </c>
      <c r="R22" s="210">
        <v>0</v>
      </c>
      <c r="S22" s="210">
        <v>0</v>
      </c>
      <c r="T22" s="211">
        <v>0</v>
      </c>
      <c r="V22" s="209">
        <v>0</v>
      </c>
      <c r="W22" s="210">
        <v>0</v>
      </c>
      <c r="X22" s="210">
        <v>0</v>
      </c>
      <c r="Y22" s="210">
        <v>0</v>
      </c>
      <c r="Z22" s="210">
        <v>0</v>
      </c>
      <c r="AA22" s="210">
        <v>0</v>
      </c>
      <c r="AB22" s="211">
        <v>0</v>
      </c>
    </row>
    <row r="23" spans="3:28" ht="12.75" customHeight="1">
      <c r="C23" s="51"/>
      <c r="D23" s="217" t="s">
        <v>141</v>
      </c>
      <c r="E23" s="53"/>
      <c r="F23" s="209">
        <v>0</v>
      </c>
      <c r="G23" s="210">
        <v>0</v>
      </c>
      <c r="H23" s="210">
        <v>0</v>
      </c>
      <c r="I23" s="210">
        <v>0</v>
      </c>
      <c r="J23" s="210">
        <v>0</v>
      </c>
      <c r="K23" s="210">
        <v>0</v>
      </c>
      <c r="L23" s="211">
        <v>0</v>
      </c>
      <c r="N23" s="209">
        <v>0</v>
      </c>
      <c r="O23" s="210">
        <v>0</v>
      </c>
      <c r="P23" s="210">
        <v>0</v>
      </c>
      <c r="Q23" s="210">
        <v>0</v>
      </c>
      <c r="R23" s="210">
        <v>0</v>
      </c>
      <c r="S23" s="210">
        <v>0</v>
      </c>
      <c r="T23" s="211">
        <v>0</v>
      </c>
      <c r="V23" s="209">
        <v>0</v>
      </c>
      <c r="W23" s="210">
        <v>0</v>
      </c>
      <c r="X23" s="210">
        <v>0</v>
      </c>
      <c r="Y23" s="210">
        <v>0</v>
      </c>
      <c r="Z23" s="210">
        <v>0</v>
      </c>
      <c r="AA23" s="210">
        <v>0</v>
      </c>
      <c r="AB23" s="211">
        <v>0</v>
      </c>
    </row>
    <row r="24" spans="3:28" ht="12.75" customHeight="1">
      <c r="C24" s="51"/>
      <c r="D24" s="217" t="s">
        <v>142</v>
      </c>
      <c r="E24" s="53"/>
      <c r="F24" s="209">
        <v>0</v>
      </c>
      <c r="G24" s="210">
        <v>0</v>
      </c>
      <c r="H24" s="210">
        <v>0</v>
      </c>
      <c r="I24" s="210">
        <v>0</v>
      </c>
      <c r="J24" s="210">
        <v>0</v>
      </c>
      <c r="K24" s="210">
        <v>0</v>
      </c>
      <c r="L24" s="211">
        <v>0</v>
      </c>
      <c r="N24" s="209">
        <v>0</v>
      </c>
      <c r="O24" s="210">
        <v>0</v>
      </c>
      <c r="P24" s="210">
        <v>0</v>
      </c>
      <c r="Q24" s="210">
        <v>0</v>
      </c>
      <c r="R24" s="210">
        <v>0</v>
      </c>
      <c r="S24" s="210">
        <v>0</v>
      </c>
      <c r="T24" s="211">
        <v>0</v>
      </c>
      <c r="V24" s="209">
        <v>0</v>
      </c>
      <c r="W24" s="210">
        <v>0</v>
      </c>
      <c r="X24" s="210">
        <v>0</v>
      </c>
      <c r="Y24" s="210">
        <v>0</v>
      </c>
      <c r="Z24" s="210">
        <v>0</v>
      </c>
      <c r="AA24" s="210">
        <v>0</v>
      </c>
      <c r="AB24" s="211">
        <v>0</v>
      </c>
    </row>
    <row r="25" spans="3:28" ht="12.75" customHeight="1">
      <c r="C25" s="58"/>
      <c r="D25" s="27" t="s">
        <v>143</v>
      </c>
      <c r="E25" s="60"/>
      <c r="F25" s="212">
        <v>0</v>
      </c>
      <c r="G25" s="213">
        <v>0</v>
      </c>
      <c r="H25" s="213">
        <v>0</v>
      </c>
      <c r="I25" s="213">
        <v>0</v>
      </c>
      <c r="J25" s="213">
        <v>0</v>
      </c>
      <c r="K25" s="213">
        <v>0</v>
      </c>
      <c r="L25" s="214">
        <v>0</v>
      </c>
      <c r="N25" s="212">
        <v>0</v>
      </c>
      <c r="O25" s="213">
        <v>0</v>
      </c>
      <c r="P25" s="213">
        <v>0</v>
      </c>
      <c r="Q25" s="213">
        <v>0</v>
      </c>
      <c r="R25" s="213">
        <v>0</v>
      </c>
      <c r="S25" s="213">
        <v>0</v>
      </c>
      <c r="T25" s="214">
        <v>0</v>
      </c>
      <c r="V25" s="212">
        <v>0</v>
      </c>
      <c r="W25" s="213">
        <v>0</v>
      </c>
      <c r="X25" s="213">
        <v>0</v>
      </c>
      <c r="Y25" s="213">
        <v>0</v>
      </c>
      <c r="Z25" s="213">
        <v>0</v>
      </c>
      <c r="AA25" s="213">
        <v>0</v>
      </c>
      <c r="AB25" s="214">
        <v>0</v>
      </c>
    </row>
    <row r="26" spans="3:28" ht="12.75" customHeight="1">
      <c r="C26" s="195" t="s">
        <v>144</v>
      </c>
      <c r="D26" s="49"/>
      <c r="E26" s="50"/>
      <c r="F26" s="48"/>
      <c r="G26" s="49"/>
      <c r="H26" s="49"/>
      <c r="I26" s="49"/>
      <c r="J26" s="49"/>
      <c r="K26" s="49"/>
      <c r="L26" s="50"/>
      <c r="N26" s="219"/>
      <c r="O26" s="220"/>
      <c r="P26" s="220"/>
      <c r="Q26" s="220"/>
      <c r="R26" s="220"/>
      <c r="S26" s="220"/>
      <c r="T26" s="221"/>
      <c r="V26" s="219"/>
      <c r="W26" s="220"/>
      <c r="X26" s="220"/>
      <c r="Y26" s="220"/>
      <c r="Z26" s="220"/>
      <c r="AA26" s="220"/>
      <c r="AB26" s="221"/>
    </row>
    <row r="27" spans="3:28" ht="12.75" customHeight="1">
      <c r="C27" s="51"/>
      <c r="D27" s="217" t="s">
        <v>139</v>
      </c>
      <c r="E27" s="53"/>
      <c r="F27" s="209">
        <v>0</v>
      </c>
      <c r="G27" s="210">
        <v>0</v>
      </c>
      <c r="H27" s="210">
        <v>0</v>
      </c>
      <c r="I27" s="210">
        <v>0</v>
      </c>
      <c r="J27" s="210">
        <v>0</v>
      </c>
      <c r="K27" s="210">
        <v>0</v>
      </c>
      <c r="L27" s="211">
        <v>0</v>
      </c>
      <c r="N27" s="209">
        <v>0</v>
      </c>
      <c r="O27" s="210">
        <v>0</v>
      </c>
      <c r="P27" s="210">
        <v>0</v>
      </c>
      <c r="Q27" s="210">
        <v>0</v>
      </c>
      <c r="R27" s="210">
        <v>0</v>
      </c>
      <c r="S27" s="210">
        <v>0</v>
      </c>
      <c r="T27" s="211">
        <v>0</v>
      </c>
      <c r="V27" s="209">
        <v>0</v>
      </c>
      <c r="W27" s="210">
        <v>0</v>
      </c>
      <c r="X27" s="210">
        <v>0</v>
      </c>
      <c r="Y27" s="210">
        <v>0</v>
      </c>
      <c r="Z27" s="210">
        <v>0</v>
      </c>
      <c r="AA27" s="210">
        <v>0</v>
      </c>
      <c r="AB27" s="211">
        <v>0</v>
      </c>
    </row>
    <row r="28" spans="3:28" ht="12.75" customHeight="1">
      <c r="C28" s="51"/>
      <c r="D28" s="217" t="s">
        <v>140</v>
      </c>
      <c r="E28" s="53"/>
      <c r="F28" s="209">
        <v>0</v>
      </c>
      <c r="G28" s="210">
        <v>0</v>
      </c>
      <c r="H28" s="210">
        <v>0</v>
      </c>
      <c r="I28" s="210">
        <v>0</v>
      </c>
      <c r="J28" s="210">
        <v>0</v>
      </c>
      <c r="K28" s="210">
        <v>0</v>
      </c>
      <c r="L28" s="211">
        <v>0</v>
      </c>
      <c r="N28" s="209">
        <v>0</v>
      </c>
      <c r="O28" s="210">
        <v>0</v>
      </c>
      <c r="P28" s="210">
        <v>0</v>
      </c>
      <c r="Q28" s="210">
        <v>0</v>
      </c>
      <c r="R28" s="210">
        <v>0</v>
      </c>
      <c r="S28" s="210">
        <v>0</v>
      </c>
      <c r="T28" s="211">
        <v>0</v>
      </c>
      <c r="V28" s="209">
        <v>0</v>
      </c>
      <c r="W28" s="210">
        <v>0</v>
      </c>
      <c r="X28" s="210">
        <v>0</v>
      </c>
      <c r="Y28" s="210">
        <v>0</v>
      </c>
      <c r="Z28" s="210">
        <v>0</v>
      </c>
      <c r="AA28" s="210">
        <v>0</v>
      </c>
      <c r="AB28" s="211">
        <v>0</v>
      </c>
    </row>
    <row r="29" spans="3:28" ht="12.75" customHeight="1">
      <c r="C29" s="51"/>
      <c r="D29" s="217" t="s">
        <v>141</v>
      </c>
      <c r="E29" s="53"/>
      <c r="F29" s="209">
        <v>0</v>
      </c>
      <c r="G29" s="210">
        <v>0</v>
      </c>
      <c r="H29" s="210">
        <v>0</v>
      </c>
      <c r="I29" s="210">
        <v>0</v>
      </c>
      <c r="J29" s="210">
        <v>0</v>
      </c>
      <c r="K29" s="210">
        <v>0</v>
      </c>
      <c r="L29" s="211">
        <v>0</v>
      </c>
      <c r="N29" s="209">
        <v>0</v>
      </c>
      <c r="O29" s="210">
        <v>0</v>
      </c>
      <c r="P29" s="210">
        <v>0</v>
      </c>
      <c r="Q29" s="210">
        <v>0</v>
      </c>
      <c r="R29" s="210">
        <v>0</v>
      </c>
      <c r="S29" s="210">
        <v>0</v>
      </c>
      <c r="T29" s="211">
        <v>0</v>
      </c>
      <c r="V29" s="209">
        <v>0</v>
      </c>
      <c r="W29" s="210">
        <v>0</v>
      </c>
      <c r="X29" s="210">
        <v>0</v>
      </c>
      <c r="Y29" s="210">
        <v>0</v>
      </c>
      <c r="Z29" s="210">
        <v>0</v>
      </c>
      <c r="AA29" s="210">
        <v>0</v>
      </c>
      <c r="AB29" s="211">
        <v>0</v>
      </c>
    </row>
    <row r="30" spans="3:28" ht="12.75" customHeight="1">
      <c r="C30" s="51"/>
      <c r="D30" s="217" t="s">
        <v>142</v>
      </c>
      <c r="E30" s="53"/>
      <c r="F30" s="209">
        <v>0</v>
      </c>
      <c r="G30" s="210">
        <v>0</v>
      </c>
      <c r="H30" s="210">
        <v>0</v>
      </c>
      <c r="I30" s="210">
        <v>0</v>
      </c>
      <c r="J30" s="210">
        <v>0</v>
      </c>
      <c r="K30" s="210">
        <v>0</v>
      </c>
      <c r="L30" s="211">
        <v>0</v>
      </c>
      <c r="N30" s="209">
        <v>0</v>
      </c>
      <c r="O30" s="210">
        <v>0</v>
      </c>
      <c r="P30" s="210">
        <v>0</v>
      </c>
      <c r="Q30" s="210">
        <v>0</v>
      </c>
      <c r="R30" s="210">
        <v>0</v>
      </c>
      <c r="S30" s="210">
        <v>0</v>
      </c>
      <c r="T30" s="211">
        <v>0</v>
      </c>
      <c r="V30" s="209">
        <v>0</v>
      </c>
      <c r="W30" s="210">
        <v>0</v>
      </c>
      <c r="X30" s="210">
        <v>0</v>
      </c>
      <c r="Y30" s="210">
        <v>0</v>
      </c>
      <c r="Z30" s="210">
        <v>0</v>
      </c>
      <c r="AA30" s="210">
        <v>0</v>
      </c>
      <c r="AB30" s="211">
        <v>0</v>
      </c>
    </row>
    <row r="31" spans="3:28" ht="12.75" customHeight="1">
      <c r="C31" s="58"/>
      <c r="D31" s="27" t="s">
        <v>143</v>
      </c>
      <c r="E31" s="60"/>
      <c r="F31" s="212">
        <v>0</v>
      </c>
      <c r="G31" s="213">
        <v>0</v>
      </c>
      <c r="H31" s="213">
        <v>0</v>
      </c>
      <c r="I31" s="213">
        <v>0</v>
      </c>
      <c r="J31" s="213">
        <v>0</v>
      </c>
      <c r="K31" s="213">
        <v>0</v>
      </c>
      <c r="L31" s="214">
        <v>0</v>
      </c>
      <c r="N31" s="212">
        <v>0</v>
      </c>
      <c r="O31" s="213">
        <v>0</v>
      </c>
      <c r="P31" s="213">
        <v>0</v>
      </c>
      <c r="Q31" s="213">
        <v>0</v>
      </c>
      <c r="R31" s="213">
        <v>0</v>
      </c>
      <c r="S31" s="213">
        <v>0</v>
      </c>
      <c r="T31" s="214">
        <v>0</v>
      </c>
      <c r="V31" s="212">
        <v>0</v>
      </c>
      <c r="W31" s="213">
        <v>0</v>
      </c>
      <c r="X31" s="213">
        <v>0</v>
      </c>
      <c r="Y31" s="213">
        <v>0</v>
      </c>
      <c r="Z31" s="213">
        <v>0</v>
      </c>
      <c r="AA31" s="213">
        <v>0</v>
      </c>
      <c r="AB31" s="214">
        <v>0</v>
      </c>
    </row>
    <row r="32" spans="3:28" ht="12.75" customHeight="1">
      <c r="C32" s="195" t="s">
        <v>145</v>
      </c>
      <c r="D32" s="49"/>
      <c r="E32" s="50"/>
      <c r="F32" s="48"/>
      <c r="G32" s="49"/>
      <c r="H32" s="49"/>
      <c r="I32" s="49"/>
      <c r="J32" s="49"/>
      <c r="K32" s="49"/>
      <c r="L32" s="50"/>
      <c r="N32" s="219"/>
      <c r="O32" s="220"/>
      <c r="P32" s="220"/>
      <c r="Q32" s="220"/>
      <c r="R32" s="220"/>
      <c r="S32" s="220"/>
      <c r="T32" s="221"/>
      <c r="V32" s="219"/>
      <c r="W32" s="220"/>
      <c r="X32" s="220"/>
      <c r="Y32" s="220"/>
      <c r="Z32" s="220"/>
      <c r="AA32" s="220"/>
      <c r="AB32" s="221"/>
    </row>
    <row r="33" spans="3:29" ht="12.75" customHeight="1">
      <c r="C33" s="51"/>
      <c r="D33" s="217" t="s">
        <v>139</v>
      </c>
      <c r="E33" s="53"/>
      <c r="F33" s="209">
        <v>0</v>
      </c>
      <c r="G33" s="210">
        <v>0</v>
      </c>
      <c r="H33" s="210">
        <v>0</v>
      </c>
      <c r="I33" s="210">
        <v>0</v>
      </c>
      <c r="J33" s="210">
        <v>0</v>
      </c>
      <c r="K33" s="210">
        <v>0</v>
      </c>
      <c r="L33" s="211">
        <v>0</v>
      </c>
      <c r="N33" s="209">
        <v>0</v>
      </c>
      <c r="O33" s="210">
        <v>0</v>
      </c>
      <c r="P33" s="210">
        <v>0</v>
      </c>
      <c r="Q33" s="210">
        <v>0</v>
      </c>
      <c r="R33" s="210">
        <v>0</v>
      </c>
      <c r="S33" s="210">
        <v>0</v>
      </c>
      <c r="T33" s="211">
        <v>0</v>
      </c>
      <c r="V33" s="209">
        <v>0</v>
      </c>
      <c r="W33" s="210">
        <v>0</v>
      </c>
      <c r="X33" s="210">
        <v>0</v>
      </c>
      <c r="Y33" s="210">
        <v>0</v>
      </c>
      <c r="Z33" s="210">
        <v>0</v>
      </c>
      <c r="AA33" s="210">
        <v>0</v>
      </c>
      <c r="AB33" s="211">
        <v>0</v>
      </c>
      <c r="AC33" s="390"/>
    </row>
    <row r="34" spans="3:29" ht="12.75" customHeight="1">
      <c r="C34" s="51"/>
      <c r="D34" s="217" t="s">
        <v>140</v>
      </c>
      <c r="E34" s="53"/>
      <c r="F34" s="209">
        <v>0</v>
      </c>
      <c r="G34" s="210">
        <v>0</v>
      </c>
      <c r="H34" s="210">
        <v>0</v>
      </c>
      <c r="I34" s="210">
        <v>0</v>
      </c>
      <c r="J34" s="210">
        <v>0</v>
      </c>
      <c r="K34" s="210">
        <v>0</v>
      </c>
      <c r="L34" s="211">
        <v>0</v>
      </c>
      <c r="N34" s="209">
        <v>0</v>
      </c>
      <c r="O34" s="210">
        <v>0</v>
      </c>
      <c r="P34" s="210">
        <v>0</v>
      </c>
      <c r="Q34" s="210">
        <v>0</v>
      </c>
      <c r="R34" s="210">
        <v>0</v>
      </c>
      <c r="S34" s="210">
        <v>0</v>
      </c>
      <c r="T34" s="211">
        <v>0</v>
      </c>
      <c r="V34" s="209">
        <v>0</v>
      </c>
      <c r="W34" s="210">
        <v>0</v>
      </c>
      <c r="X34" s="210">
        <v>0</v>
      </c>
      <c r="Y34" s="210">
        <v>0</v>
      </c>
      <c r="Z34" s="210">
        <v>0</v>
      </c>
      <c r="AA34" s="210">
        <v>0</v>
      </c>
      <c r="AB34" s="211">
        <v>0</v>
      </c>
    </row>
    <row r="35" spans="3:29" ht="12.75" customHeight="1">
      <c r="C35" s="51"/>
      <c r="D35" s="217" t="s">
        <v>141</v>
      </c>
      <c r="E35" s="53"/>
      <c r="F35" s="209">
        <v>0</v>
      </c>
      <c r="G35" s="210">
        <v>0</v>
      </c>
      <c r="H35" s="210">
        <v>0</v>
      </c>
      <c r="I35" s="210">
        <v>0</v>
      </c>
      <c r="J35" s="210">
        <v>0</v>
      </c>
      <c r="K35" s="210">
        <v>0</v>
      </c>
      <c r="L35" s="211">
        <v>0</v>
      </c>
      <c r="N35" s="209">
        <v>0</v>
      </c>
      <c r="O35" s="210">
        <v>0</v>
      </c>
      <c r="P35" s="210">
        <v>0</v>
      </c>
      <c r="Q35" s="210">
        <v>0</v>
      </c>
      <c r="R35" s="210">
        <v>0</v>
      </c>
      <c r="S35" s="210">
        <v>0</v>
      </c>
      <c r="T35" s="211">
        <v>0</v>
      </c>
      <c r="V35" s="209">
        <v>0</v>
      </c>
      <c r="W35" s="210">
        <v>0</v>
      </c>
      <c r="X35" s="210">
        <v>0</v>
      </c>
      <c r="Y35" s="210">
        <v>0</v>
      </c>
      <c r="Z35" s="210">
        <v>0</v>
      </c>
      <c r="AA35" s="210">
        <v>0</v>
      </c>
      <c r="AB35" s="211">
        <v>0</v>
      </c>
    </row>
    <row r="36" spans="3:29" ht="12.75" customHeight="1">
      <c r="C36" s="51"/>
      <c r="D36" s="217" t="s">
        <v>142</v>
      </c>
      <c r="E36" s="53"/>
      <c r="F36" s="209">
        <v>0</v>
      </c>
      <c r="G36" s="210">
        <v>0</v>
      </c>
      <c r="H36" s="210">
        <v>0</v>
      </c>
      <c r="I36" s="210">
        <v>0</v>
      </c>
      <c r="J36" s="210">
        <v>0</v>
      </c>
      <c r="K36" s="210">
        <v>0</v>
      </c>
      <c r="L36" s="211">
        <v>0</v>
      </c>
      <c r="N36" s="209">
        <v>0</v>
      </c>
      <c r="O36" s="210">
        <v>0</v>
      </c>
      <c r="P36" s="210">
        <v>0</v>
      </c>
      <c r="Q36" s="210">
        <v>0</v>
      </c>
      <c r="R36" s="210">
        <v>0</v>
      </c>
      <c r="S36" s="210">
        <v>0</v>
      </c>
      <c r="T36" s="211">
        <v>0</v>
      </c>
      <c r="V36" s="209">
        <v>0</v>
      </c>
      <c r="W36" s="210">
        <v>0</v>
      </c>
      <c r="X36" s="210">
        <v>0</v>
      </c>
      <c r="Y36" s="210">
        <v>0</v>
      </c>
      <c r="Z36" s="210">
        <v>0</v>
      </c>
      <c r="AA36" s="210">
        <v>0</v>
      </c>
      <c r="AB36" s="211">
        <v>0</v>
      </c>
    </row>
    <row r="37" spans="3:29" ht="12.75" customHeight="1">
      <c r="C37" s="58"/>
      <c r="D37" s="27" t="s">
        <v>143</v>
      </c>
      <c r="E37" s="60"/>
      <c r="F37" s="212">
        <v>0</v>
      </c>
      <c r="G37" s="213">
        <v>0</v>
      </c>
      <c r="H37" s="213">
        <v>0</v>
      </c>
      <c r="I37" s="213">
        <v>0</v>
      </c>
      <c r="J37" s="213">
        <v>0</v>
      </c>
      <c r="K37" s="213">
        <v>0</v>
      </c>
      <c r="L37" s="214">
        <v>0</v>
      </c>
      <c r="N37" s="212">
        <v>0</v>
      </c>
      <c r="O37" s="213">
        <v>0</v>
      </c>
      <c r="P37" s="213">
        <v>0</v>
      </c>
      <c r="Q37" s="213">
        <v>0</v>
      </c>
      <c r="R37" s="213">
        <v>0</v>
      </c>
      <c r="S37" s="213">
        <v>0</v>
      </c>
      <c r="T37" s="214">
        <v>0</v>
      </c>
      <c r="V37" s="212">
        <v>0</v>
      </c>
      <c r="W37" s="213">
        <v>0</v>
      </c>
      <c r="X37" s="213">
        <v>0</v>
      </c>
      <c r="Y37" s="213">
        <v>0</v>
      </c>
      <c r="Z37" s="213">
        <v>0</v>
      </c>
      <c r="AA37" s="213">
        <v>0</v>
      </c>
      <c r="AB37" s="214">
        <v>0</v>
      </c>
    </row>
    <row r="38" spans="3:29" ht="12.75" customHeight="1">
      <c r="C38" s="195" t="s">
        <v>146</v>
      </c>
      <c r="D38" s="49"/>
      <c r="E38" s="50"/>
      <c r="F38" s="48"/>
      <c r="G38" s="49"/>
      <c r="H38" s="49"/>
      <c r="I38" s="49"/>
      <c r="J38" s="49"/>
      <c r="K38" s="49"/>
      <c r="L38" s="50"/>
      <c r="N38" s="219"/>
      <c r="O38" s="220"/>
      <c r="P38" s="220"/>
      <c r="Q38" s="220"/>
      <c r="R38" s="220"/>
      <c r="S38" s="220"/>
      <c r="T38" s="221"/>
      <c r="V38" s="219"/>
      <c r="W38" s="220"/>
      <c r="X38" s="220"/>
      <c r="Y38" s="220"/>
      <c r="Z38" s="220"/>
      <c r="AA38" s="220"/>
      <c r="AB38" s="221"/>
    </row>
    <row r="39" spans="3:29" ht="12.75" customHeight="1">
      <c r="C39" s="51"/>
      <c r="D39" s="217" t="s">
        <v>139</v>
      </c>
      <c r="E39" s="53"/>
      <c r="F39" s="209">
        <v>0</v>
      </c>
      <c r="G39" s="210">
        <v>0</v>
      </c>
      <c r="H39" s="210">
        <v>0</v>
      </c>
      <c r="I39" s="210">
        <v>0</v>
      </c>
      <c r="J39" s="210">
        <v>0</v>
      </c>
      <c r="K39" s="210">
        <v>0</v>
      </c>
      <c r="L39" s="211">
        <v>0</v>
      </c>
      <c r="N39" s="209">
        <v>0</v>
      </c>
      <c r="O39" s="210">
        <v>0</v>
      </c>
      <c r="P39" s="210">
        <v>0</v>
      </c>
      <c r="Q39" s="210">
        <v>0</v>
      </c>
      <c r="R39" s="210">
        <v>0</v>
      </c>
      <c r="S39" s="210">
        <v>0</v>
      </c>
      <c r="T39" s="211">
        <v>0</v>
      </c>
      <c r="V39" s="209">
        <v>0</v>
      </c>
      <c r="W39" s="210">
        <v>0</v>
      </c>
      <c r="X39" s="210">
        <v>0</v>
      </c>
      <c r="Y39" s="210">
        <v>0</v>
      </c>
      <c r="Z39" s="210">
        <v>0</v>
      </c>
      <c r="AA39" s="210">
        <v>0</v>
      </c>
      <c r="AB39" s="211">
        <v>0</v>
      </c>
    </row>
    <row r="40" spans="3:29" ht="12.75" customHeight="1">
      <c r="C40" s="51"/>
      <c r="D40" s="217" t="s">
        <v>140</v>
      </c>
      <c r="E40" s="53"/>
      <c r="F40" s="209">
        <v>0</v>
      </c>
      <c r="G40" s="210">
        <v>0</v>
      </c>
      <c r="H40" s="210">
        <v>0</v>
      </c>
      <c r="I40" s="210">
        <v>0</v>
      </c>
      <c r="J40" s="210">
        <v>0</v>
      </c>
      <c r="K40" s="210">
        <v>0</v>
      </c>
      <c r="L40" s="211">
        <v>0</v>
      </c>
      <c r="N40" s="209">
        <v>0</v>
      </c>
      <c r="O40" s="210">
        <v>0</v>
      </c>
      <c r="P40" s="210">
        <v>0</v>
      </c>
      <c r="Q40" s="210">
        <v>0</v>
      </c>
      <c r="R40" s="210">
        <v>0</v>
      </c>
      <c r="S40" s="210">
        <v>0</v>
      </c>
      <c r="T40" s="211">
        <v>0</v>
      </c>
      <c r="V40" s="209">
        <v>0</v>
      </c>
      <c r="W40" s="210">
        <v>0</v>
      </c>
      <c r="X40" s="210">
        <v>0</v>
      </c>
      <c r="Y40" s="210">
        <v>0</v>
      </c>
      <c r="Z40" s="210">
        <v>0</v>
      </c>
      <c r="AA40" s="210">
        <v>0</v>
      </c>
      <c r="AB40" s="211">
        <v>0</v>
      </c>
    </row>
    <row r="41" spans="3:29" ht="12.75" customHeight="1">
      <c r="C41" s="51"/>
      <c r="D41" s="217" t="s">
        <v>141</v>
      </c>
      <c r="E41" s="53"/>
      <c r="F41" s="209">
        <v>0</v>
      </c>
      <c r="G41" s="210">
        <v>0</v>
      </c>
      <c r="H41" s="210">
        <v>0</v>
      </c>
      <c r="I41" s="210">
        <v>0</v>
      </c>
      <c r="J41" s="210">
        <v>0</v>
      </c>
      <c r="K41" s="210">
        <v>0</v>
      </c>
      <c r="L41" s="211">
        <v>0</v>
      </c>
      <c r="N41" s="209">
        <v>0</v>
      </c>
      <c r="O41" s="210">
        <v>0</v>
      </c>
      <c r="P41" s="210">
        <v>0</v>
      </c>
      <c r="Q41" s="210">
        <v>0</v>
      </c>
      <c r="R41" s="210">
        <v>0</v>
      </c>
      <c r="S41" s="210">
        <v>0</v>
      </c>
      <c r="T41" s="211">
        <v>0</v>
      </c>
      <c r="V41" s="209">
        <v>0</v>
      </c>
      <c r="W41" s="210">
        <v>0</v>
      </c>
      <c r="X41" s="210">
        <v>0</v>
      </c>
      <c r="Y41" s="210">
        <v>0</v>
      </c>
      <c r="Z41" s="210">
        <v>0</v>
      </c>
      <c r="AA41" s="210">
        <v>0</v>
      </c>
      <c r="AB41" s="211">
        <v>0</v>
      </c>
    </row>
    <row r="42" spans="3:29" ht="12.75" customHeight="1">
      <c r="C42" s="51"/>
      <c r="D42" s="217" t="s">
        <v>142</v>
      </c>
      <c r="E42" s="53"/>
      <c r="F42" s="209">
        <v>0</v>
      </c>
      <c r="G42" s="210">
        <v>0</v>
      </c>
      <c r="H42" s="210">
        <v>0</v>
      </c>
      <c r="I42" s="210">
        <v>0</v>
      </c>
      <c r="J42" s="210">
        <v>0</v>
      </c>
      <c r="K42" s="210">
        <v>0</v>
      </c>
      <c r="L42" s="211">
        <v>0</v>
      </c>
      <c r="N42" s="209">
        <v>0</v>
      </c>
      <c r="O42" s="210">
        <v>0</v>
      </c>
      <c r="P42" s="210">
        <v>0</v>
      </c>
      <c r="Q42" s="210">
        <v>0</v>
      </c>
      <c r="R42" s="210">
        <v>0</v>
      </c>
      <c r="S42" s="210">
        <v>0</v>
      </c>
      <c r="T42" s="211">
        <v>0</v>
      </c>
      <c r="V42" s="209">
        <v>0</v>
      </c>
      <c r="W42" s="210">
        <v>0</v>
      </c>
      <c r="X42" s="210">
        <v>0</v>
      </c>
      <c r="Y42" s="210">
        <v>0</v>
      </c>
      <c r="Z42" s="210">
        <v>0</v>
      </c>
      <c r="AA42" s="210">
        <v>0</v>
      </c>
      <c r="AB42" s="211">
        <v>0</v>
      </c>
    </row>
    <row r="43" spans="3:29" ht="12.75" customHeight="1">
      <c r="C43" s="58"/>
      <c r="D43" s="27" t="s">
        <v>143</v>
      </c>
      <c r="E43" s="60"/>
      <c r="F43" s="212">
        <v>0</v>
      </c>
      <c r="G43" s="213">
        <v>0</v>
      </c>
      <c r="H43" s="213">
        <v>0</v>
      </c>
      <c r="I43" s="213">
        <v>0</v>
      </c>
      <c r="J43" s="213">
        <v>0</v>
      </c>
      <c r="K43" s="213">
        <v>0</v>
      </c>
      <c r="L43" s="214">
        <v>0</v>
      </c>
      <c r="N43" s="212">
        <v>0</v>
      </c>
      <c r="O43" s="213">
        <v>0</v>
      </c>
      <c r="P43" s="213">
        <v>0</v>
      </c>
      <c r="Q43" s="213">
        <v>0</v>
      </c>
      <c r="R43" s="213">
        <v>0</v>
      </c>
      <c r="S43" s="213">
        <v>0</v>
      </c>
      <c r="T43" s="214">
        <v>0</v>
      </c>
      <c r="V43" s="212">
        <v>0</v>
      </c>
      <c r="W43" s="213">
        <v>0</v>
      </c>
      <c r="X43" s="213">
        <v>0</v>
      </c>
      <c r="Y43" s="213">
        <v>0</v>
      </c>
      <c r="Z43" s="213">
        <v>0</v>
      </c>
      <c r="AA43" s="213">
        <v>0</v>
      </c>
      <c r="AB43" s="214">
        <v>0</v>
      </c>
    </row>
    <row r="44" spans="3:29" ht="12.75" customHeight="1">
      <c r="C44" s="51"/>
      <c r="D44" s="52"/>
      <c r="E44" s="53"/>
      <c r="F44" s="51"/>
      <c r="G44" s="52"/>
      <c r="H44" s="52"/>
      <c r="I44" s="52"/>
      <c r="J44" s="52"/>
      <c r="K44" s="52"/>
      <c r="L44" s="53"/>
      <c r="N44" s="222"/>
      <c r="O44" s="223"/>
      <c r="P44" s="223"/>
      <c r="Q44" s="223"/>
      <c r="R44" s="223"/>
      <c r="S44" s="223"/>
      <c r="T44" s="224"/>
      <c r="V44" s="222"/>
      <c r="W44" s="223"/>
      <c r="X44" s="223"/>
      <c r="Y44" s="223"/>
      <c r="Z44" s="223"/>
      <c r="AA44" s="223"/>
      <c r="AB44" s="224"/>
    </row>
    <row r="45" spans="3:29" ht="12.75" customHeight="1">
      <c r="C45" s="136" t="s">
        <v>433</v>
      </c>
      <c r="D45" s="137"/>
      <c r="E45" s="179"/>
      <c r="F45" s="358">
        <v>71038</v>
      </c>
      <c r="G45" s="359">
        <v>10217</v>
      </c>
      <c r="H45" s="359">
        <v>0</v>
      </c>
      <c r="I45" s="359">
        <v>0</v>
      </c>
      <c r="J45" s="359">
        <v>1298</v>
      </c>
      <c r="K45" s="359">
        <v>0</v>
      </c>
      <c r="L45" s="360">
        <v>0</v>
      </c>
      <c r="N45" s="358">
        <v>71363</v>
      </c>
      <c r="O45" s="359">
        <v>10253</v>
      </c>
      <c r="P45" s="359">
        <v>0</v>
      </c>
      <c r="Q45" s="359">
        <v>0</v>
      </c>
      <c r="R45" s="359">
        <v>1303</v>
      </c>
      <c r="S45" s="359">
        <v>0</v>
      </c>
      <c r="T45" s="360">
        <v>0</v>
      </c>
      <c r="V45" s="358">
        <v>71706</v>
      </c>
      <c r="W45" s="359">
        <v>10346</v>
      </c>
      <c r="X45" s="359">
        <v>0</v>
      </c>
      <c r="Y45" s="359">
        <v>0</v>
      </c>
      <c r="Z45" s="359">
        <v>1314</v>
      </c>
      <c r="AA45" s="359">
        <v>0</v>
      </c>
      <c r="AB45" s="360">
        <v>0</v>
      </c>
    </row>
    <row r="46" spans="3:29" ht="12.75" customHeight="1">
      <c r="C46" s="136" t="s">
        <v>294</v>
      </c>
      <c r="D46" s="137"/>
      <c r="E46" s="179"/>
      <c r="F46" s="212">
        <v>648370552.00658178</v>
      </c>
      <c r="G46" s="213">
        <v>165115403.52975613</v>
      </c>
      <c r="H46" s="213">
        <v>3453756.3589038262</v>
      </c>
      <c r="I46" s="213">
        <v>180899</v>
      </c>
      <c r="J46" s="213">
        <v>310995135.90357721</v>
      </c>
      <c r="K46" s="213">
        <v>0</v>
      </c>
      <c r="L46" s="214">
        <v>4392770</v>
      </c>
      <c r="N46" s="212">
        <v>643844340.58173037</v>
      </c>
      <c r="O46" s="213">
        <v>164051962.00356889</v>
      </c>
      <c r="P46" s="213">
        <v>3453756.3589038262</v>
      </c>
      <c r="Q46" s="213">
        <v>180899</v>
      </c>
      <c r="R46" s="213">
        <v>308922858.45428824</v>
      </c>
      <c r="S46" s="213">
        <v>0</v>
      </c>
      <c r="T46" s="214">
        <v>4359436.3759640204</v>
      </c>
      <c r="V46" s="212">
        <v>630990366.16546369</v>
      </c>
      <c r="W46" s="213">
        <v>160880688.50972158</v>
      </c>
      <c r="X46" s="213">
        <v>3471025.1406983449</v>
      </c>
      <c r="Y46" s="213">
        <v>181803.495</v>
      </c>
      <c r="Z46" s="213">
        <v>302910929.42388207</v>
      </c>
      <c r="AA46" s="213">
        <v>0</v>
      </c>
      <c r="AB46" s="214">
        <v>4268935.7825472131</v>
      </c>
    </row>
    <row r="47" spans="3:29" s="361" customFormat="1" ht="12.75" customHeight="1">
      <c r="C47" s="406" t="s">
        <v>295</v>
      </c>
      <c r="D47" s="363"/>
      <c r="E47" s="405"/>
      <c r="F47" s="212">
        <v>209148.92171652874</v>
      </c>
      <c r="G47" s="213">
        <v>67330.393441018357</v>
      </c>
      <c r="H47" s="213">
        <v>59.139663679860035</v>
      </c>
      <c r="I47" s="213">
        <v>20.650570776255709</v>
      </c>
      <c r="J47" s="213">
        <v>126816.9075143692</v>
      </c>
      <c r="K47" s="213">
        <v>0</v>
      </c>
      <c r="L47" s="214">
        <v>1791.2740184933798</v>
      </c>
      <c r="N47" s="212">
        <v>207688.87354494072</v>
      </c>
      <c r="O47" s="213">
        <v>66896.745611506209</v>
      </c>
      <c r="P47" s="213">
        <v>59.139663679860035</v>
      </c>
      <c r="Q47" s="213">
        <v>20.650570776255709</v>
      </c>
      <c r="R47" s="213">
        <v>125971.87880719329</v>
      </c>
      <c r="S47" s="213">
        <v>0</v>
      </c>
      <c r="T47" s="214">
        <v>1777.6813071340609</v>
      </c>
      <c r="V47" s="212">
        <v>203542.48706792702</v>
      </c>
      <c r="W47" s="213">
        <v>65603.570732087202</v>
      </c>
      <c r="X47" s="213">
        <v>59.435361998259332</v>
      </c>
      <c r="Y47" s="213">
        <v>20.753823630136985</v>
      </c>
      <c r="Z47" s="213">
        <v>123520.34770649998</v>
      </c>
      <c r="AA47" s="213">
        <v>0</v>
      </c>
      <c r="AB47" s="214">
        <v>1740.7771756530678</v>
      </c>
    </row>
    <row r="48" spans="3:29" ht="12.75" customHeight="1">
      <c r="L48" s="355"/>
    </row>
    <row r="49" spans="2:28" s="7" customFormat="1" ht="15.6">
      <c r="B49" s="7" t="s">
        <v>311</v>
      </c>
    </row>
    <row r="51" spans="2:28" ht="12.75" customHeight="1">
      <c r="F51" s="113" t="s">
        <v>490</v>
      </c>
      <c r="G51" s="113" t="s">
        <v>498</v>
      </c>
      <c r="H51" s="113" t="s">
        <v>154</v>
      </c>
      <c r="I51" s="113" t="s">
        <v>155</v>
      </c>
      <c r="J51" s="113" t="s">
        <v>156</v>
      </c>
      <c r="K51" s="113" t="s">
        <v>314</v>
      </c>
      <c r="L51" s="113" t="s">
        <v>181</v>
      </c>
      <c r="N51" s="113" t="s">
        <v>490</v>
      </c>
      <c r="O51" s="113" t="s">
        <v>498</v>
      </c>
      <c r="P51" s="113" t="s">
        <v>154</v>
      </c>
      <c r="Q51" s="113" t="s">
        <v>155</v>
      </c>
      <c r="R51" s="113" t="s">
        <v>156</v>
      </c>
      <c r="S51" s="113" t="s">
        <v>314</v>
      </c>
      <c r="T51" s="113" t="s">
        <v>181</v>
      </c>
      <c r="V51" s="113" t="s">
        <v>490</v>
      </c>
      <c r="W51" s="113" t="s">
        <v>498</v>
      </c>
      <c r="X51" s="113" t="s">
        <v>154</v>
      </c>
      <c r="Y51" s="113" t="s">
        <v>155</v>
      </c>
      <c r="Z51" s="113" t="s">
        <v>156</v>
      </c>
      <c r="AA51" s="113" t="s">
        <v>314</v>
      </c>
      <c r="AB51" s="113" t="s">
        <v>181</v>
      </c>
    </row>
    <row r="52" spans="2:28" ht="12.75" customHeight="1">
      <c r="C52" s="215" t="s">
        <v>292</v>
      </c>
      <c r="D52" s="49"/>
      <c r="E52" s="247" t="s">
        <v>147</v>
      </c>
      <c r="F52" s="231">
        <v>0</v>
      </c>
      <c r="G52" s="232">
        <v>0</v>
      </c>
      <c r="H52" s="232">
        <v>0</v>
      </c>
      <c r="I52" s="232">
        <v>0</v>
      </c>
      <c r="J52" s="232">
        <v>175</v>
      </c>
      <c r="K52" s="232">
        <v>768.673</v>
      </c>
      <c r="L52" s="233">
        <v>849.72900000000004</v>
      </c>
      <c r="N52" s="231">
        <v>0</v>
      </c>
      <c r="O52" s="232">
        <v>0</v>
      </c>
      <c r="P52" s="232">
        <v>0</v>
      </c>
      <c r="Q52" s="232">
        <v>0</v>
      </c>
      <c r="R52" s="232">
        <v>135</v>
      </c>
      <c r="S52" s="232">
        <v>1298.0454680479745</v>
      </c>
      <c r="T52" s="233">
        <v>1116.3191025212582</v>
      </c>
      <c r="V52" s="231">
        <v>0</v>
      </c>
      <c r="W52" s="232">
        <v>0</v>
      </c>
      <c r="X52" s="232">
        <v>0</v>
      </c>
      <c r="Y52" s="232">
        <v>0</v>
      </c>
      <c r="Z52" s="232">
        <v>135</v>
      </c>
      <c r="AA52" s="232">
        <v>1298.0454680479745</v>
      </c>
      <c r="AB52" s="233">
        <v>1116.3191025212582</v>
      </c>
    </row>
    <row r="53" spans="2:28" ht="12.75" customHeight="1">
      <c r="C53" s="216" t="s">
        <v>293</v>
      </c>
      <c r="D53" s="52"/>
      <c r="E53" s="248" t="s">
        <v>148</v>
      </c>
      <c r="F53" s="234">
        <v>44.417999999999999</v>
      </c>
      <c r="G53" s="159">
        <v>79.012</v>
      </c>
      <c r="H53" s="159">
        <v>0</v>
      </c>
      <c r="I53" s="159">
        <v>0</v>
      </c>
      <c r="J53" s="159">
        <v>650</v>
      </c>
      <c r="K53" s="159">
        <v>0</v>
      </c>
      <c r="L53" s="160">
        <v>427.33333156377762</v>
      </c>
      <c r="N53" s="234">
        <v>64.041769951086621</v>
      </c>
      <c r="O53" s="159">
        <v>135</v>
      </c>
      <c r="P53" s="159">
        <v>0</v>
      </c>
      <c r="Q53" s="159">
        <v>0</v>
      </c>
      <c r="R53" s="159">
        <v>650</v>
      </c>
      <c r="S53" s="159">
        <v>0</v>
      </c>
      <c r="T53" s="160">
        <v>333.80729068933186</v>
      </c>
      <c r="V53" s="234">
        <v>64.041769951086621</v>
      </c>
      <c r="W53" s="159">
        <v>135</v>
      </c>
      <c r="X53" s="159">
        <v>0</v>
      </c>
      <c r="Y53" s="159">
        <v>0</v>
      </c>
      <c r="Z53" s="159">
        <v>650</v>
      </c>
      <c r="AA53" s="159">
        <v>0</v>
      </c>
      <c r="AB53" s="160">
        <v>333.80729068933186</v>
      </c>
    </row>
    <row r="54" spans="2:28" ht="12.75" customHeight="1">
      <c r="C54" s="216" t="s">
        <v>214</v>
      </c>
      <c r="D54" s="52"/>
      <c r="E54" s="248" t="s">
        <v>149</v>
      </c>
      <c r="F54" s="234">
        <v>11.115</v>
      </c>
      <c r="G54" s="159">
        <v>10.448</v>
      </c>
      <c r="H54" s="159">
        <v>0.267530400000007</v>
      </c>
      <c r="I54" s="159">
        <v>0.61398839999999899</v>
      </c>
      <c r="J54" s="159">
        <v>0</v>
      </c>
      <c r="K54" s="159">
        <v>0</v>
      </c>
      <c r="L54" s="160">
        <v>0</v>
      </c>
      <c r="N54" s="234">
        <v>10.104915273055934</v>
      </c>
      <c r="O54" s="159">
        <v>10.455</v>
      </c>
      <c r="P54" s="159">
        <v>0.267530400000007</v>
      </c>
      <c r="Q54" s="159">
        <v>0.61398839999999899</v>
      </c>
      <c r="R54" s="159">
        <v>0</v>
      </c>
      <c r="S54" s="159">
        <v>0</v>
      </c>
      <c r="T54" s="160">
        <v>0</v>
      </c>
      <c r="V54" s="234">
        <v>10.104915273055934</v>
      </c>
      <c r="W54" s="159">
        <v>10.455</v>
      </c>
      <c r="X54" s="159">
        <v>0.267530400000007</v>
      </c>
      <c r="Y54" s="159">
        <v>0.61398839999999899</v>
      </c>
      <c r="Z54" s="159">
        <v>0</v>
      </c>
      <c r="AA54" s="159">
        <v>0</v>
      </c>
      <c r="AB54" s="160">
        <v>0</v>
      </c>
    </row>
    <row r="55" spans="2:28" ht="12.75" customHeight="1">
      <c r="C55" s="216" t="s">
        <v>215</v>
      </c>
      <c r="D55" s="52"/>
      <c r="E55" s="248" t="s">
        <v>149</v>
      </c>
      <c r="F55" s="225">
        <v>0</v>
      </c>
      <c r="G55" s="226">
        <v>0</v>
      </c>
      <c r="H55" s="226">
        <v>0</v>
      </c>
      <c r="I55" s="226">
        <v>0</v>
      </c>
      <c r="J55" s="226">
        <v>4.0999999999999996</v>
      </c>
      <c r="K55" s="226">
        <v>3.2850999999999999</v>
      </c>
      <c r="L55" s="227">
        <v>4.0999999999999996</v>
      </c>
      <c r="N55" s="225">
        <v>0</v>
      </c>
      <c r="O55" s="226">
        <v>0</v>
      </c>
      <c r="P55" s="226">
        <v>0</v>
      </c>
      <c r="Q55" s="226">
        <v>0</v>
      </c>
      <c r="R55" s="226">
        <v>3.07569605206987</v>
      </c>
      <c r="S55" s="226">
        <v>3.2850999999999999</v>
      </c>
      <c r="T55" s="227">
        <v>3.07569605206987</v>
      </c>
      <c r="V55" s="225">
        <v>0</v>
      </c>
      <c r="W55" s="226">
        <v>0</v>
      </c>
      <c r="X55" s="226">
        <v>0</v>
      </c>
      <c r="Y55" s="226">
        <v>0</v>
      </c>
      <c r="Z55" s="226">
        <v>3.07569605206987</v>
      </c>
      <c r="AA55" s="226">
        <v>3.2850999999999999</v>
      </c>
      <c r="AB55" s="227">
        <v>3.07569605206987</v>
      </c>
    </row>
    <row r="56" spans="2:28" ht="12.75" customHeight="1">
      <c r="C56" s="216" t="s">
        <v>296</v>
      </c>
      <c r="D56" s="52"/>
      <c r="E56" s="248" t="s">
        <v>151</v>
      </c>
      <c r="F56" s="225">
        <v>0</v>
      </c>
      <c r="G56" s="226">
        <v>0</v>
      </c>
      <c r="H56" s="226">
        <v>0</v>
      </c>
      <c r="I56" s="226">
        <v>0</v>
      </c>
      <c r="J56" s="226">
        <v>20</v>
      </c>
      <c r="K56" s="226">
        <v>8.2579999999999991</v>
      </c>
      <c r="L56" s="227">
        <v>13.148717894270082</v>
      </c>
      <c r="N56" s="225">
        <v>0</v>
      </c>
      <c r="O56" s="226">
        <v>0</v>
      </c>
      <c r="P56" s="226">
        <v>0</v>
      </c>
      <c r="Q56" s="226">
        <v>0</v>
      </c>
      <c r="R56" s="226">
        <v>20</v>
      </c>
      <c r="S56" s="226">
        <v>8.2579999999999991</v>
      </c>
      <c r="T56" s="227">
        <v>10.270993559671751</v>
      </c>
      <c r="V56" s="225">
        <v>0</v>
      </c>
      <c r="W56" s="226">
        <v>0</v>
      </c>
      <c r="X56" s="226">
        <v>0</v>
      </c>
      <c r="Y56" s="226">
        <v>0</v>
      </c>
      <c r="Z56" s="226">
        <v>20</v>
      </c>
      <c r="AA56" s="226">
        <v>8.2579999999999991</v>
      </c>
      <c r="AB56" s="227">
        <v>10.270993559671751</v>
      </c>
    </row>
    <row r="57" spans="2:28" ht="12.75" customHeight="1">
      <c r="C57" s="216" t="s">
        <v>297</v>
      </c>
      <c r="D57" s="52"/>
      <c r="E57" s="248" t="s">
        <v>151</v>
      </c>
      <c r="F57" s="225">
        <v>0</v>
      </c>
      <c r="G57" s="226">
        <v>0</v>
      </c>
      <c r="H57" s="226">
        <v>0</v>
      </c>
      <c r="I57" s="226">
        <v>0</v>
      </c>
      <c r="J57" s="226">
        <v>0</v>
      </c>
      <c r="K57" s="226">
        <v>0</v>
      </c>
      <c r="L57" s="227">
        <v>0</v>
      </c>
      <c r="N57" s="225">
        <v>0</v>
      </c>
      <c r="O57" s="226">
        <v>0</v>
      </c>
      <c r="P57" s="226">
        <v>0</v>
      </c>
      <c r="Q57" s="226">
        <v>0</v>
      </c>
      <c r="R57" s="226">
        <v>0</v>
      </c>
      <c r="S57" s="226">
        <v>0</v>
      </c>
      <c r="T57" s="227">
        <v>0</v>
      </c>
      <c r="V57" s="225">
        <v>0</v>
      </c>
      <c r="W57" s="226">
        <v>0</v>
      </c>
      <c r="X57" s="226">
        <v>0</v>
      </c>
      <c r="Y57" s="226">
        <v>0</v>
      </c>
      <c r="Z57" s="226">
        <v>0</v>
      </c>
      <c r="AA57" s="226">
        <v>0</v>
      </c>
      <c r="AB57" s="227">
        <v>0</v>
      </c>
    </row>
    <row r="58" spans="2:28" ht="12.75" customHeight="1">
      <c r="C58" s="218" t="s">
        <v>298</v>
      </c>
      <c r="D58" s="59"/>
      <c r="E58" s="249" t="s">
        <v>150</v>
      </c>
      <c r="F58" s="228">
        <v>0</v>
      </c>
      <c r="G58" s="229">
        <v>0</v>
      </c>
      <c r="H58" s="229">
        <v>0</v>
      </c>
      <c r="I58" s="229">
        <v>0</v>
      </c>
      <c r="J58" s="229">
        <v>4</v>
      </c>
      <c r="K58" s="229">
        <v>4</v>
      </c>
      <c r="L58" s="230">
        <v>4</v>
      </c>
      <c r="N58" s="228">
        <v>0</v>
      </c>
      <c r="O58" s="229">
        <v>0</v>
      </c>
      <c r="P58" s="229">
        <v>0</v>
      </c>
      <c r="Q58" s="229">
        <v>0</v>
      </c>
      <c r="R58" s="229">
        <v>4</v>
      </c>
      <c r="S58" s="229">
        <v>4</v>
      </c>
      <c r="T58" s="230">
        <v>4</v>
      </c>
      <c r="V58" s="228">
        <v>0</v>
      </c>
      <c r="W58" s="229">
        <v>0</v>
      </c>
      <c r="X58" s="229">
        <v>0</v>
      </c>
      <c r="Y58" s="229">
        <v>0</v>
      </c>
      <c r="Z58" s="229">
        <v>4</v>
      </c>
      <c r="AA58" s="229">
        <v>4</v>
      </c>
      <c r="AB58" s="230">
        <v>4</v>
      </c>
    </row>
    <row r="59" spans="2:28" ht="12.75" customHeight="1">
      <c r="C59" s="195" t="s">
        <v>138</v>
      </c>
      <c r="D59" s="49"/>
      <c r="E59" s="247"/>
      <c r="F59" s="48"/>
      <c r="G59" s="49"/>
      <c r="H59" s="49"/>
      <c r="I59" s="49"/>
      <c r="J59" s="49"/>
      <c r="K59" s="49"/>
      <c r="L59" s="50"/>
      <c r="N59" s="48"/>
      <c r="O59" s="49"/>
      <c r="P59" s="49"/>
      <c r="Q59" s="49"/>
      <c r="R59" s="49"/>
      <c r="S59" s="49"/>
      <c r="T59" s="50"/>
      <c r="V59" s="48"/>
      <c r="W59" s="49"/>
      <c r="X59" s="49"/>
      <c r="Y59" s="49"/>
      <c r="Z59" s="49"/>
      <c r="AA59" s="49"/>
      <c r="AB59" s="50"/>
    </row>
    <row r="60" spans="2:28" ht="12.75" customHeight="1">
      <c r="C60" s="51"/>
      <c r="D60" s="217" t="s">
        <v>139</v>
      </c>
      <c r="E60" s="248" t="s">
        <v>149</v>
      </c>
      <c r="F60" s="225">
        <v>0</v>
      </c>
      <c r="G60" s="226">
        <v>0</v>
      </c>
      <c r="H60" s="226">
        <v>0</v>
      </c>
      <c r="I60" s="226">
        <v>0</v>
      </c>
      <c r="J60" s="226">
        <v>0</v>
      </c>
      <c r="K60" s="226">
        <v>6.0577000000000005</v>
      </c>
      <c r="L60" s="227">
        <v>5.4835000000000012</v>
      </c>
      <c r="N60" s="225">
        <v>0</v>
      </c>
      <c r="O60" s="226">
        <v>0</v>
      </c>
      <c r="P60" s="226">
        <v>0</v>
      </c>
      <c r="Q60" s="226">
        <v>0</v>
      </c>
      <c r="R60" s="226">
        <v>0</v>
      </c>
      <c r="S60" s="226">
        <v>3.2850999999999999</v>
      </c>
      <c r="T60" s="227">
        <v>3.2851393876953505</v>
      </c>
      <c r="V60" s="225">
        <v>0</v>
      </c>
      <c r="W60" s="226">
        <v>0</v>
      </c>
      <c r="X60" s="226">
        <v>0</v>
      </c>
      <c r="Y60" s="226">
        <v>0</v>
      </c>
      <c r="Z60" s="226">
        <v>0</v>
      </c>
      <c r="AA60" s="226">
        <v>3.2850999999999999</v>
      </c>
      <c r="AB60" s="227">
        <v>3.2851393876953505</v>
      </c>
    </row>
    <row r="61" spans="2:28" ht="12.75" customHeight="1">
      <c r="C61" s="51"/>
      <c r="D61" s="217" t="s">
        <v>140</v>
      </c>
      <c r="E61" s="248" t="s">
        <v>149</v>
      </c>
      <c r="F61" s="225">
        <v>0</v>
      </c>
      <c r="G61" s="226">
        <v>0</v>
      </c>
      <c r="H61" s="226">
        <v>0</v>
      </c>
      <c r="I61" s="226">
        <v>0</v>
      </c>
      <c r="J61" s="226">
        <v>0</v>
      </c>
      <c r="K61" s="226">
        <v>5.1062000000000012</v>
      </c>
      <c r="L61" s="227">
        <v>4.4671000000000003</v>
      </c>
      <c r="N61" s="225">
        <v>0</v>
      </c>
      <c r="O61" s="226">
        <v>0</v>
      </c>
      <c r="P61" s="226">
        <v>0</v>
      </c>
      <c r="Q61" s="226">
        <v>0</v>
      </c>
      <c r="R61" s="226">
        <v>0</v>
      </c>
      <c r="S61" s="226">
        <v>3.2850999999999999</v>
      </c>
      <c r="T61" s="227">
        <v>3.2851393876953505</v>
      </c>
      <c r="V61" s="225">
        <v>0</v>
      </c>
      <c r="W61" s="226">
        <v>0</v>
      </c>
      <c r="X61" s="226">
        <v>0</v>
      </c>
      <c r="Y61" s="226">
        <v>0</v>
      </c>
      <c r="Z61" s="226">
        <v>0</v>
      </c>
      <c r="AA61" s="226">
        <v>3.2850999999999999</v>
      </c>
      <c r="AB61" s="227">
        <v>3.2851393876953505</v>
      </c>
    </row>
    <row r="62" spans="2:28" ht="12.75" customHeight="1">
      <c r="C62" s="51"/>
      <c r="D62" s="217" t="s">
        <v>141</v>
      </c>
      <c r="E62" s="248" t="s">
        <v>149</v>
      </c>
      <c r="F62" s="225">
        <v>0</v>
      </c>
      <c r="G62" s="226">
        <v>0</v>
      </c>
      <c r="H62" s="226">
        <v>0</v>
      </c>
      <c r="I62" s="226">
        <v>0</v>
      </c>
      <c r="J62" s="226">
        <v>0</v>
      </c>
      <c r="K62" s="226">
        <v>4.2471000000000005</v>
      </c>
      <c r="L62" s="227">
        <v>3.8115000000000001</v>
      </c>
      <c r="N62" s="225">
        <v>0</v>
      </c>
      <c r="O62" s="226">
        <v>0</v>
      </c>
      <c r="P62" s="226">
        <v>0</v>
      </c>
      <c r="Q62" s="226">
        <v>0</v>
      </c>
      <c r="R62" s="226">
        <v>0</v>
      </c>
      <c r="S62" s="226">
        <v>3.2850999999999999</v>
      </c>
      <c r="T62" s="227">
        <v>3.2851393876953505</v>
      </c>
      <c r="V62" s="225">
        <v>0</v>
      </c>
      <c r="W62" s="226">
        <v>0</v>
      </c>
      <c r="X62" s="226">
        <v>0</v>
      </c>
      <c r="Y62" s="226">
        <v>0</v>
      </c>
      <c r="Z62" s="226">
        <v>0</v>
      </c>
      <c r="AA62" s="226">
        <v>3.2850999999999999</v>
      </c>
      <c r="AB62" s="227">
        <v>3.2851393876953505</v>
      </c>
    </row>
    <row r="63" spans="2:28" ht="12.75" customHeight="1">
      <c r="C63" s="51"/>
      <c r="D63" s="217" t="s">
        <v>142</v>
      </c>
      <c r="E63" s="248" t="s">
        <v>149</v>
      </c>
      <c r="F63" s="225">
        <v>0</v>
      </c>
      <c r="G63" s="226">
        <v>0</v>
      </c>
      <c r="H63" s="226">
        <v>0</v>
      </c>
      <c r="I63" s="226">
        <v>0</v>
      </c>
      <c r="J63" s="226">
        <v>0</v>
      </c>
      <c r="K63" s="226">
        <v>3.8698000000000001</v>
      </c>
      <c r="L63" s="227">
        <v>3.6289000000000002</v>
      </c>
      <c r="N63" s="225">
        <v>0</v>
      </c>
      <c r="O63" s="226">
        <v>0</v>
      </c>
      <c r="P63" s="226">
        <v>0</v>
      </c>
      <c r="Q63" s="226">
        <v>0</v>
      </c>
      <c r="R63" s="226">
        <v>0</v>
      </c>
      <c r="S63" s="226">
        <v>3.2850999999999999</v>
      </c>
      <c r="T63" s="227">
        <v>3.2851393876953505</v>
      </c>
      <c r="V63" s="225">
        <v>0</v>
      </c>
      <c r="W63" s="226">
        <v>0</v>
      </c>
      <c r="X63" s="226">
        <v>0</v>
      </c>
      <c r="Y63" s="226">
        <v>0</v>
      </c>
      <c r="Z63" s="226">
        <v>0</v>
      </c>
      <c r="AA63" s="226">
        <v>3.2850999999999999</v>
      </c>
      <c r="AB63" s="227">
        <v>3.2851393876953505</v>
      </c>
    </row>
    <row r="64" spans="2:28" ht="12.75" customHeight="1">
      <c r="C64" s="58"/>
      <c r="D64" s="27" t="s">
        <v>143</v>
      </c>
      <c r="E64" s="249" t="s">
        <v>149</v>
      </c>
      <c r="F64" s="228">
        <v>0</v>
      </c>
      <c r="G64" s="229">
        <v>0</v>
      </c>
      <c r="H64" s="229">
        <v>0</v>
      </c>
      <c r="I64" s="229">
        <v>0</v>
      </c>
      <c r="J64" s="229">
        <v>0</v>
      </c>
      <c r="K64" s="229">
        <v>2.6543000000000001</v>
      </c>
      <c r="L64" s="230">
        <v>2.7071000000000001</v>
      </c>
      <c r="N64" s="228">
        <v>0</v>
      </c>
      <c r="O64" s="229">
        <v>0</v>
      </c>
      <c r="P64" s="229">
        <v>0</v>
      </c>
      <c r="Q64" s="229">
        <v>0</v>
      </c>
      <c r="R64" s="229">
        <v>0</v>
      </c>
      <c r="S64" s="229">
        <v>3.2850999999999999</v>
      </c>
      <c r="T64" s="230">
        <v>3.2851393876953505</v>
      </c>
      <c r="V64" s="228">
        <v>0</v>
      </c>
      <c r="W64" s="229">
        <v>0</v>
      </c>
      <c r="X64" s="229">
        <v>0</v>
      </c>
      <c r="Y64" s="229">
        <v>0</v>
      </c>
      <c r="Z64" s="229">
        <v>0</v>
      </c>
      <c r="AA64" s="229">
        <v>3.2850999999999999</v>
      </c>
      <c r="AB64" s="230">
        <v>3.2851393876953505</v>
      </c>
    </row>
    <row r="65" spans="3:28" ht="12.75" customHeight="1">
      <c r="C65" s="195" t="s">
        <v>144</v>
      </c>
      <c r="D65" s="49"/>
      <c r="E65" s="247"/>
      <c r="F65" s="48"/>
      <c r="G65" s="49"/>
      <c r="H65" s="49"/>
      <c r="I65" s="49"/>
      <c r="J65" s="49"/>
      <c r="K65" s="49"/>
      <c r="L65" s="50"/>
      <c r="N65" s="48"/>
      <c r="O65" s="49"/>
      <c r="P65" s="49"/>
      <c r="Q65" s="49"/>
      <c r="R65" s="49"/>
      <c r="S65" s="49"/>
      <c r="T65" s="50"/>
      <c r="V65" s="48"/>
      <c r="W65" s="49"/>
      <c r="X65" s="49"/>
      <c r="Y65" s="49"/>
      <c r="Z65" s="49"/>
      <c r="AA65" s="49"/>
      <c r="AB65" s="50"/>
    </row>
    <row r="66" spans="3:28" ht="12.75" customHeight="1">
      <c r="C66" s="51"/>
      <c r="D66" s="217" t="s">
        <v>139</v>
      </c>
      <c r="E66" s="248" t="s">
        <v>149</v>
      </c>
      <c r="F66" s="225">
        <v>0</v>
      </c>
      <c r="G66" s="226">
        <v>0</v>
      </c>
      <c r="H66" s="226">
        <v>0</v>
      </c>
      <c r="I66" s="226">
        <v>0</v>
      </c>
      <c r="J66" s="226">
        <v>0</v>
      </c>
      <c r="K66" s="226">
        <v>5.4263000000000003</v>
      </c>
      <c r="L66" s="227">
        <v>4.9115000000000002</v>
      </c>
      <c r="N66" s="225">
        <v>0</v>
      </c>
      <c r="O66" s="226">
        <v>0</v>
      </c>
      <c r="P66" s="226">
        <v>0</v>
      </c>
      <c r="Q66" s="226">
        <v>0</v>
      </c>
      <c r="R66" s="226">
        <v>0</v>
      </c>
      <c r="S66" s="226">
        <v>3.2850999999999999</v>
      </c>
      <c r="T66" s="227">
        <v>3.2850999999999999</v>
      </c>
      <c r="V66" s="225">
        <v>0</v>
      </c>
      <c r="W66" s="226">
        <v>0</v>
      </c>
      <c r="X66" s="226">
        <v>0</v>
      </c>
      <c r="Y66" s="226">
        <v>0</v>
      </c>
      <c r="Z66" s="226">
        <v>0</v>
      </c>
      <c r="AA66" s="226">
        <v>3.2850999999999999</v>
      </c>
      <c r="AB66" s="227">
        <v>3.2850999999999999</v>
      </c>
    </row>
    <row r="67" spans="3:28" ht="12.75" customHeight="1">
      <c r="C67" s="51"/>
      <c r="D67" s="217" t="s">
        <v>140</v>
      </c>
      <c r="E67" s="248" t="s">
        <v>149</v>
      </c>
      <c r="F67" s="225">
        <v>0</v>
      </c>
      <c r="G67" s="226">
        <v>0</v>
      </c>
      <c r="H67" s="226">
        <v>0</v>
      </c>
      <c r="I67" s="226">
        <v>0</v>
      </c>
      <c r="J67" s="226">
        <v>0</v>
      </c>
      <c r="K67" s="226">
        <v>4.3934000000000006</v>
      </c>
      <c r="L67" s="227">
        <v>3.8621000000000003</v>
      </c>
      <c r="N67" s="225">
        <v>0</v>
      </c>
      <c r="O67" s="226">
        <v>0</v>
      </c>
      <c r="P67" s="226">
        <v>0</v>
      </c>
      <c r="Q67" s="226">
        <v>0</v>
      </c>
      <c r="R67" s="226">
        <v>0</v>
      </c>
      <c r="S67" s="226">
        <v>3.2850999999999999</v>
      </c>
      <c r="T67" s="227">
        <v>3.2850999999999999</v>
      </c>
      <c r="V67" s="225">
        <v>0</v>
      </c>
      <c r="W67" s="226">
        <v>0</v>
      </c>
      <c r="X67" s="226">
        <v>0</v>
      </c>
      <c r="Y67" s="226">
        <v>0</v>
      </c>
      <c r="Z67" s="226">
        <v>0</v>
      </c>
      <c r="AA67" s="226">
        <v>3.2850999999999999</v>
      </c>
      <c r="AB67" s="227">
        <v>3.2850999999999999</v>
      </c>
    </row>
    <row r="68" spans="3:28" ht="12.75" customHeight="1">
      <c r="C68" s="51"/>
      <c r="D68" s="217" t="s">
        <v>141</v>
      </c>
      <c r="E68" s="248" t="s">
        <v>149</v>
      </c>
      <c r="F68" s="225">
        <v>0</v>
      </c>
      <c r="G68" s="226">
        <v>0</v>
      </c>
      <c r="H68" s="226">
        <v>0</v>
      </c>
      <c r="I68" s="226">
        <v>0</v>
      </c>
      <c r="J68" s="226">
        <v>0</v>
      </c>
      <c r="K68" s="226">
        <v>3.6410000000000005</v>
      </c>
      <c r="L68" s="227">
        <v>3.3297000000000003</v>
      </c>
      <c r="N68" s="225">
        <v>0</v>
      </c>
      <c r="O68" s="226">
        <v>0</v>
      </c>
      <c r="P68" s="226">
        <v>0</v>
      </c>
      <c r="Q68" s="226">
        <v>0</v>
      </c>
      <c r="R68" s="226">
        <v>0</v>
      </c>
      <c r="S68" s="226">
        <v>3.2850999999999999</v>
      </c>
      <c r="T68" s="227">
        <v>3.2850999999999999</v>
      </c>
      <c r="V68" s="225">
        <v>0</v>
      </c>
      <c r="W68" s="226">
        <v>0</v>
      </c>
      <c r="X68" s="226">
        <v>0</v>
      </c>
      <c r="Y68" s="226">
        <v>0</v>
      </c>
      <c r="Z68" s="226">
        <v>0</v>
      </c>
      <c r="AA68" s="226">
        <v>3.2850999999999999</v>
      </c>
      <c r="AB68" s="227">
        <v>3.2850999999999999</v>
      </c>
    </row>
    <row r="69" spans="3:28" ht="12.75" customHeight="1">
      <c r="C69" s="51"/>
      <c r="D69" s="217" t="s">
        <v>142</v>
      </c>
      <c r="E69" s="248" t="s">
        <v>149</v>
      </c>
      <c r="F69" s="225">
        <v>0</v>
      </c>
      <c r="G69" s="226">
        <v>0</v>
      </c>
      <c r="H69" s="226">
        <v>0</v>
      </c>
      <c r="I69" s="226">
        <v>0</v>
      </c>
      <c r="J69" s="226">
        <v>0</v>
      </c>
      <c r="K69" s="226">
        <v>3.5013000000000001</v>
      </c>
      <c r="L69" s="227">
        <v>3.3297000000000003</v>
      </c>
      <c r="N69" s="225">
        <v>0</v>
      </c>
      <c r="O69" s="226">
        <v>0</v>
      </c>
      <c r="P69" s="226">
        <v>0</v>
      </c>
      <c r="Q69" s="226">
        <v>0</v>
      </c>
      <c r="R69" s="226">
        <v>0</v>
      </c>
      <c r="S69" s="226">
        <v>3.2850999999999999</v>
      </c>
      <c r="T69" s="227">
        <v>3.2850999999999999</v>
      </c>
      <c r="V69" s="225">
        <v>0</v>
      </c>
      <c r="W69" s="226">
        <v>0</v>
      </c>
      <c r="X69" s="226">
        <v>0</v>
      </c>
      <c r="Y69" s="226">
        <v>0</v>
      </c>
      <c r="Z69" s="226">
        <v>0</v>
      </c>
      <c r="AA69" s="226">
        <v>3.2850999999999999</v>
      </c>
      <c r="AB69" s="227">
        <v>3.2850999999999999</v>
      </c>
    </row>
    <row r="70" spans="3:28" ht="12.75" customHeight="1">
      <c r="C70" s="58"/>
      <c r="D70" s="27" t="s">
        <v>143</v>
      </c>
      <c r="E70" s="249" t="s">
        <v>149</v>
      </c>
      <c r="F70" s="228">
        <v>0</v>
      </c>
      <c r="G70" s="229">
        <v>0</v>
      </c>
      <c r="H70" s="229">
        <v>0</v>
      </c>
      <c r="I70" s="229">
        <v>0</v>
      </c>
      <c r="J70" s="229">
        <v>0</v>
      </c>
      <c r="K70" s="229">
        <v>2.0427</v>
      </c>
      <c r="L70" s="230">
        <v>1.9382000000000001</v>
      </c>
      <c r="N70" s="228">
        <v>0</v>
      </c>
      <c r="O70" s="229">
        <v>0</v>
      </c>
      <c r="P70" s="229">
        <v>0</v>
      </c>
      <c r="Q70" s="229">
        <v>0</v>
      </c>
      <c r="R70" s="229">
        <v>0</v>
      </c>
      <c r="S70" s="229">
        <v>3.2850999999999999</v>
      </c>
      <c r="T70" s="230">
        <v>3.2850999999999999</v>
      </c>
      <c r="V70" s="228">
        <v>0</v>
      </c>
      <c r="W70" s="229">
        <v>0</v>
      </c>
      <c r="X70" s="229">
        <v>0</v>
      </c>
      <c r="Y70" s="229">
        <v>0</v>
      </c>
      <c r="Z70" s="229">
        <v>0</v>
      </c>
      <c r="AA70" s="229">
        <v>3.2850999999999999</v>
      </c>
      <c r="AB70" s="230">
        <v>3.2850999999999999</v>
      </c>
    </row>
    <row r="71" spans="3:28" ht="12.75" customHeight="1">
      <c r="C71" s="195" t="s">
        <v>145</v>
      </c>
      <c r="D71" s="49"/>
      <c r="E71" s="247"/>
      <c r="F71" s="48"/>
      <c r="G71" s="49"/>
      <c r="H71" s="49"/>
      <c r="I71" s="49"/>
      <c r="J71" s="49"/>
      <c r="K71" s="49"/>
      <c r="L71" s="50"/>
      <c r="N71" s="48"/>
      <c r="O71" s="49"/>
      <c r="P71" s="49"/>
      <c r="Q71" s="49"/>
      <c r="R71" s="49"/>
      <c r="S71" s="49"/>
      <c r="T71" s="50"/>
      <c r="V71" s="48"/>
      <c r="W71" s="49"/>
      <c r="X71" s="49"/>
      <c r="Y71" s="49"/>
      <c r="Z71" s="49"/>
      <c r="AA71" s="49"/>
      <c r="AB71" s="50"/>
    </row>
    <row r="72" spans="3:28" ht="12.75" customHeight="1">
      <c r="C72" s="51"/>
      <c r="D72" s="217" t="s">
        <v>139</v>
      </c>
      <c r="E72" s="248" t="s">
        <v>151</v>
      </c>
      <c r="F72" s="225">
        <v>0</v>
      </c>
      <c r="G72" s="226">
        <v>0</v>
      </c>
      <c r="H72" s="226">
        <v>0</v>
      </c>
      <c r="I72" s="226">
        <v>0</v>
      </c>
      <c r="J72" s="226">
        <v>0</v>
      </c>
      <c r="K72" s="226">
        <v>9.3104000000000013</v>
      </c>
      <c r="L72" s="227">
        <v>9.3104000000000013</v>
      </c>
      <c r="N72" s="225">
        <v>0</v>
      </c>
      <c r="O72" s="226">
        <v>0</v>
      </c>
      <c r="P72" s="226">
        <v>0</v>
      </c>
      <c r="Q72" s="226">
        <v>0</v>
      </c>
      <c r="R72" s="226">
        <v>0</v>
      </c>
      <c r="S72" s="226">
        <v>8.2579999999999991</v>
      </c>
      <c r="T72" s="227">
        <v>7.1561833650559903</v>
      </c>
      <c r="V72" s="225">
        <v>0</v>
      </c>
      <c r="W72" s="226">
        <v>0</v>
      </c>
      <c r="X72" s="226">
        <v>0</v>
      </c>
      <c r="Y72" s="226">
        <v>0</v>
      </c>
      <c r="Z72" s="226">
        <v>0</v>
      </c>
      <c r="AA72" s="226">
        <v>8.2579999999999991</v>
      </c>
      <c r="AB72" s="227">
        <v>7.1561833650559903</v>
      </c>
    </row>
    <row r="73" spans="3:28" ht="12.75" customHeight="1">
      <c r="C73" s="51"/>
      <c r="D73" s="217" t="s">
        <v>140</v>
      </c>
      <c r="E73" s="248" t="s">
        <v>151</v>
      </c>
      <c r="F73" s="225">
        <v>0</v>
      </c>
      <c r="G73" s="226">
        <v>0</v>
      </c>
      <c r="H73" s="226">
        <v>0</v>
      </c>
      <c r="I73" s="226">
        <v>0</v>
      </c>
      <c r="J73" s="226">
        <v>0</v>
      </c>
      <c r="K73" s="226">
        <v>9.3104000000000013</v>
      </c>
      <c r="L73" s="227">
        <v>9.3104000000000013</v>
      </c>
      <c r="N73" s="225">
        <v>0</v>
      </c>
      <c r="O73" s="226">
        <v>0</v>
      </c>
      <c r="P73" s="226">
        <v>0</v>
      </c>
      <c r="Q73" s="226">
        <v>0</v>
      </c>
      <c r="R73" s="226">
        <v>0</v>
      </c>
      <c r="S73" s="226">
        <v>8.2579999999999991</v>
      </c>
      <c r="T73" s="227">
        <v>7.1561833650559938</v>
      </c>
      <c r="V73" s="225">
        <v>0</v>
      </c>
      <c r="W73" s="226">
        <v>0</v>
      </c>
      <c r="X73" s="226">
        <v>0</v>
      </c>
      <c r="Y73" s="226">
        <v>0</v>
      </c>
      <c r="Z73" s="226">
        <v>0</v>
      </c>
      <c r="AA73" s="226">
        <v>8.2579999999999991</v>
      </c>
      <c r="AB73" s="227">
        <v>7.1561833650559938</v>
      </c>
    </row>
    <row r="74" spans="3:28" ht="12.75" customHeight="1">
      <c r="C74" s="51"/>
      <c r="D74" s="217" t="s">
        <v>141</v>
      </c>
      <c r="E74" s="248" t="s">
        <v>151</v>
      </c>
      <c r="F74" s="225">
        <v>0</v>
      </c>
      <c r="G74" s="226">
        <v>0</v>
      </c>
      <c r="H74" s="226">
        <v>0</v>
      </c>
      <c r="I74" s="226">
        <v>0</v>
      </c>
      <c r="J74" s="226">
        <v>0</v>
      </c>
      <c r="K74" s="226">
        <v>8.3468</v>
      </c>
      <c r="L74" s="227">
        <v>8.3765000000000001</v>
      </c>
      <c r="N74" s="225">
        <v>0</v>
      </c>
      <c r="O74" s="226">
        <v>0</v>
      </c>
      <c r="P74" s="226">
        <v>0</v>
      </c>
      <c r="Q74" s="226">
        <v>0</v>
      </c>
      <c r="R74" s="226">
        <v>0</v>
      </c>
      <c r="S74" s="226">
        <v>8.2579999999999991</v>
      </c>
      <c r="T74" s="227">
        <v>7.1561833650559938</v>
      </c>
      <c r="V74" s="225">
        <v>0</v>
      </c>
      <c r="W74" s="226">
        <v>0</v>
      </c>
      <c r="X74" s="226">
        <v>0</v>
      </c>
      <c r="Y74" s="226">
        <v>0</v>
      </c>
      <c r="Z74" s="226">
        <v>0</v>
      </c>
      <c r="AA74" s="226">
        <v>8.2579999999999991</v>
      </c>
      <c r="AB74" s="227">
        <v>7.1561833650559938</v>
      </c>
    </row>
    <row r="75" spans="3:28" ht="12.75" customHeight="1">
      <c r="C75" s="51"/>
      <c r="D75" s="217" t="s">
        <v>142</v>
      </c>
      <c r="E75" s="248" t="s">
        <v>151</v>
      </c>
      <c r="F75" s="225">
        <v>0</v>
      </c>
      <c r="G75" s="226">
        <v>0</v>
      </c>
      <c r="H75" s="226">
        <v>0</v>
      </c>
      <c r="I75" s="226">
        <v>0</v>
      </c>
      <c r="J75" s="226">
        <v>0</v>
      </c>
      <c r="K75" s="226">
        <v>7.1357000000000008</v>
      </c>
      <c r="L75" s="227">
        <v>7.1610000000000005</v>
      </c>
      <c r="N75" s="225">
        <v>0</v>
      </c>
      <c r="O75" s="226">
        <v>0</v>
      </c>
      <c r="P75" s="226">
        <v>0</v>
      </c>
      <c r="Q75" s="226">
        <v>0</v>
      </c>
      <c r="R75" s="226">
        <v>0</v>
      </c>
      <c r="S75" s="226">
        <v>8.2579999999999991</v>
      </c>
      <c r="T75" s="227">
        <v>7.1561833650559938</v>
      </c>
      <c r="V75" s="225">
        <v>0</v>
      </c>
      <c r="W75" s="226">
        <v>0</v>
      </c>
      <c r="X75" s="226">
        <v>0</v>
      </c>
      <c r="Y75" s="226">
        <v>0</v>
      </c>
      <c r="Z75" s="226">
        <v>0</v>
      </c>
      <c r="AA75" s="226">
        <v>8.2579999999999991</v>
      </c>
      <c r="AB75" s="227">
        <v>7.1561833650559938</v>
      </c>
    </row>
    <row r="76" spans="3:28" ht="12.75" customHeight="1">
      <c r="C76" s="58"/>
      <c r="D76" s="27" t="s">
        <v>143</v>
      </c>
      <c r="E76" s="249" t="s">
        <v>151</v>
      </c>
      <c r="F76" s="228">
        <v>0</v>
      </c>
      <c r="G76" s="229">
        <v>0</v>
      </c>
      <c r="H76" s="229">
        <v>0</v>
      </c>
      <c r="I76" s="229">
        <v>0</v>
      </c>
      <c r="J76" s="229">
        <v>0</v>
      </c>
      <c r="K76" s="229">
        <v>6.4295</v>
      </c>
      <c r="L76" s="230">
        <v>6.4240000000000004</v>
      </c>
      <c r="N76" s="228">
        <v>0</v>
      </c>
      <c r="O76" s="229">
        <v>0</v>
      </c>
      <c r="P76" s="229">
        <v>0</v>
      </c>
      <c r="Q76" s="229">
        <v>0</v>
      </c>
      <c r="R76" s="229">
        <v>0</v>
      </c>
      <c r="S76" s="229">
        <v>8.2579999999999991</v>
      </c>
      <c r="T76" s="230">
        <v>7.1561833650559938</v>
      </c>
      <c r="V76" s="228">
        <v>0</v>
      </c>
      <c r="W76" s="229">
        <v>0</v>
      </c>
      <c r="X76" s="229">
        <v>0</v>
      </c>
      <c r="Y76" s="229">
        <v>0</v>
      </c>
      <c r="Z76" s="229">
        <v>0</v>
      </c>
      <c r="AA76" s="229">
        <v>8.2579999999999991</v>
      </c>
      <c r="AB76" s="230">
        <v>7.1561833650559938</v>
      </c>
    </row>
    <row r="77" spans="3:28" ht="12.75" customHeight="1">
      <c r="C77" s="195" t="s">
        <v>146</v>
      </c>
      <c r="D77" s="49"/>
      <c r="E77" s="247"/>
      <c r="F77" s="48"/>
      <c r="G77" s="49"/>
      <c r="H77" s="49"/>
      <c r="I77" s="49"/>
      <c r="J77" s="49"/>
      <c r="K77" s="49"/>
      <c r="L77" s="50"/>
      <c r="N77" s="48"/>
      <c r="O77" s="49"/>
      <c r="P77" s="49"/>
      <c r="Q77" s="49"/>
      <c r="R77" s="49"/>
      <c r="S77" s="49"/>
      <c r="T77" s="50"/>
      <c r="V77" s="48"/>
      <c r="W77" s="49"/>
      <c r="X77" s="49"/>
      <c r="Y77" s="49"/>
      <c r="Z77" s="49"/>
      <c r="AA77" s="49"/>
      <c r="AB77" s="50"/>
    </row>
    <row r="78" spans="3:28" ht="12.75" customHeight="1">
      <c r="C78" s="51"/>
      <c r="D78" s="217" t="s">
        <v>139</v>
      </c>
      <c r="E78" s="248" t="s">
        <v>151</v>
      </c>
      <c r="F78" s="225">
        <v>0</v>
      </c>
      <c r="G78" s="226">
        <v>0</v>
      </c>
      <c r="H78" s="226">
        <v>0</v>
      </c>
      <c r="I78" s="226">
        <v>0</v>
      </c>
      <c r="J78" s="226">
        <v>0</v>
      </c>
      <c r="K78" s="226">
        <v>2.2495000000000003</v>
      </c>
      <c r="L78" s="227">
        <v>2.2495000000000003</v>
      </c>
      <c r="N78" s="225">
        <v>0</v>
      </c>
      <c r="O78" s="226">
        <v>0</v>
      </c>
      <c r="P78" s="226">
        <v>0</v>
      </c>
      <c r="Q78" s="226">
        <v>0</v>
      </c>
      <c r="R78" s="226">
        <v>0</v>
      </c>
      <c r="S78" s="226">
        <v>0</v>
      </c>
      <c r="T78" s="227">
        <v>0</v>
      </c>
      <c r="V78" s="225">
        <v>0</v>
      </c>
      <c r="W78" s="226">
        <v>0</v>
      </c>
      <c r="X78" s="226">
        <v>0</v>
      </c>
      <c r="Y78" s="226">
        <v>0</v>
      </c>
      <c r="Z78" s="226">
        <v>0</v>
      </c>
      <c r="AA78" s="226">
        <v>0</v>
      </c>
      <c r="AB78" s="227">
        <v>0</v>
      </c>
    </row>
    <row r="79" spans="3:28" ht="12.75" customHeight="1">
      <c r="C79" s="51"/>
      <c r="D79" s="217" t="s">
        <v>140</v>
      </c>
      <c r="E79" s="248" t="s">
        <v>151</v>
      </c>
      <c r="F79" s="225">
        <v>0</v>
      </c>
      <c r="G79" s="226">
        <v>0</v>
      </c>
      <c r="H79" s="226">
        <v>0</v>
      </c>
      <c r="I79" s="226">
        <v>0</v>
      </c>
      <c r="J79" s="226">
        <v>0</v>
      </c>
      <c r="K79" s="226">
        <v>2.2495000000000003</v>
      </c>
      <c r="L79" s="227">
        <v>2.2495000000000003</v>
      </c>
      <c r="N79" s="225">
        <v>0</v>
      </c>
      <c r="O79" s="226">
        <v>0</v>
      </c>
      <c r="P79" s="226">
        <v>0</v>
      </c>
      <c r="Q79" s="226">
        <v>0</v>
      </c>
      <c r="R79" s="226">
        <v>0</v>
      </c>
      <c r="S79" s="226">
        <v>0</v>
      </c>
      <c r="T79" s="227">
        <v>0</v>
      </c>
      <c r="V79" s="225">
        <v>0</v>
      </c>
      <c r="W79" s="226">
        <v>0</v>
      </c>
      <c r="X79" s="226">
        <v>0</v>
      </c>
      <c r="Y79" s="226">
        <v>0</v>
      </c>
      <c r="Z79" s="226">
        <v>0</v>
      </c>
      <c r="AA79" s="226">
        <v>0</v>
      </c>
      <c r="AB79" s="227">
        <v>0</v>
      </c>
    </row>
    <row r="80" spans="3:28" ht="12.75" customHeight="1">
      <c r="C80" s="51"/>
      <c r="D80" s="217" t="s">
        <v>141</v>
      </c>
      <c r="E80" s="248" t="s">
        <v>151</v>
      </c>
      <c r="F80" s="225">
        <v>0</v>
      </c>
      <c r="G80" s="226">
        <v>0</v>
      </c>
      <c r="H80" s="226">
        <v>0</v>
      </c>
      <c r="I80" s="226">
        <v>0</v>
      </c>
      <c r="J80" s="226">
        <v>0</v>
      </c>
      <c r="K80" s="226">
        <v>1.9316000000000002</v>
      </c>
      <c r="L80" s="227">
        <v>1.9283000000000001</v>
      </c>
      <c r="N80" s="225">
        <v>0</v>
      </c>
      <c r="O80" s="226">
        <v>0</v>
      </c>
      <c r="P80" s="226">
        <v>0</v>
      </c>
      <c r="Q80" s="226">
        <v>0</v>
      </c>
      <c r="R80" s="226">
        <v>0</v>
      </c>
      <c r="S80" s="226">
        <v>0</v>
      </c>
      <c r="T80" s="227">
        <v>0</v>
      </c>
      <c r="V80" s="225">
        <v>0</v>
      </c>
      <c r="W80" s="226">
        <v>0</v>
      </c>
      <c r="X80" s="226">
        <v>0</v>
      </c>
      <c r="Y80" s="226">
        <v>0</v>
      </c>
      <c r="Z80" s="226">
        <v>0</v>
      </c>
      <c r="AA80" s="226">
        <v>0</v>
      </c>
      <c r="AB80" s="227">
        <v>0</v>
      </c>
    </row>
    <row r="81" spans="2:34" ht="12.75" customHeight="1">
      <c r="C81" s="51"/>
      <c r="D81" s="217" t="s">
        <v>142</v>
      </c>
      <c r="E81" s="248" t="s">
        <v>151</v>
      </c>
      <c r="F81" s="225">
        <v>0</v>
      </c>
      <c r="G81" s="226">
        <v>0</v>
      </c>
      <c r="H81" s="226">
        <v>0</v>
      </c>
      <c r="I81" s="226">
        <v>0</v>
      </c>
      <c r="J81" s="226">
        <v>0</v>
      </c>
      <c r="K81" s="226">
        <v>1.9316000000000002</v>
      </c>
      <c r="L81" s="227">
        <v>1.9283000000000001</v>
      </c>
      <c r="N81" s="225">
        <v>0</v>
      </c>
      <c r="O81" s="226">
        <v>0</v>
      </c>
      <c r="P81" s="226">
        <v>0</v>
      </c>
      <c r="Q81" s="226">
        <v>0</v>
      </c>
      <c r="R81" s="226">
        <v>0</v>
      </c>
      <c r="S81" s="226">
        <v>0</v>
      </c>
      <c r="T81" s="227">
        <v>0</v>
      </c>
      <c r="V81" s="225">
        <v>0</v>
      </c>
      <c r="W81" s="226">
        <v>0</v>
      </c>
      <c r="X81" s="226">
        <v>0</v>
      </c>
      <c r="Y81" s="226">
        <v>0</v>
      </c>
      <c r="Z81" s="226">
        <v>0</v>
      </c>
      <c r="AA81" s="226">
        <v>0</v>
      </c>
      <c r="AB81" s="227">
        <v>0</v>
      </c>
    </row>
    <row r="82" spans="2:34" ht="12.75" customHeight="1">
      <c r="C82" s="58"/>
      <c r="D82" s="27" t="s">
        <v>143</v>
      </c>
      <c r="E82" s="249" t="s">
        <v>151</v>
      </c>
      <c r="F82" s="228">
        <v>0</v>
      </c>
      <c r="G82" s="229">
        <v>0</v>
      </c>
      <c r="H82" s="229">
        <v>0</v>
      </c>
      <c r="I82" s="229">
        <v>0</v>
      </c>
      <c r="J82" s="229">
        <v>0</v>
      </c>
      <c r="K82" s="229">
        <v>1.9316000000000002</v>
      </c>
      <c r="L82" s="230">
        <v>1.9283000000000001</v>
      </c>
      <c r="N82" s="228">
        <v>0</v>
      </c>
      <c r="O82" s="229">
        <v>0</v>
      </c>
      <c r="P82" s="229">
        <v>0</v>
      </c>
      <c r="Q82" s="229">
        <v>0</v>
      </c>
      <c r="R82" s="229">
        <v>0</v>
      </c>
      <c r="S82" s="229">
        <v>0</v>
      </c>
      <c r="T82" s="230">
        <v>0</v>
      </c>
      <c r="V82" s="228">
        <v>0</v>
      </c>
      <c r="W82" s="229">
        <v>0</v>
      </c>
      <c r="X82" s="229">
        <v>0</v>
      </c>
      <c r="Y82" s="229">
        <v>0</v>
      </c>
      <c r="Z82" s="229">
        <v>0</v>
      </c>
      <c r="AA82" s="229">
        <v>0</v>
      </c>
      <c r="AB82" s="230">
        <v>0</v>
      </c>
    </row>
    <row r="84" spans="2:34" s="7" customFormat="1" ht="15.6">
      <c r="B84" s="7" t="s">
        <v>316</v>
      </c>
    </row>
    <row r="86" spans="2:34" ht="12.75" customHeight="1">
      <c r="F86" s="113" t="s">
        <v>490</v>
      </c>
      <c r="G86" s="113" t="s">
        <v>498</v>
      </c>
      <c r="H86" s="113" t="s">
        <v>154</v>
      </c>
      <c r="I86" s="113" t="s">
        <v>155</v>
      </c>
      <c r="J86" s="113" t="s">
        <v>156</v>
      </c>
      <c r="K86" s="113" t="s">
        <v>314</v>
      </c>
      <c r="L86" s="113" t="s">
        <v>181</v>
      </c>
      <c r="N86" s="113" t="s">
        <v>490</v>
      </c>
      <c r="O86" s="113" t="s">
        <v>498</v>
      </c>
      <c r="P86" s="113" t="s">
        <v>154</v>
      </c>
      <c r="Q86" s="113" t="s">
        <v>155</v>
      </c>
      <c r="R86" s="113" t="s">
        <v>156</v>
      </c>
      <c r="S86" s="113" t="s">
        <v>314</v>
      </c>
      <c r="T86" s="113" t="s">
        <v>181</v>
      </c>
      <c r="V86" s="113" t="s">
        <v>490</v>
      </c>
      <c r="W86" s="113" t="s">
        <v>498</v>
      </c>
      <c r="X86" s="113" t="s">
        <v>154</v>
      </c>
      <c r="Y86" s="113" t="s">
        <v>155</v>
      </c>
      <c r="Z86" s="113" t="s">
        <v>156</v>
      </c>
      <c r="AA86" s="113" t="s">
        <v>314</v>
      </c>
      <c r="AB86" s="113" t="s">
        <v>181</v>
      </c>
      <c r="AC86" s="392"/>
      <c r="AD86" s="407"/>
      <c r="AE86" s="407"/>
      <c r="AF86" s="407"/>
      <c r="AG86" s="407"/>
      <c r="AH86" s="407"/>
    </row>
    <row r="87" spans="2:34" ht="12.75" customHeight="1">
      <c r="C87" s="215" t="s">
        <v>292</v>
      </c>
      <c r="D87" s="49"/>
      <c r="E87" s="250" t="s">
        <v>318</v>
      </c>
      <c r="F87" s="206">
        <v>0</v>
      </c>
      <c r="G87" s="207">
        <v>0</v>
      </c>
      <c r="H87" s="207">
        <v>0</v>
      </c>
      <c r="I87" s="207">
        <v>0</v>
      </c>
      <c r="J87" s="207">
        <v>1652.2333333333336</v>
      </c>
      <c r="K87" s="207">
        <v>0</v>
      </c>
      <c r="L87" s="208">
        <v>0</v>
      </c>
      <c r="N87" s="206">
        <v>0</v>
      </c>
      <c r="O87" s="207">
        <v>0</v>
      </c>
      <c r="P87" s="207">
        <v>0</v>
      </c>
      <c r="Q87" s="207">
        <v>0</v>
      </c>
      <c r="R87" s="207">
        <v>1279.1243546130404</v>
      </c>
      <c r="S87" s="207">
        <v>0</v>
      </c>
      <c r="T87" s="208">
        <v>0</v>
      </c>
      <c r="V87" s="206">
        <v>0</v>
      </c>
      <c r="W87" s="207">
        <v>0</v>
      </c>
      <c r="X87" s="207">
        <v>0</v>
      </c>
      <c r="Y87" s="207">
        <v>0</v>
      </c>
      <c r="Z87" s="207">
        <v>1289.7009025595196</v>
      </c>
      <c r="AA87" s="207">
        <v>0</v>
      </c>
      <c r="AB87" s="208">
        <v>0</v>
      </c>
      <c r="AC87" s="390"/>
      <c r="AD87" s="408"/>
      <c r="AE87" s="408"/>
      <c r="AF87" s="408"/>
      <c r="AG87" s="408"/>
      <c r="AH87" s="408"/>
    </row>
    <row r="88" spans="2:34" ht="12.75" customHeight="1">
      <c r="C88" s="216" t="s">
        <v>293</v>
      </c>
      <c r="D88" s="52"/>
      <c r="E88" s="251" t="s">
        <v>318</v>
      </c>
      <c r="F88" s="209">
        <v>11517.071966125</v>
      </c>
      <c r="G88" s="210">
        <v>2946.2550936166667</v>
      </c>
      <c r="H88" s="210">
        <v>0</v>
      </c>
      <c r="I88" s="210">
        <v>0</v>
      </c>
      <c r="J88" s="210">
        <v>3077.3302083333556</v>
      </c>
      <c r="K88" s="210">
        <v>0</v>
      </c>
      <c r="L88" s="211">
        <v>20.146986027683933</v>
      </c>
      <c r="N88" s="209">
        <v>16681.116514563066</v>
      </c>
      <c r="O88" s="210">
        <v>5051.9532216555035</v>
      </c>
      <c r="P88" s="210">
        <v>0</v>
      </c>
      <c r="Q88" s="210">
        <v>0</v>
      </c>
      <c r="R88" s="210">
        <v>3090.1484466316792</v>
      </c>
      <c r="S88" s="210">
        <v>0</v>
      </c>
      <c r="T88" s="211">
        <v>15.812845289593321</v>
      </c>
      <c r="V88" s="209">
        <v>16761.419709906069</v>
      </c>
      <c r="W88" s="210">
        <v>5097.6324086531595</v>
      </c>
      <c r="X88" s="210">
        <v>0</v>
      </c>
      <c r="Y88" s="210">
        <v>0</v>
      </c>
      <c r="Z88" s="210">
        <v>3117.4497133635991</v>
      </c>
      <c r="AA88" s="210">
        <v>0</v>
      </c>
      <c r="AB88" s="211">
        <v>15.972038678928541</v>
      </c>
      <c r="AD88" s="408"/>
      <c r="AE88" s="408"/>
      <c r="AF88" s="408"/>
      <c r="AG88" s="408"/>
      <c r="AH88" s="408"/>
    </row>
    <row r="89" spans="2:34" ht="12.75" customHeight="1">
      <c r="C89" s="216" t="s">
        <v>214</v>
      </c>
      <c r="D89" s="52"/>
      <c r="E89" s="251" t="s">
        <v>318</v>
      </c>
      <c r="F89" s="209">
        <v>72066.386855531571</v>
      </c>
      <c r="G89" s="210">
        <v>17251.257360788921</v>
      </c>
      <c r="H89" s="210">
        <v>923.98482020010829</v>
      </c>
      <c r="I89" s="210">
        <v>111.06988757159982</v>
      </c>
      <c r="J89" s="210">
        <v>0</v>
      </c>
      <c r="K89" s="210">
        <v>0</v>
      </c>
      <c r="L89" s="211">
        <v>0</v>
      </c>
      <c r="N89" s="209">
        <v>65059.925106149531</v>
      </c>
      <c r="O89" s="210">
        <v>17151.632627473125</v>
      </c>
      <c r="P89" s="210">
        <v>923.98482020010829</v>
      </c>
      <c r="Q89" s="210">
        <v>111.06988757159982</v>
      </c>
      <c r="R89" s="210">
        <v>0</v>
      </c>
      <c r="S89" s="210">
        <v>0</v>
      </c>
      <c r="T89" s="211">
        <v>0</v>
      </c>
      <c r="V89" s="209">
        <v>63761.041882165497</v>
      </c>
      <c r="W89" s="210">
        <v>16820.075983691389</v>
      </c>
      <c r="X89" s="210">
        <v>928.60474430110878</v>
      </c>
      <c r="Y89" s="210">
        <v>111.62523700945781</v>
      </c>
      <c r="Z89" s="210">
        <v>0</v>
      </c>
      <c r="AA89" s="210">
        <v>0</v>
      </c>
      <c r="AB89" s="211">
        <v>0</v>
      </c>
      <c r="AD89" s="45"/>
      <c r="AE89" s="45"/>
      <c r="AF89" s="45"/>
      <c r="AG89" s="408"/>
      <c r="AH89" s="408"/>
    </row>
    <row r="90" spans="2:34" s="361" customFormat="1" ht="12.75" customHeight="1">
      <c r="C90" s="400" t="s">
        <v>215</v>
      </c>
      <c r="D90" s="223"/>
      <c r="E90" s="193" t="s">
        <v>318</v>
      </c>
      <c r="F90" s="209">
        <v>0</v>
      </c>
      <c r="G90" s="210">
        <v>0</v>
      </c>
      <c r="H90" s="210">
        <v>0</v>
      </c>
      <c r="I90" s="210">
        <v>0</v>
      </c>
      <c r="J90" s="210">
        <v>12712.091105379999</v>
      </c>
      <c r="K90" s="210">
        <v>0</v>
      </c>
      <c r="L90" s="211">
        <v>180.10357000000002</v>
      </c>
      <c r="N90" s="209">
        <v>0</v>
      </c>
      <c r="O90" s="210">
        <v>0</v>
      </c>
      <c r="P90" s="210">
        <v>0</v>
      </c>
      <c r="Q90" s="210">
        <v>0</v>
      </c>
      <c r="R90" s="210">
        <v>9472.3859560303827</v>
      </c>
      <c r="S90" s="210">
        <v>0</v>
      </c>
      <c r="T90" s="211">
        <v>134.08301250802319</v>
      </c>
      <c r="V90" s="209">
        <v>0</v>
      </c>
      <c r="W90" s="210">
        <v>0</v>
      </c>
      <c r="X90" s="210">
        <v>0</v>
      </c>
      <c r="Y90" s="210">
        <v>0</v>
      </c>
      <c r="Z90" s="210">
        <v>9287.2363273980955</v>
      </c>
      <c r="AA90" s="210">
        <v>0</v>
      </c>
      <c r="AB90" s="211">
        <v>131.29948932920266</v>
      </c>
      <c r="AD90" s="401"/>
    </row>
    <row r="91" spans="2:34" s="361" customFormat="1" ht="12.75" customHeight="1">
      <c r="C91" s="400" t="s">
        <v>296</v>
      </c>
      <c r="D91" s="223"/>
      <c r="E91" s="193" t="s">
        <v>318</v>
      </c>
      <c r="F91" s="209">
        <v>0</v>
      </c>
      <c r="G91" s="210">
        <v>0</v>
      </c>
      <c r="H91" s="210">
        <v>0</v>
      </c>
      <c r="I91" s="210">
        <v>0</v>
      </c>
      <c r="J91" s="210">
        <v>14089.510187820197</v>
      </c>
      <c r="K91" s="210">
        <v>0</v>
      </c>
      <c r="L91" s="211">
        <v>1.1480906835049507</v>
      </c>
      <c r="N91" s="209">
        <v>0</v>
      </c>
      <c r="O91" s="210">
        <v>0</v>
      </c>
      <c r="P91" s="210">
        <v>0</v>
      </c>
      <c r="Q91" s="210">
        <v>0</v>
      </c>
      <c r="R91" s="210">
        <v>13740.057401822769</v>
      </c>
      <c r="S91" s="210">
        <v>0</v>
      </c>
      <c r="T91" s="211">
        <v>0.87340040876022595</v>
      </c>
      <c r="V91" s="209">
        <v>0</v>
      </c>
      <c r="W91" s="210">
        <v>0</v>
      </c>
      <c r="X91" s="210">
        <v>0</v>
      </c>
      <c r="Y91" s="210">
        <v>0</v>
      </c>
      <c r="Z91" s="210">
        <v>13522.080224076703</v>
      </c>
      <c r="AA91" s="210">
        <v>0</v>
      </c>
      <c r="AB91" s="211">
        <v>0.85858644421663832</v>
      </c>
      <c r="AE91" s="402"/>
    </row>
    <row r="92" spans="2:34" s="361" customFormat="1" ht="12.75" customHeight="1">
      <c r="C92" s="400" t="s">
        <v>297</v>
      </c>
      <c r="D92" s="223"/>
      <c r="E92" s="193" t="s">
        <v>318</v>
      </c>
      <c r="F92" s="209">
        <v>0</v>
      </c>
      <c r="G92" s="210">
        <v>0</v>
      </c>
      <c r="H92" s="210">
        <v>0</v>
      </c>
      <c r="I92" s="210">
        <v>0</v>
      </c>
      <c r="J92" s="210">
        <v>0</v>
      </c>
      <c r="K92" s="210">
        <v>0</v>
      </c>
      <c r="L92" s="211">
        <v>0</v>
      </c>
      <c r="N92" s="209">
        <v>0</v>
      </c>
      <c r="O92" s="210">
        <v>0</v>
      </c>
      <c r="P92" s="210">
        <v>0</v>
      </c>
      <c r="Q92" s="210">
        <v>0</v>
      </c>
      <c r="R92" s="210">
        <v>0</v>
      </c>
      <c r="S92" s="210">
        <v>0</v>
      </c>
      <c r="T92" s="211">
        <v>0</v>
      </c>
      <c r="V92" s="209">
        <v>0</v>
      </c>
      <c r="W92" s="210">
        <v>0</v>
      </c>
      <c r="X92" s="210">
        <v>0</v>
      </c>
      <c r="Y92" s="210">
        <v>0</v>
      </c>
      <c r="Z92" s="210">
        <v>0</v>
      </c>
      <c r="AA92" s="210">
        <v>0</v>
      </c>
      <c r="AB92" s="211">
        <v>0</v>
      </c>
      <c r="AD92" s="403"/>
      <c r="AE92" s="403"/>
    </row>
    <row r="93" spans="2:34" s="361" customFormat="1" ht="12.75" customHeight="1">
      <c r="C93" s="362" t="s">
        <v>298</v>
      </c>
      <c r="D93" s="363"/>
      <c r="E93" s="194" t="s">
        <v>318</v>
      </c>
      <c r="F93" s="212">
        <v>0</v>
      </c>
      <c r="G93" s="213">
        <v>0</v>
      </c>
      <c r="H93" s="213">
        <v>0</v>
      </c>
      <c r="I93" s="213">
        <v>0</v>
      </c>
      <c r="J93" s="213">
        <v>0</v>
      </c>
      <c r="K93" s="213">
        <v>0</v>
      </c>
      <c r="L93" s="214">
        <v>0</v>
      </c>
      <c r="N93" s="212">
        <v>0</v>
      </c>
      <c r="O93" s="213">
        <v>0</v>
      </c>
      <c r="P93" s="213">
        <v>0</v>
      </c>
      <c r="Q93" s="213">
        <v>0</v>
      </c>
      <c r="R93" s="213">
        <v>0</v>
      </c>
      <c r="S93" s="213">
        <v>0</v>
      </c>
      <c r="T93" s="214">
        <v>0</v>
      </c>
      <c r="V93" s="212">
        <v>0</v>
      </c>
      <c r="W93" s="213">
        <v>0</v>
      </c>
      <c r="X93" s="213">
        <v>0</v>
      </c>
      <c r="Y93" s="213">
        <v>0</v>
      </c>
      <c r="Z93" s="213">
        <v>0</v>
      </c>
      <c r="AA93" s="213">
        <v>0</v>
      </c>
      <c r="AB93" s="214">
        <v>0</v>
      </c>
      <c r="AD93" s="391"/>
    </row>
    <row r="94" spans="2:34" ht="12.75" customHeight="1">
      <c r="C94" s="195" t="s">
        <v>138</v>
      </c>
      <c r="D94" s="49"/>
      <c r="E94" s="250" t="s">
        <v>318</v>
      </c>
      <c r="F94" s="48"/>
      <c r="G94" s="49"/>
      <c r="H94" s="49"/>
      <c r="I94" s="49"/>
      <c r="J94" s="49"/>
      <c r="K94" s="49"/>
      <c r="L94" s="50"/>
      <c r="N94" s="48"/>
      <c r="O94" s="49"/>
      <c r="P94" s="49"/>
      <c r="Q94" s="49"/>
      <c r="R94" s="49"/>
      <c r="S94" s="49"/>
      <c r="T94" s="50"/>
      <c r="V94" s="48"/>
      <c r="W94" s="49"/>
      <c r="X94" s="49"/>
      <c r="Y94" s="49"/>
      <c r="Z94" s="49"/>
      <c r="AA94" s="49"/>
      <c r="AB94" s="50"/>
      <c r="AD94" s="391"/>
    </row>
    <row r="95" spans="2:34" ht="12.75" customHeight="1">
      <c r="C95" s="51"/>
      <c r="D95" s="217" t="s">
        <v>139</v>
      </c>
      <c r="E95" s="251" t="s">
        <v>318</v>
      </c>
      <c r="F95" s="209">
        <v>0</v>
      </c>
      <c r="G95" s="210">
        <v>0</v>
      </c>
      <c r="H95" s="210">
        <v>0</v>
      </c>
      <c r="I95" s="210">
        <v>0</v>
      </c>
      <c r="J95" s="210">
        <v>0</v>
      </c>
      <c r="K95" s="210">
        <v>0</v>
      </c>
      <c r="L95" s="211">
        <v>0</v>
      </c>
      <c r="N95" s="209">
        <v>0</v>
      </c>
      <c r="O95" s="210">
        <v>0</v>
      </c>
      <c r="P95" s="210">
        <v>0</v>
      </c>
      <c r="Q95" s="210">
        <v>0</v>
      </c>
      <c r="R95" s="210">
        <v>0</v>
      </c>
      <c r="S95" s="210">
        <v>0</v>
      </c>
      <c r="T95" s="211">
        <v>0</v>
      </c>
      <c r="V95" s="209">
        <v>0</v>
      </c>
      <c r="W95" s="210">
        <v>0</v>
      </c>
      <c r="X95" s="210">
        <v>0</v>
      </c>
      <c r="Y95" s="210">
        <v>0</v>
      </c>
      <c r="Z95" s="210">
        <v>0</v>
      </c>
      <c r="AA95" s="210">
        <v>0</v>
      </c>
      <c r="AB95" s="211">
        <v>0</v>
      </c>
      <c r="AC95" s="390"/>
    </row>
    <row r="96" spans="2:34" ht="12.75" customHeight="1">
      <c r="C96" s="51"/>
      <c r="D96" s="217" t="s">
        <v>140</v>
      </c>
      <c r="E96" s="251" t="s">
        <v>318</v>
      </c>
      <c r="F96" s="209">
        <v>0</v>
      </c>
      <c r="G96" s="210">
        <v>0</v>
      </c>
      <c r="H96" s="210">
        <v>0</v>
      </c>
      <c r="I96" s="210">
        <v>0</v>
      </c>
      <c r="J96" s="210">
        <v>0</v>
      </c>
      <c r="K96" s="210">
        <v>0</v>
      </c>
      <c r="L96" s="211">
        <v>0</v>
      </c>
      <c r="N96" s="209">
        <v>0</v>
      </c>
      <c r="O96" s="210">
        <v>0</v>
      </c>
      <c r="P96" s="210">
        <v>0</v>
      </c>
      <c r="Q96" s="210">
        <v>0</v>
      </c>
      <c r="R96" s="210">
        <v>0</v>
      </c>
      <c r="S96" s="210">
        <v>0</v>
      </c>
      <c r="T96" s="211">
        <v>0</v>
      </c>
      <c r="V96" s="209">
        <v>0</v>
      </c>
      <c r="W96" s="210">
        <v>0</v>
      </c>
      <c r="X96" s="210">
        <v>0</v>
      </c>
      <c r="Y96" s="210">
        <v>0</v>
      </c>
      <c r="Z96" s="210">
        <v>0</v>
      </c>
      <c r="AA96" s="210">
        <v>0</v>
      </c>
      <c r="AB96" s="211">
        <v>0</v>
      </c>
      <c r="AD96" s="391"/>
    </row>
    <row r="97" spans="3:30" ht="12.75" customHeight="1">
      <c r="C97" s="51"/>
      <c r="D97" s="217" t="s">
        <v>141</v>
      </c>
      <c r="E97" s="251" t="s">
        <v>318</v>
      </c>
      <c r="F97" s="209">
        <v>0</v>
      </c>
      <c r="G97" s="210">
        <v>0</v>
      </c>
      <c r="H97" s="210">
        <v>0</v>
      </c>
      <c r="I97" s="210">
        <v>0</v>
      </c>
      <c r="J97" s="210">
        <v>0</v>
      </c>
      <c r="K97" s="210">
        <v>0</v>
      </c>
      <c r="L97" s="211">
        <v>0</v>
      </c>
      <c r="N97" s="209">
        <v>0</v>
      </c>
      <c r="O97" s="210">
        <v>0</v>
      </c>
      <c r="P97" s="210">
        <v>0</v>
      </c>
      <c r="Q97" s="210">
        <v>0</v>
      </c>
      <c r="R97" s="210">
        <v>0</v>
      </c>
      <c r="S97" s="210">
        <v>0</v>
      </c>
      <c r="T97" s="211">
        <v>0</v>
      </c>
      <c r="V97" s="209">
        <v>0</v>
      </c>
      <c r="W97" s="210">
        <v>0</v>
      </c>
      <c r="X97" s="210">
        <v>0</v>
      </c>
      <c r="Y97" s="210">
        <v>0</v>
      </c>
      <c r="Z97" s="210">
        <v>0</v>
      </c>
      <c r="AA97" s="210">
        <v>0</v>
      </c>
      <c r="AB97" s="211">
        <v>0</v>
      </c>
      <c r="AD97" s="391"/>
    </row>
    <row r="98" spans="3:30" ht="12.75" customHeight="1">
      <c r="C98" s="51"/>
      <c r="D98" s="217" t="s">
        <v>142</v>
      </c>
      <c r="E98" s="251" t="s">
        <v>318</v>
      </c>
      <c r="F98" s="209">
        <v>0</v>
      </c>
      <c r="G98" s="210">
        <v>0</v>
      </c>
      <c r="H98" s="210">
        <v>0</v>
      </c>
      <c r="I98" s="210">
        <v>0</v>
      </c>
      <c r="J98" s="210">
        <v>0</v>
      </c>
      <c r="K98" s="210">
        <v>0</v>
      </c>
      <c r="L98" s="211">
        <v>0</v>
      </c>
      <c r="N98" s="209">
        <v>0</v>
      </c>
      <c r="O98" s="210">
        <v>0</v>
      </c>
      <c r="P98" s="210">
        <v>0</v>
      </c>
      <c r="Q98" s="210">
        <v>0</v>
      </c>
      <c r="R98" s="210">
        <v>0</v>
      </c>
      <c r="S98" s="210">
        <v>0</v>
      </c>
      <c r="T98" s="211">
        <v>0</v>
      </c>
      <c r="V98" s="209">
        <v>0</v>
      </c>
      <c r="W98" s="210">
        <v>0</v>
      </c>
      <c r="X98" s="210">
        <v>0</v>
      </c>
      <c r="Y98" s="210">
        <v>0</v>
      </c>
      <c r="Z98" s="210">
        <v>0</v>
      </c>
      <c r="AA98" s="210">
        <v>0</v>
      </c>
      <c r="AB98" s="211">
        <v>0</v>
      </c>
      <c r="AD98" s="391"/>
    </row>
    <row r="99" spans="3:30" ht="12.75" customHeight="1">
      <c r="C99" s="58"/>
      <c r="D99" s="27" t="s">
        <v>143</v>
      </c>
      <c r="E99" s="252" t="s">
        <v>318</v>
      </c>
      <c r="F99" s="212">
        <v>0</v>
      </c>
      <c r="G99" s="213">
        <v>0</v>
      </c>
      <c r="H99" s="213">
        <v>0</v>
      </c>
      <c r="I99" s="213">
        <v>0</v>
      </c>
      <c r="J99" s="213">
        <v>0</v>
      </c>
      <c r="K99" s="213">
        <v>0</v>
      </c>
      <c r="L99" s="214">
        <v>0</v>
      </c>
      <c r="N99" s="212">
        <v>0</v>
      </c>
      <c r="O99" s="213">
        <v>0</v>
      </c>
      <c r="P99" s="213">
        <v>0</v>
      </c>
      <c r="Q99" s="213">
        <v>0</v>
      </c>
      <c r="R99" s="213">
        <v>0</v>
      </c>
      <c r="S99" s="213">
        <v>0</v>
      </c>
      <c r="T99" s="214">
        <v>0</v>
      </c>
      <c r="V99" s="212">
        <v>0</v>
      </c>
      <c r="W99" s="213">
        <v>0</v>
      </c>
      <c r="X99" s="213">
        <v>0</v>
      </c>
      <c r="Y99" s="213">
        <v>0</v>
      </c>
      <c r="Z99" s="213">
        <v>0</v>
      </c>
      <c r="AA99" s="213">
        <v>0</v>
      </c>
      <c r="AB99" s="214">
        <v>0</v>
      </c>
      <c r="AD99" s="391"/>
    </row>
    <row r="100" spans="3:30" ht="12.75" customHeight="1">
      <c r="C100" s="195" t="s">
        <v>144</v>
      </c>
      <c r="D100" s="49"/>
      <c r="E100" s="250" t="s">
        <v>318</v>
      </c>
      <c r="F100" s="48"/>
      <c r="G100" s="49"/>
      <c r="H100" s="49"/>
      <c r="I100" s="49"/>
      <c r="J100" s="49"/>
      <c r="K100" s="49"/>
      <c r="L100" s="50"/>
      <c r="N100" s="48"/>
      <c r="O100" s="49"/>
      <c r="P100" s="49"/>
      <c r="Q100" s="49"/>
      <c r="R100" s="49"/>
      <c r="S100" s="49"/>
      <c r="T100" s="50"/>
      <c r="V100" s="48"/>
      <c r="W100" s="49"/>
      <c r="X100" s="49"/>
      <c r="Y100" s="49"/>
      <c r="Z100" s="49"/>
      <c r="AA100" s="49"/>
      <c r="AB100" s="50"/>
      <c r="AD100" s="391"/>
    </row>
    <row r="101" spans="3:30" ht="12.75" customHeight="1">
      <c r="C101" s="51"/>
      <c r="D101" s="217" t="s">
        <v>139</v>
      </c>
      <c r="E101" s="251" t="s">
        <v>318</v>
      </c>
      <c r="F101" s="209">
        <v>0</v>
      </c>
      <c r="G101" s="210">
        <v>0</v>
      </c>
      <c r="H101" s="210">
        <v>0</v>
      </c>
      <c r="I101" s="210">
        <v>0</v>
      </c>
      <c r="J101" s="210">
        <v>0</v>
      </c>
      <c r="K101" s="210">
        <v>0</v>
      </c>
      <c r="L101" s="211">
        <v>0</v>
      </c>
      <c r="N101" s="209">
        <v>0</v>
      </c>
      <c r="O101" s="210">
        <v>0</v>
      </c>
      <c r="P101" s="210">
        <v>0</v>
      </c>
      <c r="Q101" s="210">
        <v>0</v>
      </c>
      <c r="R101" s="210">
        <v>0</v>
      </c>
      <c r="S101" s="210">
        <v>0</v>
      </c>
      <c r="T101" s="211">
        <v>0</v>
      </c>
      <c r="V101" s="209">
        <v>0</v>
      </c>
      <c r="W101" s="210">
        <v>0</v>
      </c>
      <c r="X101" s="210">
        <v>0</v>
      </c>
      <c r="Y101" s="210">
        <v>0</v>
      </c>
      <c r="Z101" s="210">
        <v>0</v>
      </c>
      <c r="AA101" s="210">
        <v>0</v>
      </c>
      <c r="AB101" s="211">
        <v>0</v>
      </c>
      <c r="AD101" s="391"/>
    </row>
    <row r="102" spans="3:30" ht="12.75" customHeight="1">
      <c r="C102" s="51"/>
      <c r="D102" s="217" t="s">
        <v>140</v>
      </c>
      <c r="E102" s="251" t="s">
        <v>318</v>
      </c>
      <c r="F102" s="209">
        <v>0</v>
      </c>
      <c r="G102" s="210">
        <v>0</v>
      </c>
      <c r="H102" s="210">
        <v>0</v>
      </c>
      <c r="I102" s="210">
        <v>0</v>
      </c>
      <c r="J102" s="210">
        <v>0</v>
      </c>
      <c r="K102" s="210">
        <v>0</v>
      </c>
      <c r="L102" s="211">
        <v>0</v>
      </c>
      <c r="N102" s="209">
        <v>0</v>
      </c>
      <c r="O102" s="210">
        <v>0</v>
      </c>
      <c r="P102" s="210">
        <v>0</v>
      </c>
      <c r="Q102" s="210">
        <v>0</v>
      </c>
      <c r="R102" s="210">
        <v>0</v>
      </c>
      <c r="S102" s="210">
        <v>0</v>
      </c>
      <c r="T102" s="211">
        <v>0</v>
      </c>
      <c r="V102" s="209">
        <v>0</v>
      </c>
      <c r="W102" s="210">
        <v>0</v>
      </c>
      <c r="X102" s="210">
        <v>0</v>
      </c>
      <c r="Y102" s="210">
        <v>0</v>
      </c>
      <c r="Z102" s="210">
        <v>0</v>
      </c>
      <c r="AA102" s="210">
        <v>0</v>
      </c>
      <c r="AB102" s="211">
        <v>0</v>
      </c>
      <c r="AD102" s="391"/>
    </row>
    <row r="103" spans="3:30" ht="12.75" customHeight="1">
      <c r="C103" s="51"/>
      <c r="D103" s="217" t="s">
        <v>141</v>
      </c>
      <c r="E103" s="251" t="s">
        <v>318</v>
      </c>
      <c r="F103" s="209">
        <v>0</v>
      </c>
      <c r="G103" s="210">
        <v>0</v>
      </c>
      <c r="H103" s="210">
        <v>0</v>
      </c>
      <c r="I103" s="210">
        <v>0</v>
      </c>
      <c r="J103" s="210">
        <v>0</v>
      </c>
      <c r="K103" s="210">
        <v>0</v>
      </c>
      <c r="L103" s="211">
        <v>0</v>
      </c>
      <c r="N103" s="209">
        <v>0</v>
      </c>
      <c r="O103" s="210">
        <v>0</v>
      </c>
      <c r="P103" s="210">
        <v>0</v>
      </c>
      <c r="Q103" s="210">
        <v>0</v>
      </c>
      <c r="R103" s="210">
        <v>0</v>
      </c>
      <c r="S103" s="210">
        <v>0</v>
      </c>
      <c r="T103" s="211">
        <v>0</v>
      </c>
      <c r="V103" s="209">
        <v>0</v>
      </c>
      <c r="W103" s="210">
        <v>0</v>
      </c>
      <c r="X103" s="210">
        <v>0</v>
      </c>
      <c r="Y103" s="210">
        <v>0</v>
      </c>
      <c r="Z103" s="210">
        <v>0</v>
      </c>
      <c r="AA103" s="210">
        <v>0</v>
      </c>
      <c r="AB103" s="211">
        <v>0</v>
      </c>
      <c r="AD103" s="391"/>
    </row>
    <row r="104" spans="3:30" ht="12.75" customHeight="1">
      <c r="C104" s="51"/>
      <c r="D104" s="217" t="s">
        <v>142</v>
      </c>
      <c r="E104" s="251" t="s">
        <v>318</v>
      </c>
      <c r="F104" s="209">
        <v>0</v>
      </c>
      <c r="G104" s="210">
        <v>0</v>
      </c>
      <c r="H104" s="210">
        <v>0</v>
      </c>
      <c r="I104" s="210">
        <v>0</v>
      </c>
      <c r="J104" s="210">
        <v>0</v>
      </c>
      <c r="K104" s="210">
        <v>0</v>
      </c>
      <c r="L104" s="211">
        <v>0</v>
      </c>
      <c r="N104" s="209">
        <v>0</v>
      </c>
      <c r="O104" s="210">
        <v>0</v>
      </c>
      <c r="P104" s="210">
        <v>0</v>
      </c>
      <c r="Q104" s="210">
        <v>0</v>
      </c>
      <c r="R104" s="210">
        <v>0</v>
      </c>
      <c r="S104" s="210">
        <v>0</v>
      </c>
      <c r="T104" s="211">
        <v>0</v>
      </c>
      <c r="V104" s="209">
        <v>0</v>
      </c>
      <c r="W104" s="210">
        <v>0</v>
      </c>
      <c r="X104" s="210">
        <v>0</v>
      </c>
      <c r="Y104" s="210">
        <v>0</v>
      </c>
      <c r="Z104" s="210">
        <v>0</v>
      </c>
      <c r="AA104" s="210">
        <v>0</v>
      </c>
      <c r="AB104" s="211">
        <v>0</v>
      </c>
      <c r="AD104" s="391"/>
    </row>
    <row r="105" spans="3:30" ht="12.75" customHeight="1">
      <c r="C105" s="58"/>
      <c r="D105" s="27" t="s">
        <v>143</v>
      </c>
      <c r="E105" s="252" t="s">
        <v>318</v>
      </c>
      <c r="F105" s="212">
        <v>0</v>
      </c>
      <c r="G105" s="213">
        <v>0</v>
      </c>
      <c r="H105" s="213">
        <v>0</v>
      </c>
      <c r="I105" s="213">
        <v>0</v>
      </c>
      <c r="J105" s="213">
        <v>0</v>
      </c>
      <c r="K105" s="213">
        <v>0</v>
      </c>
      <c r="L105" s="214">
        <v>0</v>
      </c>
      <c r="N105" s="212">
        <v>0</v>
      </c>
      <c r="O105" s="213">
        <v>0</v>
      </c>
      <c r="P105" s="213">
        <v>0</v>
      </c>
      <c r="Q105" s="213">
        <v>0</v>
      </c>
      <c r="R105" s="213">
        <v>0</v>
      </c>
      <c r="S105" s="213">
        <v>0</v>
      </c>
      <c r="T105" s="214">
        <v>0</v>
      </c>
      <c r="V105" s="212">
        <v>0</v>
      </c>
      <c r="W105" s="213">
        <v>0</v>
      </c>
      <c r="X105" s="213">
        <v>0</v>
      </c>
      <c r="Y105" s="213">
        <v>0</v>
      </c>
      <c r="Z105" s="213">
        <v>0</v>
      </c>
      <c r="AA105" s="213">
        <v>0</v>
      </c>
      <c r="AB105" s="214">
        <v>0</v>
      </c>
      <c r="AD105" s="391"/>
    </row>
    <row r="106" spans="3:30" ht="12.75" customHeight="1">
      <c r="C106" s="195" t="s">
        <v>145</v>
      </c>
      <c r="D106" s="49"/>
      <c r="E106" s="250" t="s">
        <v>318</v>
      </c>
      <c r="F106" s="48"/>
      <c r="G106" s="49"/>
      <c r="H106" s="49"/>
      <c r="I106" s="49"/>
      <c r="J106" s="49"/>
      <c r="K106" s="49"/>
      <c r="L106" s="50"/>
      <c r="N106" s="48"/>
      <c r="O106" s="49"/>
      <c r="P106" s="49"/>
      <c r="Q106" s="49"/>
      <c r="R106" s="49"/>
      <c r="S106" s="49"/>
      <c r="T106" s="50"/>
      <c r="V106" s="48"/>
      <c r="W106" s="49"/>
      <c r="X106" s="49"/>
      <c r="Y106" s="49"/>
      <c r="Z106" s="49"/>
      <c r="AA106" s="49"/>
      <c r="AB106" s="50"/>
      <c r="AD106" s="391"/>
    </row>
    <row r="107" spans="3:30" ht="12.75" customHeight="1">
      <c r="C107" s="51"/>
      <c r="D107" s="217" t="s">
        <v>139</v>
      </c>
      <c r="E107" s="251" t="s">
        <v>318</v>
      </c>
      <c r="F107" s="209">
        <v>0</v>
      </c>
      <c r="G107" s="210">
        <v>0</v>
      </c>
      <c r="H107" s="210">
        <v>0</v>
      </c>
      <c r="I107" s="210">
        <v>0</v>
      </c>
      <c r="J107" s="210">
        <v>0</v>
      </c>
      <c r="K107" s="210">
        <v>0</v>
      </c>
      <c r="L107" s="211">
        <v>0</v>
      </c>
      <c r="N107" s="209">
        <v>0</v>
      </c>
      <c r="O107" s="210">
        <v>0</v>
      </c>
      <c r="P107" s="210">
        <v>0</v>
      </c>
      <c r="Q107" s="210">
        <v>0</v>
      </c>
      <c r="R107" s="210">
        <v>0</v>
      </c>
      <c r="S107" s="210">
        <v>0</v>
      </c>
      <c r="T107" s="211">
        <v>0</v>
      </c>
      <c r="V107" s="209">
        <v>0</v>
      </c>
      <c r="W107" s="210">
        <v>0</v>
      </c>
      <c r="X107" s="210">
        <v>0</v>
      </c>
      <c r="Y107" s="210">
        <v>0</v>
      </c>
      <c r="Z107" s="210">
        <v>0</v>
      </c>
      <c r="AA107" s="210">
        <v>0</v>
      </c>
      <c r="AB107" s="211">
        <v>0</v>
      </c>
      <c r="AC107" s="390"/>
    </row>
    <row r="108" spans="3:30" ht="12.75" customHeight="1">
      <c r="C108" s="51"/>
      <c r="D108" s="217" t="s">
        <v>140</v>
      </c>
      <c r="E108" s="251" t="s">
        <v>318</v>
      </c>
      <c r="F108" s="209">
        <v>0</v>
      </c>
      <c r="G108" s="210">
        <v>0</v>
      </c>
      <c r="H108" s="210">
        <v>0</v>
      </c>
      <c r="I108" s="210">
        <v>0</v>
      </c>
      <c r="J108" s="210">
        <v>0</v>
      </c>
      <c r="K108" s="210">
        <v>0</v>
      </c>
      <c r="L108" s="211">
        <v>0</v>
      </c>
      <c r="N108" s="209">
        <v>0</v>
      </c>
      <c r="O108" s="210">
        <v>0</v>
      </c>
      <c r="P108" s="210">
        <v>0</v>
      </c>
      <c r="Q108" s="210">
        <v>0</v>
      </c>
      <c r="R108" s="210">
        <v>0</v>
      </c>
      <c r="S108" s="210">
        <v>0</v>
      </c>
      <c r="T108" s="211">
        <v>0</v>
      </c>
      <c r="V108" s="209">
        <v>0</v>
      </c>
      <c r="W108" s="210">
        <v>0</v>
      </c>
      <c r="X108" s="210">
        <v>0</v>
      </c>
      <c r="Y108" s="210">
        <v>0</v>
      </c>
      <c r="Z108" s="210">
        <v>0</v>
      </c>
      <c r="AA108" s="210">
        <v>0</v>
      </c>
      <c r="AB108" s="211">
        <v>0</v>
      </c>
      <c r="AD108" s="391"/>
    </row>
    <row r="109" spans="3:30" ht="12.75" customHeight="1">
      <c r="C109" s="51"/>
      <c r="D109" s="217" t="s">
        <v>141</v>
      </c>
      <c r="E109" s="251" t="s">
        <v>318</v>
      </c>
      <c r="F109" s="209">
        <v>0</v>
      </c>
      <c r="G109" s="210">
        <v>0</v>
      </c>
      <c r="H109" s="210">
        <v>0</v>
      </c>
      <c r="I109" s="210">
        <v>0</v>
      </c>
      <c r="J109" s="210">
        <v>0</v>
      </c>
      <c r="K109" s="210">
        <v>0</v>
      </c>
      <c r="L109" s="211">
        <v>0</v>
      </c>
      <c r="N109" s="209">
        <v>0</v>
      </c>
      <c r="O109" s="210">
        <v>0</v>
      </c>
      <c r="P109" s="210">
        <v>0</v>
      </c>
      <c r="Q109" s="210">
        <v>0</v>
      </c>
      <c r="R109" s="210">
        <v>0</v>
      </c>
      <c r="S109" s="210">
        <v>0</v>
      </c>
      <c r="T109" s="211">
        <v>0</v>
      </c>
      <c r="V109" s="209">
        <v>0</v>
      </c>
      <c r="W109" s="210">
        <v>0</v>
      </c>
      <c r="X109" s="210">
        <v>0</v>
      </c>
      <c r="Y109" s="210">
        <v>0</v>
      </c>
      <c r="Z109" s="210">
        <v>0</v>
      </c>
      <c r="AA109" s="210">
        <v>0</v>
      </c>
      <c r="AB109" s="211">
        <v>0</v>
      </c>
      <c r="AD109" s="391"/>
    </row>
    <row r="110" spans="3:30" ht="12.75" customHeight="1">
      <c r="C110" s="51"/>
      <c r="D110" s="217" t="s">
        <v>142</v>
      </c>
      <c r="E110" s="251" t="s">
        <v>318</v>
      </c>
      <c r="F110" s="209">
        <v>0</v>
      </c>
      <c r="G110" s="210">
        <v>0</v>
      </c>
      <c r="H110" s="210">
        <v>0</v>
      </c>
      <c r="I110" s="210">
        <v>0</v>
      </c>
      <c r="J110" s="210">
        <v>0</v>
      </c>
      <c r="K110" s="210">
        <v>0</v>
      </c>
      <c r="L110" s="211">
        <v>0</v>
      </c>
      <c r="N110" s="209">
        <v>0</v>
      </c>
      <c r="O110" s="210">
        <v>0</v>
      </c>
      <c r="P110" s="210">
        <v>0</v>
      </c>
      <c r="Q110" s="210">
        <v>0</v>
      </c>
      <c r="R110" s="210">
        <v>0</v>
      </c>
      <c r="S110" s="210">
        <v>0</v>
      </c>
      <c r="T110" s="211">
        <v>0</v>
      </c>
      <c r="V110" s="209">
        <v>0</v>
      </c>
      <c r="W110" s="210">
        <v>0</v>
      </c>
      <c r="X110" s="210">
        <v>0</v>
      </c>
      <c r="Y110" s="210">
        <v>0</v>
      </c>
      <c r="Z110" s="210">
        <v>0</v>
      </c>
      <c r="AA110" s="210">
        <v>0</v>
      </c>
      <c r="AB110" s="211">
        <v>0</v>
      </c>
    </row>
    <row r="111" spans="3:30" ht="12.75" customHeight="1">
      <c r="C111" s="58"/>
      <c r="D111" s="27" t="s">
        <v>143</v>
      </c>
      <c r="E111" s="252" t="s">
        <v>318</v>
      </c>
      <c r="F111" s="212">
        <v>0</v>
      </c>
      <c r="G111" s="213">
        <v>0</v>
      </c>
      <c r="H111" s="213">
        <v>0</v>
      </c>
      <c r="I111" s="213">
        <v>0</v>
      </c>
      <c r="J111" s="213">
        <v>0</v>
      </c>
      <c r="K111" s="213">
        <v>0</v>
      </c>
      <c r="L111" s="214">
        <v>0</v>
      </c>
      <c r="N111" s="212">
        <v>0</v>
      </c>
      <c r="O111" s="213">
        <v>0</v>
      </c>
      <c r="P111" s="213">
        <v>0</v>
      </c>
      <c r="Q111" s="213">
        <v>0</v>
      </c>
      <c r="R111" s="213">
        <v>0</v>
      </c>
      <c r="S111" s="213">
        <v>0</v>
      </c>
      <c r="T111" s="214">
        <v>0</v>
      </c>
      <c r="V111" s="212">
        <v>0</v>
      </c>
      <c r="W111" s="213">
        <v>0</v>
      </c>
      <c r="X111" s="213">
        <v>0</v>
      </c>
      <c r="Y111" s="213">
        <v>0</v>
      </c>
      <c r="Z111" s="213">
        <v>0</v>
      </c>
      <c r="AA111" s="213">
        <v>0</v>
      </c>
      <c r="AB111" s="214">
        <v>0</v>
      </c>
    </row>
    <row r="112" spans="3:30" ht="12.75" customHeight="1">
      <c r="C112" s="195" t="s">
        <v>146</v>
      </c>
      <c r="D112" s="49"/>
      <c r="E112" s="250" t="s">
        <v>318</v>
      </c>
      <c r="F112" s="48"/>
      <c r="G112" s="49"/>
      <c r="H112" s="49"/>
      <c r="I112" s="49"/>
      <c r="J112" s="49"/>
      <c r="K112" s="49"/>
      <c r="L112" s="50"/>
      <c r="N112" s="48"/>
      <c r="O112" s="49"/>
      <c r="P112" s="49"/>
      <c r="Q112" s="49"/>
      <c r="R112" s="49"/>
      <c r="S112" s="49"/>
      <c r="T112" s="50"/>
      <c r="V112" s="48"/>
      <c r="W112" s="49"/>
      <c r="X112" s="49"/>
      <c r="Y112" s="49"/>
      <c r="Z112" s="49"/>
      <c r="AA112" s="49"/>
      <c r="AB112" s="50"/>
    </row>
    <row r="113" spans="1:30" ht="12.75" customHeight="1">
      <c r="C113" s="51"/>
      <c r="D113" s="217" t="s">
        <v>139</v>
      </c>
      <c r="E113" s="251" t="s">
        <v>318</v>
      </c>
      <c r="F113" s="209">
        <v>0</v>
      </c>
      <c r="G113" s="210">
        <v>0</v>
      </c>
      <c r="H113" s="210">
        <v>0</v>
      </c>
      <c r="I113" s="210">
        <v>0</v>
      </c>
      <c r="J113" s="210">
        <v>0</v>
      </c>
      <c r="K113" s="210">
        <v>0</v>
      </c>
      <c r="L113" s="211">
        <v>0</v>
      </c>
      <c r="N113" s="209">
        <v>0</v>
      </c>
      <c r="O113" s="210">
        <v>0</v>
      </c>
      <c r="P113" s="210">
        <v>0</v>
      </c>
      <c r="Q113" s="210">
        <v>0</v>
      </c>
      <c r="R113" s="210">
        <v>0</v>
      </c>
      <c r="S113" s="210">
        <v>0</v>
      </c>
      <c r="T113" s="211">
        <v>0</v>
      </c>
      <c r="V113" s="209">
        <v>0</v>
      </c>
      <c r="W113" s="210">
        <v>0</v>
      </c>
      <c r="X113" s="210">
        <v>0</v>
      </c>
      <c r="Y113" s="210">
        <v>0</v>
      </c>
      <c r="Z113" s="210">
        <v>0</v>
      </c>
      <c r="AA113" s="210">
        <v>0</v>
      </c>
      <c r="AB113" s="211">
        <v>0</v>
      </c>
    </row>
    <row r="114" spans="1:30" ht="12.75" customHeight="1">
      <c r="C114" s="51"/>
      <c r="D114" s="217" t="s">
        <v>140</v>
      </c>
      <c r="E114" s="251" t="s">
        <v>318</v>
      </c>
      <c r="F114" s="209">
        <v>0</v>
      </c>
      <c r="G114" s="210">
        <v>0</v>
      </c>
      <c r="H114" s="210">
        <v>0</v>
      </c>
      <c r="I114" s="210">
        <v>0</v>
      </c>
      <c r="J114" s="210">
        <v>0</v>
      </c>
      <c r="K114" s="210">
        <v>0</v>
      </c>
      <c r="L114" s="211">
        <v>0</v>
      </c>
      <c r="N114" s="209">
        <v>0</v>
      </c>
      <c r="O114" s="210">
        <v>0</v>
      </c>
      <c r="P114" s="210">
        <v>0</v>
      </c>
      <c r="Q114" s="210">
        <v>0</v>
      </c>
      <c r="R114" s="210">
        <v>0</v>
      </c>
      <c r="S114" s="210">
        <v>0</v>
      </c>
      <c r="T114" s="211">
        <v>0</v>
      </c>
      <c r="V114" s="209">
        <v>0</v>
      </c>
      <c r="W114" s="210">
        <v>0</v>
      </c>
      <c r="X114" s="210">
        <v>0</v>
      </c>
      <c r="Y114" s="210">
        <v>0</v>
      </c>
      <c r="Z114" s="210">
        <v>0</v>
      </c>
      <c r="AA114" s="210">
        <v>0</v>
      </c>
      <c r="AB114" s="211">
        <v>0</v>
      </c>
    </row>
    <row r="115" spans="1:30" ht="12.75" customHeight="1">
      <c r="C115" s="51"/>
      <c r="D115" s="217" t="s">
        <v>141</v>
      </c>
      <c r="E115" s="251" t="s">
        <v>318</v>
      </c>
      <c r="F115" s="209">
        <v>0</v>
      </c>
      <c r="G115" s="210">
        <v>0</v>
      </c>
      <c r="H115" s="210">
        <v>0</v>
      </c>
      <c r="I115" s="210">
        <v>0</v>
      </c>
      <c r="J115" s="210">
        <v>0</v>
      </c>
      <c r="K115" s="210">
        <v>0</v>
      </c>
      <c r="L115" s="211">
        <v>0</v>
      </c>
      <c r="N115" s="209">
        <v>0</v>
      </c>
      <c r="O115" s="210">
        <v>0</v>
      </c>
      <c r="P115" s="210">
        <v>0</v>
      </c>
      <c r="Q115" s="210">
        <v>0</v>
      </c>
      <c r="R115" s="210">
        <v>0</v>
      </c>
      <c r="S115" s="210">
        <v>0</v>
      </c>
      <c r="T115" s="211">
        <v>0</v>
      </c>
      <c r="V115" s="209">
        <v>0</v>
      </c>
      <c r="W115" s="210">
        <v>0</v>
      </c>
      <c r="X115" s="210">
        <v>0</v>
      </c>
      <c r="Y115" s="210">
        <v>0</v>
      </c>
      <c r="Z115" s="210">
        <v>0</v>
      </c>
      <c r="AA115" s="210">
        <v>0</v>
      </c>
      <c r="AB115" s="211">
        <v>0</v>
      </c>
    </row>
    <row r="116" spans="1:30" ht="12.75" customHeight="1">
      <c r="C116" s="51"/>
      <c r="D116" s="217" t="s">
        <v>142</v>
      </c>
      <c r="E116" s="251" t="s">
        <v>318</v>
      </c>
      <c r="F116" s="209">
        <v>0</v>
      </c>
      <c r="G116" s="210">
        <v>0</v>
      </c>
      <c r="H116" s="210">
        <v>0</v>
      </c>
      <c r="I116" s="210">
        <v>0</v>
      </c>
      <c r="J116" s="210">
        <v>0</v>
      </c>
      <c r="K116" s="210">
        <v>0</v>
      </c>
      <c r="L116" s="211">
        <v>0</v>
      </c>
      <c r="N116" s="209">
        <v>0</v>
      </c>
      <c r="O116" s="210">
        <v>0</v>
      </c>
      <c r="P116" s="210">
        <v>0</v>
      </c>
      <c r="Q116" s="210">
        <v>0</v>
      </c>
      <c r="R116" s="210">
        <v>0</v>
      </c>
      <c r="S116" s="210">
        <v>0</v>
      </c>
      <c r="T116" s="211">
        <v>0</v>
      </c>
      <c r="V116" s="209">
        <v>0</v>
      </c>
      <c r="W116" s="210">
        <v>0</v>
      </c>
      <c r="X116" s="210">
        <v>0</v>
      </c>
      <c r="Y116" s="210">
        <v>0</v>
      </c>
      <c r="Z116" s="210">
        <v>0</v>
      </c>
      <c r="AA116" s="210">
        <v>0</v>
      </c>
      <c r="AB116" s="211">
        <v>0</v>
      </c>
    </row>
    <row r="117" spans="1:30" ht="12.75" customHeight="1">
      <c r="C117" s="58"/>
      <c r="D117" s="27" t="s">
        <v>143</v>
      </c>
      <c r="E117" s="252" t="s">
        <v>318</v>
      </c>
      <c r="F117" s="212">
        <v>0</v>
      </c>
      <c r="G117" s="213">
        <v>0</v>
      </c>
      <c r="H117" s="213">
        <v>0</v>
      </c>
      <c r="I117" s="213">
        <v>0</v>
      </c>
      <c r="J117" s="213">
        <v>0</v>
      </c>
      <c r="K117" s="213">
        <v>0</v>
      </c>
      <c r="L117" s="214">
        <v>0</v>
      </c>
      <c r="N117" s="212">
        <v>0</v>
      </c>
      <c r="O117" s="213">
        <v>0</v>
      </c>
      <c r="P117" s="213">
        <v>0</v>
      </c>
      <c r="Q117" s="213">
        <v>0</v>
      </c>
      <c r="R117" s="213">
        <v>0</v>
      </c>
      <c r="S117" s="213">
        <v>0</v>
      </c>
      <c r="T117" s="214">
        <v>0</v>
      </c>
      <c r="V117" s="212">
        <v>0</v>
      </c>
      <c r="W117" s="213">
        <v>0</v>
      </c>
      <c r="X117" s="213">
        <v>0</v>
      </c>
      <c r="Y117" s="213">
        <v>0</v>
      </c>
      <c r="Z117" s="213">
        <v>0</v>
      </c>
      <c r="AA117" s="213">
        <v>0</v>
      </c>
      <c r="AB117" s="214">
        <v>0</v>
      </c>
    </row>
    <row r="118" spans="1:30" ht="12.75" customHeight="1">
      <c r="C118" s="14" t="s">
        <v>73</v>
      </c>
      <c r="E118" s="49"/>
      <c r="F118" s="207">
        <v>83583.458821656575</v>
      </c>
      <c r="G118" s="207">
        <v>20197.512454405587</v>
      </c>
      <c r="H118" s="207">
        <v>923.98482020010829</v>
      </c>
      <c r="I118" s="207">
        <v>111.06988757159982</v>
      </c>
      <c r="J118" s="207">
        <v>31531.164834866886</v>
      </c>
      <c r="K118" s="207">
        <v>0</v>
      </c>
      <c r="L118" s="207">
        <v>201.39864671118892</v>
      </c>
      <c r="N118" s="207">
        <v>81741.041620712596</v>
      </c>
      <c r="O118" s="207">
        <v>22203.585849128627</v>
      </c>
      <c r="P118" s="207">
        <v>923.98482020010829</v>
      </c>
      <c r="Q118" s="207">
        <v>111.06988757159982</v>
      </c>
      <c r="R118" s="207">
        <v>27581.716159097872</v>
      </c>
      <c r="S118" s="207">
        <v>0</v>
      </c>
      <c r="T118" s="207">
        <v>150.76925820637675</v>
      </c>
      <c r="V118" s="207">
        <v>80522.461592071573</v>
      </c>
      <c r="W118" s="207">
        <v>21917.70839234455</v>
      </c>
      <c r="X118" s="207">
        <v>928.60474430110878</v>
      </c>
      <c r="Y118" s="207">
        <v>111.62523700945781</v>
      </c>
      <c r="Z118" s="207">
        <v>27216.467167397917</v>
      </c>
      <c r="AA118" s="207">
        <v>0</v>
      </c>
      <c r="AB118" s="207">
        <v>148.13011445234784</v>
      </c>
      <c r="AC118" s="390"/>
      <c r="AD118" s="390"/>
    </row>
    <row r="119" spans="1:30" ht="12.75" customHeight="1">
      <c r="C119" s="73" t="s">
        <v>320</v>
      </c>
      <c r="E119" s="52"/>
      <c r="F119" s="52"/>
      <c r="L119" s="253">
        <v>136548.58946541196</v>
      </c>
      <c r="N119" s="52"/>
      <c r="T119" s="253">
        <v>132712.16759491718</v>
      </c>
      <c r="V119" s="52"/>
      <c r="AB119" s="253">
        <v>130844.99724757695</v>
      </c>
    </row>
    <row r="120" spans="1:30" ht="12.75" customHeight="1">
      <c r="E120" s="52"/>
      <c r="F120" s="52"/>
    </row>
    <row r="121" spans="1:30" s="7" customFormat="1" ht="15.6">
      <c r="B121" s="7" t="s">
        <v>319</v>
      </c>
    </row>
    <row r="123" spans="1:30" ht="12.75" customHeight="1">
      <c r="F123" s="113" t="s">
        <v>490</v>
      </c>
      <c r="G123" s="113" t="s">
        <v>498</v>
      </c>
      <c r="H123" s="113" t="s">
        <v>154</v>
      </c>
      <c r="I123" s="113" t="s">
        <v>155</v>
      </c>
      <c r="J123" s="113" t="s">
        <v>156</v>
      </c>
      <c r="K123" s="113" t="s">
        <v>314</v>
      </c>
      <c r="L123" s="113" t="s">
        <v>181</v>
      </c>
      <c r="N123" s="113" t="s">
        <v>490</v>
      </c>
      <c r="O123" s="113" t="s">
        <v>498</v>
      </c>
      <c r="P123" s="113" t="s">
        <v>154</v>
      </c>
      <c r="Q123" s="113" t="s">
        <v>155</v>
      </c>
      <c r="R123" s="113" t="s">
        <v>156</v>
      </c>
      <c r="S123" s="113" t="s">
        <v>314</v>
      </c>
      <c r="T123" s="113" t="s">
        <v>181</v>
      </c>
      <c r="V123" s="113" t="s">
        <v>490</v>
      </c>
      <c r="W123" s="113" t="s">
        <v>498</v>
      </c>
      <c r="X123" s="113" t="s">
        <v>154</v>
      </c>
      <c r="Y123" s="113" t="s">
        <v>155</v>
      </c>
      <c r="Z123" s="113" t="s">
        <v>156</v>
      </c>
      <c r="AA123" s="113" t="s">
        <v>314</v>
      </c>
      <c r="AB123" s="113" t="s">
        <v>181</v>
      </c>
    </row>
    <row r="124" spans="1:30" ht="12.75" customHeight="1">
      <c r="C124" s="215" t="s">
        <v>292</v>
      </c>
      <c r="D124" s="49"/>
      <c r="E124" s="250" t="s">
        <v>318</v>
      </c>
      <c r="F124" s="206" t="s">
        <v>251</v>
      </c>
      <c r="G124" s="207" t="s">
        <v>251</v>
      </c>
      <c r="H124" s="207" t="s">
        <v>251</v>
      </c>
      <c r="I124" s="207" t="s">
        <v>251</v>
      </c>
      <c r="J124" s="207" t="s">
        <v>251</v>
      </c>
      <c r="K124" s="207" t="s">
        <v>251</v>
      </c>
      <c r="L124" s="208" t="s">
        <v>251</v>
      </c>
      <c r="N124" s="206">
        <v>0</v>
      </c>
      <c r="O124" s="207">
        <v>0</v>
      </c>
      <c r="P124" s="207">
        <v>0</v>
      </c>
      <c r="Q124" s="207">
        <v>0</v>
      </c>
      <c r="R124" s="207">
        <v>1289.7009025595196</v>
      </c>
      <c r="S124" s="207">
        <v>0</v>
      </c>
      <c r="T124" s="208">
        <v>0</v>
      </c>
      <c r="V124" s="206">
        <v>0</v>
      </c>
      <c r="W124" s="207">
        <v>0</v>
      </c>
      <c r="X124" s="207">
        <v>0</v>
      </c>
      <c r="Y124" s="207">
        <v>0</v>
      </c>
      <c r="Z124" s="207">
        <v>1289.7009025595196</v>
      </c>
      <c r="AA124" s="207">
        <v>0</v>
      </c>
      <c r="AB124" s="208">
        <v>0</v>
      </c>
    </row>
    <row r="125" spans="1:30" ht="12.75" customHeight="1">
      <c r="C125" s="216" t="s">
        <v>293</v>
      </c>
      <c r="D125" s="52"/>
      <c r="E125" s="251" t="s">
        <v>318</v>
      </c>
      <c r="F125" s="176" t="s">
        <v>251</v>
      </c>
      <c r="G125" s="161" t="s">
        <v>251</v>
      </c>
      <c r="H125" s="161" t="s">
        <v>251</v>
      </c>
      <c r="I125" s="161" t="s">
        <v>251</v>
      </c>
      <c r="J125" s="161" t="s">
        <v>251</v>
      </c>
      <c r="K125" s="161" t="s">
        <v>251</v>
      </c>
      <c r="L125" s="162" t="s">
        <v>251</v>
      </c>
      <c r="N125" s="209">
        <v>16761.419709906069</v>
      </c>
      <c r="O125" s="210">
        <v>5097.6324086531595</v>
      </c>
      <c r="P125" s="210">
        <v>0</v>
      </c>
      <c r="Q125" s="210">
        <v>0</v>
      </c>
      <c r="R125" s="210">
        <v>3117.4497133635991</v>
      </c>
      <c r="S125" s="210">
        <v>0</v>
      </c>
      <c r="T125" s="211">
        <v>15.972038678928541</v>
      </c>
      <c r="V125" s="209">
        <v>16761.419709906069</v>
      </c>
      <c r="W125" s="210">
        <v>5097.6324086531595</v>
      </c>
      <c r="X125" s="210">
        <v>0</v>
      </c>
      <c r="Y125" s="210">
        <v>0</v>
      </c>
      <c r="Z125" s="210">
        <v>3117.4497133635991</v>
      </c>
      <c r="AA125" s="210">
        <v>0</v>
      </c>
      <c r="AB125" s="211">
        <v>15.972038678928541</v>
      </c>
    </row>
    <row r="126" spans="1:30" ht="12.75" customHeight="1">
      <c r="C126" s="216" t="s">
        <v>214</v>
      </c>
      <c r="D126" s="52"/>
      <c r="E126" s="251" t="s">
        <v>318</v>
      </c>
      <c r="F126" s="176" t="s">
        <v>251</v>
      </c>
      <c r="G126" s="161" t="s">
        <v>251</v>
      </c>
      <c r="H126" s="161" t="s">
        <v>251</v>
      </c>
      <c r="I126" s="161" t="s">
        <v>251</v>
      </c>
      <c r="J126" s="161" t="s">
        <v>251</v>
      </c>
      <c r="K126" s="161" t="s">
        <v>251</v>
      </c>
      <c r="L126" s="162" t="s">
        <v>251</v>
      </c>
      <c r="N126" s="209">
        <v>63761.041882165497</v>
      </c>
      <c r="O126" s="210">
        <v>16820.075983691389</v>
      </c>
      <c r="P126" s="210">
        <v>928.60474430110878</v>
      </c>
      <c r="Q126" s="210">
        <v>111.62523700945781</v>
      </c>
      <c r="R126" s="210">
        <v>0</v>
      </c>
      <c r="S126" s="210">
        <v>0</v>
      </c>
      <c r="T126" s="211">
        <v>0</v>
      </c>
      <c r="V126" s="209">
        <v>63761.041882165497</v>
      </c>
      <c r="W126" s="210">
        <v>16820.075983691389</v>
      </c>
      <c r="X126" s="210">
        <v>928.60474430110878</v>
      </c>
      <c r="Y126" s="210">
        <v>111.62523700945781</v>
      </c>
      <c r="Z126" s="210">
        <v>0</v>
      </c>
      <c r="AA126" s="210">
        <v>0</v>
      </c>
      <c r="AB126" s="211">
        <v>0</v>
      </c>
    </row>
    <row r="127" spans="1:30" ht="12.75" customHeight="1">
      <c r="A127"/>
      <c r="C127" s="216" t="s">
        <v>215</v>
      </c>
      <c r="D127" s="223"/>
      <c r="E127" s="193" t="s">
        <v>318</v>
      </c>
      <c r="F127" s="209" t="s">
        <v>251</v>
      </c>
      <c r="G127" s="210" t="s">
        <v>251</v>
      </c>
      <c r="H127" s="210" t="s">
        <v>251</v>
      </c>
      <c r="I127" s="210" t="s">
        <v>251</v>
      </c>
      <c r="J127" s="210" t="s">
        <v>251</v>
      </c>
      <c r="K127" s="210" t="s">
        <v>251</v>
      </c>
      <c r="L127" s="211" t="s">
        <v>251</v>
      </c>
      <c r="M127" s="361"/>
      <c r="N127" s="209">
        <v>0</v>
      </c>
      <c r="O127" s="210">
        <v>0</v>
      </c>
      <c r="P127" s="210">
        <v>0</v>
      </c>
      <c r="Q127" s="210">
        <v>0</v>
      </c>
      <c r="R127" s="210">
        <v>9287.2363273980955</v>
      </c>
      <c r="S127" s="210">
        <v>0</v>
      </c>
      <c r="T127" s="211">
        <v>131.29948932920266</v>
      </c>
      <c r="U127" s="361"/>
      <c r="V127" s="209">
        <v>0</v>
      </c>
      <c r="W127" s="210">
        <v>0</v>
      </c>
      <c r="X127" s="210">
        <v>0</v>
      </c>
      <c r="Y127" s="210">
        <v>0</v>
      </c>
      <c r="Z127" s="210">
        <v>9287.2363273980955</v>
      </c>
      <c r="AA127" s="210">
        <v>0</v>
      </c>
      <c r="AB127" s="211">
        <v>131.29948932920266</v>
      </c>
    </row>
    <row r="128" spans="1:30" ht="12.75" customHeight="1">
      <c r="C128" s="216" t="s">
        <v>296</v>
      </c>
      <c r="D128" s="223"/>
      <c r="E128" s="193" t="s">
        <v>318</v>
      </c>
      <c r="F128" s="209" t="s">
        <v>251</v>
      </c>
      <c r="G128" s="210" t="s">
        <v>251</v>
      </c>
      <c r="H128" s="210" t="s">
        <v>251</v>
      </c>
      <c r="I128" s="210" t="s">
        <v>251</v>
      </c>
      <c r="J128" s="210" t="s">
        <v>251</v>
      </c>
      <c r="K128" s="210" t="s">
        <v>251</v>
      </c>
      <c r="L128" s="211" t="s">
        <v>251</v>
      </c>
      <c r="M128" s="361"/>
      <c r="N128" s="209">
        <v>0</v>
      </c>
      <c r="O128" s="210">
        <v>0</v>
      </c>
      <c r="P128" s="210">
        <v>0</v>
      </c>
      <c r="Q128" s="210">
        <v>0</v>
      </c>
      <c r="R128" s="210">
        <v>13522.080224076703</v>
      </c>
      <c r="S128" s="210">
        <v>0</v>
      </c>
      <c r="T128" s="211">
        <v>0.85858644421663832</v>
      </c>
      <c r="U128" s="361"/>
      <c r="V128" s="209">
        <v>0</v>
      </c>
      <c r="W128" s="210">
        <v>0</v>
      </c>
      <c r="X128" s="210">
        <v>0</v>
      </c>
      <c r="Y128" s="210">
        <v>0</v>
      </c>
      <c r="Z128" s="210">
        <v>13522.080224076703</v>
      </c>
      <c r="AA128" s="210">
        <v>0</v>
      </c>
      <c r="AB128" s="211">
        <v>0.85858644421663832</v>
      </c>
    </row>
    <row r="129" spans="3:28" ht="12.75" customHeight="1">
      <c r="C129" s="216" t="s">
        <v>297</v>
      </c>
      <c r="D129" s="223"/>
      <c r="E129" s="193" t="s">
        <v>318</v>
      </c>
      <c r="F129" s="209" t="s">
        <v>251</v>
      </c>
      <c r="G129" s="210" t="s">
        <v>251</v>
      </c>
      <c r="H129" s="210" t="s">
        <v>251</v>
      </c>
      <c r="I129" s="210" t="s">
        <v>251</v>
      </c>
      <c r="J129" s="210" t="s">
        <v>251</v>
      </c>
      <c r="K129" s="210" t="s">
        <v>251</v>
      </c>
      <c r="L129" s="211" t="s">
        <v>251</v>
      </c>
      <c r="M129" s="361"/>
      <c r="N129" s="209">
        <v>0</v>
      </c>
      <c r="O129" s="210">
        <v>0</v>
      </c>
      <c r="P129" s="210">
        <v>0</v>
      </c>
      <c r="Q129" s="210">
        <v>0</v>
      </c>
      <c r="R129" s="210">
        <v>0</v>
      </c>
      <c r="S129" s="210">
        <v>0</v>
      </c>
      <c r="T129" s="211">
        <v>0</v>
      </c>
      <c r="U129" s="361"/>
      <c r="V129" s="209">
        <v>0</v>
      </c>
      <c r="W129" s="210">
        <v>0</v>
      </c>
      <c r="X129" s="210">
        <v>0</v>
      </c>
      <c r="Y129" s="210">
        <v>0</v>
      </c>
      <c r="Z129" s="210">
        <v>0</v>
      </c>
      <c r="AA129" s="210">
        <v>0</v>
      </c>
      <c r="AB129" s="211">
        <v>0</v>
      </c>
    </row>
    <row r="130" spans="3:28" ht="12.75" customHeight="1">
      <c r="C130" s="218" t="s">
        <v>298</v>
      </c>
      <c r="D130" s="59"/>
      <c r="E130" s="252" t="s">
        <v>318</v>
      </c>
      <c r="F130" s="212" t="s">
        <v>251</v>
      </c>
      <c r="G130" s="213" t="s">
        <v>251</v>
      </c>
      <c r="H130" s="213" t="s">
        <v>251</v>
      </c>
      <c r="I130" s="213" t="s">
        <v>251</v>
      </c>
      <c r="J130" s="213" t="s">
        <v>251</v>
      </c>
      <c r="K130" s="213" t="s">
        <v>251</v>
      </c>
      <c r="L130" s="214" t="s">
        <v>251</v>
      </c>
      <c r="N130" s="212">
        <v>0</v>
      </c>
      <c r="O130" s="213">
        <v>0</v>
      </c>
      <c r="P130" s="213">
        <v>0</v>
      </c>
      <c r="Q130" s="213">
        <v>0</v>
      </c>
      <c r="R130" s="213">
        <v>0</v>
      </c>
      <c r="S130" s="213">
        <v>0</v>
      </c>
      <c r="T130" s="214">
        <v>0</v>
      </c>
      <c r="V130" s="212">
        <v>0</v>
      </c>
      <c r="W130" s="213">
        <v>0</v>
      </c>
      <c r="X130" s="213">
        <v>0</v>
      </c>
      <c r="Y130" s="213">
        <v>0</v>
      </c>
      <c r="Z130" s="213">
        <v>0</v>
      </c>
      <c r="AA130" s="213">
        <v>0</v>
      </c>
      <c r="AB130" s="214">
        <v>0</v>
      </c>
    </row>
    <row r="131" spans="3:28" ht="12.75" customHeight="1">
      <c r="C131" s="195" t="s">
        <v>138</v>
      </c>
      <c r="D131" s="49"/>
      <c r="E131" s="250" t="s">
        <v>318</v>
      </c>
      <c r="F131" s="48"/>
      <c r="G131" s="49"/>
      <c r="H131" s="49"/>
      <c r="I131" s="49"/>
      <c r="J131" s="49"/>
      <c r="K131" s="49"/>
      <c r="L131" s="50"/>
      <c r="N131" s="48"/>
      <c r="O131" s="49"/>
      <c r="P131" s="49"/>
      <c r="Q131" s="49"/>
      <c r="R131" s="49"/>
      <c r="S131" s="49"/>
      <c r="T131" s="50"/>
      <c r="V131" s="48"/>
      <c r="W131" s="49"/>
      <c r="X131" s="49"/>
      <c r="Y131" s="49"/>
      <c r="Z131" s="49"/>
      <c r="AA131" s="49"/>
      <c r="AB131" s="50"/>
    </row>
    <row r="132" spans="3:28" ht="12.75" customHeight="1">
      <c r="C132" s="51"/>
      <c r="D132" s="217" t="s">
        <v>139</v>
      </c>
      <c r="E132" s="251" t="s">
        <v>318</v>
      </c>
      <c r="F132" s="209" t="s">
        <v>251</v>
      </c>
      <c r="G132" s="210" t="s">
        <v>251</v>
      </c>
      <c r="H132" s="210" t="s">
        <v>251</v>
      </c>
      <c r="I132" s="210" t="s">
        <v>251</v>
      </c>
      <c r="J132" s="210" t="s">
        <v>251</v>
      </c>
      <c r="K132" s="210" t="s">
        <v>251</v>
      </c>
      <c r="L132" s="211" t="s">
        <v>251</v>
      </c>
      <c r="N132" s="209">
        <v>0</v>
      </c>
      <c r="O132" s="210">
        <v>0</v>
      </c>
      <c r="P132" s="210">
        <v>0</v>
      </c>
      <c r="Q132" s="210">
        <v>0</v>
      </c>
      <c r="R132" s="210">
        <v>0</v>
      </c>
      <c r="S132" s="210">
        <v>0</v>
      </c>
      <c r="T132" s="211">
        <v>0</v>
      </c>
      <c r="V132" s="209">
        <v>0</v>
      </c>
      <c r="W132" s="210">
        <v>0</v>
      </c>
      <c r="X132" s="210">
        <v>0</v>
      </c>
      <c r="Y132" s="210">
        <v>0</v>
      </c>
      <c r="Z132" s="210">
        <v>0</v>
      </c>
      <c r="AA132" s="210">
        <v>0</v>
      </c>
      <c r="AB132" s="211">
        <v>0</v>
      </c>
    </row>
    <row r="133" spans="3:28" ht="12.75" customHeight="1">
      <c r="C133" s="51"/>
      <c r="D133" s="217" t="s">
        <v>140</v>
      </c>
      <c r="E133" s="251" t="s">
        <v>318</v>
      </c>
      <c r="F133" s="209" t="s">
        <v>251</v>
      </c>
      <c r="G133" s="210" t="s">
        <v>251</v>
      </c>
      <c r="H133" s="210" t="s">
        <v>251</v>
      </c>
      <c r="I133" s="210" t="s">
        <v>251</v>
      </c>
      <c r="J133" s="210" t="s">
        <v>251</v>
      </c>
      <c r="K133" s="210" t="s">
        <v>251</v>
      </c>
      <c r="L133" s="211" t="s">
        <v>251</v>
      </c>
      <c r="N133" s="209">
        <v>0</v>
      </c>
      <c r="O133" s="210">
        <v>0</v>
      </c>
      <c r="P133" s="210">
        <v>0</v>
      </c>
      <c r="Q133" s="210">
        <v>0</v>
      </c>
      <c r="R133" s="210">
        <v>0</v>
      </c>
      <c r="S133" s="210">
        <v>0</v>
      </c>
      <c r="T133" s="211">
        <v>0</v>
      </c>
      <c r="V133" s="209">
        <v>0</v>
      </c>
      <c r="W133" s="210">
        <v>0</v>
      </c>
      <c r="X133" s="210">
        <v>0</v>
      </c>
      <c r="Y133" s="210">
        <v>0</v>
      </c>
      <c r="Z133" s="210">
        <v>0</v>
      </c>
      <c r="AA133" s="210">
        <v>0</v>
      </c>
      <c r="AB133" s="211">
        <v>0</v>
      </c>
    </row>
    <row r="134" spans="3:28" ht="12.75" customHeight="1">
      <c r="C134" s="51"/>
      <c r="D134" s="217" t="s">
        <v>141</v>
      </c>
      <c r="E134" s="251" t="s">
        <v>318</v>
      </c>
      <c r="F134" s="209" t="s">
        <v>251</v>
      </c>
      <c r="G134" s="210" t="s">
        <v>251</v>
      </c>
      <c r="H134" s="210" t="s">
        <v>251</v>
      </c>
      <c r="I134" s="210" t="s">
        <v>251</v>
      </c>
      <c r="J134" s="210" t="s">
        <v>251</v>
      </c>
      <c r="K134" s="210" t="s">
        <v>251</v>
      </c>
      <c r="L134" s="211" t="s">
        <v>251</v>
      </c>
      <c r="N134" s="209">
        <v>0</v>
      </c>
      <c r="O134" s="210">
        <v>0</v>
      </c>
      <c r="P134" s="210">
        <v>0</v>
      </c>
      <c r="Q134" s="210">
        <v>0</v>
      </c>
      <c r="R134" s="210">
        <v>0</v>
      </c>
      <c r="S134" s="210">
        <v>0</v>
      </c>
      <c r="T134" s="211">
        <v>0</v>
      </c>
      <c r="V134" s="209">
        <v>0</v>
      </c>
      <c r="W134" s="210">
        <v>0</v>
      </c>
      <c r="X134" s="210">
        <v>0</v>
      </c>
      <c r="Y134" s="210">
        <v>0</v>
      </c>
      <c r="Z134" s="210">
        <v>0</v>
      </c>
      <c r="AA134" s="210">
        <v>0</v>
      </c>
      <c r="AB134" s="211">
        <v>0</v>
      </c>
    </row>
    <row r="135" spans="3:28" ht="12.75" customHeight="1">
      <c r="C135" s="51"/>
      <c r="D135" s="217" t="s">
        <v>142</v>
      </c>
      <c r="E135" s="251" t="s">
        <v>318</v>
      </c>
      <c r="F135" s="209" t="s">
        <v>251</v>
      </c>
      <c r="G135" s="210" t="s">
        <v>251</v>
      </c>
      <c r="H135" s="210" t="s">
        <v>251</v>
      </c>
      <c r="I135" s="210" t="s">
        <v>251</v>
      </c>
      <c r="J135" s="210" t="s">
        <v>251</v>
      </c>
      <c r="K135" s="210" t="s">
        <v>251</v>
      </c>
      <c r="L135" s="211" t="s">
        <v>251</v>
      </c>
      <c r="N135" s="209">
        <v>0</v>
      </c>
      <c r="O135" s="210">
        <v>0</v>
      </c>
      <c r="P135" s="210">
        <v>0</v>
      </c>
      <c r="Q135" s="210">
        <v>0</v>
      </c>
      <c r="R135" s="210">
        <v>0</v>
      </c>
      <c r="S135" s="210">
        <v>0</v>
      </c>
      <c r="T135" s="211">
        <v>0</v>
      </c>
      <c r="V135" s="209">
        <v>0</v>
      </c>
      <c r="W135" s="210">
        <v>0</v>
      </c>
      <c r="X135" s="210">
        <v>0</v>
      </c>
      <c r="Y135" s="210">
        <v>0</v>
      </c>
      <c r="Z135" s="210">
        <v>0</v>
      </c>
      <c r="AA135" s="210">
        <v>0</v>
      </c>
      <c r="AB135" s="211">
        <v>0</v>
      </c>
    </row>
    <row r="136" spans="3:28" ht="12.75" customHeight="1">
      <c r="C136" s="58"/>
      <c r="D136" s="27" t="s">
        <v>143</v>
      </c>
      <c r="E136" s="252" t="s">
        <v>318</v>
      </c>
      <c r="F136" s="212" t="s">
        <v>251</v>
      </c>
      <c r="G136" s="213" t="s">
        <v>251</v>
      </c>
      <c r="H136" s="213" t="s">
        <v>251</v>
      </c>
      <c r="I136" s="213" t="s">
        <v>251</v>
      </c>
      <c r="J136" s="213" t="s">
        <v>251</v>
      </c>
      <c r="K136" s="213" t="s">
        <v>251</v>
      </c>
      <c r="L136" s="214" t="s">
        <v>251</v>
      </c>
      <c r="N136" s="212">
        <v>0</v>
      </c>
      <c r="O136" s="213">
        <v>0</v>
      </c>
      <c r="P136" s="213">
        <v>0</v>
      </c>
      <c r="Q136" s="213">
        <v>0</v>
      </c>
      <c r="R136" s="213">
        <v>0</v>
      </c>
      <c r="S136" s="213">
        <v>0</v>
      </c>
      <c r="T136" s="214">
        <v>0</v>
      </c>
      <c r="V136" s="212">
        <v>0</v>
      </c>
      <c r="W136" s="213">
        <v>0</v>
      </c>
      <c r="X136" s="213">
        <v>0</v>
      </c>
      <c r="Y136" s="213">
        <v>0</v>
      </c>
      <c r="Z136" s="213">
        <v>0</v>
      </c>
      <c r="AA136" s="213">
        <v>0</v>
      </c>
      <c r="AB136" s="214">
        <v>0</v>
      </c>
    </row>
    <row r="137" spans="3:28" ht="12.75" customHeight="1">
      <c r="C137" s="195" t="s">
        <v>144</v>
      </c>
      <c r="D137" s="49"/>
      <c r="E137" s="250" t="s">
        <v>318</v>
      </c>
      <c r="F137" s="48"/>
      <c r="G137" s="49"/>
      <c r="H137" s="49"/>
      <c r="I137" s="49"/>
      <c r="J137" s="49"/>
      <c r="K137" s="49"/>
      <c r="L137" s="50"/>
      <c r="N137" s="48"/>
      <c r="O137" s="49"/>
      <c r="P137" s="49"/>
      <c r="Q137" s="49"/>
      <c r="R137" s="49"/>
      <c r="S137" s="49"/>
      <c r="T137" s="50"/>
      <c r="V137" s="48"/>
      <c r="W137" s="49"/>
      <c r="X137" s="49"/>
      <c r="Y137" s="49"/>
      <c r="Z137" s="49"/>
      <c r="AA137" s="49"/>
      <c r="AB137" s="50"/>
    </row>
    <row r="138" spans="3:28" ht="12.75" customHeight="1">
      <c r="C138" s="51"/>
      <c r="D138" s="217" t="s">
        <v>139</v>
      </c>
      <c r="E138" s="251" t="s">
        <v>318</v>
      </c>
      <c r="F138" s="209" t="s">
        <v>251</v>
      </c>
      <c r="G138" s="210" t="s">
        <v>251</v>
      </c>
      <c r="H138" s="210" t="s">
        <v>251</v>
      </c>
      <c r="I138" s="210" t="s">
        <v>251</v>
      </c>
      <c r="J138" s="210" t="s">
        <v>251</v>
      </c>
      <c r="K138" s="210" t="s">
        <v>251</v>
      </c>
      <c r="L138" s="211" t="s">
        <v>251</v>
      </c>
      <c r="N138" s="209">
        <v>0</v>
      </c>
      <c r="O138" s="210">
        <v>0</v>
      </c>
      <c r="P138" s="210">
        <v>0</v>
      </c>
      <c r="Q138" s="210">
        <v>0</v>
      </c>
      <c r="R138" s="210">
        <v>0</v>
      </c>
      <c r="S138" s="210">
        <v>0</v>
      </c>
      <c r="T138" s="211">
        <v>0</v>
      </c>
      <c r="V138" s="209">
        <v>0</v>
      </c>
      <c r="W138" s="210">
        <v>0</v>
      </c>
      <c r="X138" s="210">
        <v>0</v>
      </c>
      <c r="Y138" s="210">
        <v>0</v>
      </c>
      <c r="Z138" s="210">
        <v>0</v>
      </c>
      <c r="AA138" s="210">
        <v>0</v>
      </c>
      <c r="AB138" s="211">
        <v>0</v>
      </c>
    </row>
    <row r="139" spans="3:28" ht="12.75" customHeight="1">
      <c r="C139" s="51"/>
      <c r="D139" s="217" t="s">
        <v>140</v>
      </c>
      <c r="E139" s="251" t="s">
        <v>318</v>
      </c>
      <c r="F139" s="209" t="s">
        <v>251</v>
      </c>
      <c r="G139" s="210" t="s">
        <v>251</v>
      </c>
      <c r="H139" s="210" t="s">
        <v>251</v>
      </c>
      <c r="I139" s="210" t="s">
        <v>251</v>
      </c>
      <c r="J139" s="210" t="s">
        <v>251</v>
      </c>
      <c r="K139" s="210" t="s">
        <v>251</v>
      </c>
      <c r="L139" s="211" t="s">
        <v>251</v>
      </c>
      <c r="N139" s="209">
        <v>0</v>
      </c>
      <c r="O139" s="210">
        <v>0</v>
      </c>
      <c r="P139" s="210">
        <v>0</v>
      </c>
      <c r="Q139" s="210">
        <v>0</v>
      </c>
      <c r="R139" s="210">
        <v>0</v>
      </c>
      <c r="S139" s="210">
        <v>0</v>
      </c>
      <c r="T139" s="211">
        <v>0</v>
      </c>
      <c r="V139" s="209">
        <v>0</v>
      </c>
      <c r="W139" s="210">
        <v>0</v>
      </c>
      <c r="X139" s="210">
        <v>0</v>
      </c>
      <c r="Y139" s="210">
        <v>0</v>
      </c>
      <c r="Z139" s="210">
        <v>0</v>
      </c>
      <c r="AA139" s="210">
        <v>0</v>
      </c>
      <c r="AB139" s="211">
        <v>0</v>
      </c>
    </row>
    <row r="140" spans="3:28" ht="12.75" customHeight="1">
      <c r="C140" s="51"/>
      <c r="D140" s="217" t="s">
        <v>141</v>
      </c>
      <c r="E140" s="251" t="s">
        <v>318</v>
      </c>
      <c r="F140" s="209" t="s">
        <v>251</v>
      </c>
      <c r="G140" s="210" t="s">
        <v>251</v>
      </c>
      <c r="H140" s="210" t="s">
        <v>251</v>
      </c>
      <c r="I140" s="210" t="s">
        <v>251</v>
      </c>
      <c r="J140" s="210" t="s">
        <v>251</v>
      </c>
      <c r="K140" s="210" t="s">
        <v>251</v>
      </c>
      <c r="L140" s="211" t="s">
        <v>251</v>
      </c>
      <c r="N140" s="209">
        <v>0</v>
      </c>
      <c r="O140" s="210">
        <v>0</v>
      </c>
      <c r="P140" s="210">
        <v>0</v>
      </c>
      <c r="Q140" s="210">
        <v>0</v>
      </c>
      <c r="R140" s="210">
        <v>0</v>
      </c>
      <c r="S140" s="210">
        <v>0</v>
      </c>
      <c r="T140" s="211">
        <v>0</v>
      </c>
      <c r="V140" s="209">
        <v>0</v>
      </c>
      <c r="W140" s="210">
        <v>0</v>
      </c>
      <c r="X140" s="210">
        <v>0</v>
      </c>
      <c r="Y140" s="210">
        <v>0</v>
      </c>
      <c r="Z140" s="210">
        <v>0</v>
      </c>
      <c r="AA140" s="210">
        <v>0</v>
      </c>
      <c r="AB140" s="211">
        <v>0</v>
      </c>
    </row>
    <row r="141" spans="3:28" ht="12.75" customHeight="1">
      <c r="C141" s="51"/>
      <c r="D141" s="217" t="s">
        <v>142</v>
      </c>
      <c r="E141" s="251" t="s">
        <v>318</v>
      </c>
      <c r="F141" s="209" t="s">
        <v>251</v>
      </c>
      <c r="G141" s="210" t="s">
        <v>251</v>
      </c>
      <c r="H141" s="210" t="s">
        <v>251</v>
      </c>
      <c r="I141" s="210" t="s">
        <v>251</v>
      </c>
      <c r="J141" s="210" t="s">
        <v>251</v>
      </c>
      <c r="K141" s="210" t="s">
        <v>251</v>
      </c>
      <c r="L141" s="211" t="s">
        <v>251</v>
      </c>
      <c r="N141" s="209">
        <v>0</v>
      </c>
      <c r="O141" s="210">
        <v>0</v>
      </c>
      <c r="P141" s="210">
        <v>0</v>
      </c>
      <c r="Q141" s="210">
        <v>0</v>
      </c>
      <c r="R141" s="210">
        <v>0</v>
      </c>
      <c r="S141" s="210">
        <v>0</v>
      </c>
      <c r="T141" s="211">
        <v>0</v>
      </c>
      <c r="V141" s="209">
        <v>0</v>
      </c>
      <c r="W141" s="210">
        <v>0</v>
      </c>
      <c r="X141" s="210">
        <v>0</v>
      </c>
      <c r="Y141" s="210">
        <v>0</v>
      </c>
      <c r="Z141" s="210">
        <v>0</v>
      </c>
      <c r="AA141" s="210">
        <v>0</v>
      </c>
      <c r="AB141" s="211">
        <v>0</v>
      </c>
    </row>
    <row r="142" spans="3:28" ht="12.75" customHeight="1">
      <c r="C142" s="58"/>
      <c r="D142" s="27" t="s">
        <v>143</v>
      </c>
      <c r="E142" s="252" t="s">
        <v>318</v>
      </c>
      <c r="F142" s="212" t="s">
        <v>251</v>
      </c>
      <c r="G142" s="213" t="s">
        <v>251</v>
      </c>
      <c r="H142" s="213" t="s">
        <v>251</v>
      </c>
      <c r="I142" s="213" t="s">
        <v>251</v>
      </c>
      <c r="J142" s="213" t="s">
        <v>251</v>
      </c>
      <c r="K142" s="213" t="s">
        <v>251</v>
      </c>
      <c r="L142" s="214" t="s">
        <v>251</v>
      </c>
      <c r="N142" s="212">
        <v>0</v>
      </c>
      <c r="O142" s="213">
        <v>0</v>
      </c>
      <c r="P142" s="213">
        <v>0</v>
      </c>
      <c r="Q142" s="213">
        <v>0</v>
      </c>
      <c r="R142" s="213">
        <v>0</v>
      </c>
      <c r="S142" s="213">
        <v>0</v>
      </c>
      <c r="T142" s="214">
        <v>0</v>
      </c>
      <c r="V142" s="212">
        <v>0</v>
      </c>
      <c r="W142" s="213">
        <v>0</v>
      </c>
      <c r="X142" s="213">
        <v>0</v>
      </c>
      <c r="Y142" s="213">
        <v>0</v>
      </c>
      <c r="Z142" s="213">
        <v>0</v>
      </c>
      <c r="AA142" s="213">
        <v>0</v>
      </c>
      <c r="AB142" s="214">
        <v>0</v>
      </c>
    </row>
    <row r="143" spans="3:28" ht="12.75" customHeight="1">
      <c r="C143" s="195" t="s">
        <v>145</v>
      </c>
      <c r="D143" s="49"/>
      <c r="E143" s="250" t="s">
        <v>318</v>
      </c>
      <c r="F143" s="48"/>
      <c r="G143" s="49"/>
      <c r="H143" s="49"/>
      <c r="I143" s="49"/>
      <c r="J143" s="49"/>
      <c r="K143" s="49"/>
      <c r="L143" s="50"/>
      <c r="N143" s="48"/>
      <c r="O143" s="49"/>
      <c r="P143" s="49"/>
      <c r="Q143" s="49"/>
      <c r="R143" s="49"/>
      <c r="S143" s="49"/>
      <c r="T143" s="50"/>
      <c r="V143" s="48"/>
      <c r="W143" s="49"/>
      <c r="X143" s="49"/>
      <c r="Y143" s="49"/>
      <c r="Z143" s="49"/>
      <c r="AA143" s="49"/>
      <c r="AB143" s="50"/>
    </row>
    <row r="144" spans="3:28" ht="12.75" customHeight="1">
      <c r="C144" s="51"/>
      <c r="D144" s="217" t="s">
        <v>139</v>
      </c>
      <c r="E144" s="251" t="s">
        <v>318</v>
      </c>
      <c r="F144" s="209" t="s">
        <v>251</v>
      </c>
      <c r="G144" s="210" t="s">
        <v>251</v>
      </c>
      <c r="H144" s="210" t="s">
        <v>251</v>
      </c>
      <c r="I144" s="210" t="s">
        <v>251</v>
      </c>
      <c r="J144" s="210" t="s">
        <v>251</v>
      </c>
      <c r="K144" s="210" t="s">
        <v>251</v>
      </c>
      <c r="L144" s="211" t="s">
        <v>251</v>
      </c>
      <c r="N144" s="209">
        <v>0</v>
      </c>
      <c r="O144" s="210">
        <v>0</v>
      </c>
      <c r="P144" s="210">
        <v>0</v>
      </c>
      <c r="Q144" s="210">
        <v>0</v>
      </c>
      <c r="R144" s="210">
        <v>0</v>
      </c>
      <c r="S144" s="210">
        <v>0</v>
      </c>
      <c r="T144" s="211">
        <v>0</v>
      </c>
      <c r="V144" s="209">
        <v>0</v>
      </c>
      <c r="W144" s="210">
        <v>0</v>
      </c>
      <c r="X144" s="210">
        <v>0</v>
      </c>
      <c r="Y144" s="210">
        <v>0</v>
      </c>
      <c r="Z144" s="210">
        <v>0</v>
      </c>
      <c r="AA144" s="210">
        <v>0</v>
      </c>
      <c r="AB144" s="211">
        <v>0</v>
      </c>
    </row>
    <row r="145" spans="3:28" ht="12.75" customHeight="1">
      <c r="C145" s="51"/>
      <c r="D145" s="217" t="s">
        <v>140</v>
      </c>
      <c r="E145" s="251" t="s">
        <v>318</v>
      </c>
      <c r="F145" s="209" t="s">
        <v>251</v>
      </c>
      <c r="G145" s="210" t="s">
        <v>251</v>
      </c>
      <c r="H145" s="210" t="s">
        <v>251</v>
      </c>
      <c r="I145" s="210" t="s">
        <v>251</v>
      </c>
      <c r="J145" s="210" t="s">
        <v>251</v>
      </c>
      <c r="K145" s="210" t="s">
        <v>251</v>
      </c>
      <c r="L145" s="211" t="s">
        <v>251</v>
      </c>
      <c r="N145" s="209">
        <v>0</v>
      </c>
      <c r="O145" s="210">
        <v>0</v>
      </c>
      <c r="P145" s="210">
        <v>0</v>
      </c>
      <c r="Q145" s="210">
        <v>0</v>
      </c>
      <c r="R145" s="210">
        <v>0</v>
      </c>
      <c r="S145" s="210">
        <v>0</v>
      </c>
      <c r="T145" s="211">
        <v>0</v>
      </c>
      <c r="V145" s="209">
        <v>0</v>
      </c>
      <c r="W145" s="210">
        <v>0</v>
      </c>
      <c r="X145" s="210">
        <v>0</v>
      </c>
      <c r="Y145" s="210">
        <v>0</v>
      </c>
      <c r="Z145" s="210">
        <v>0</v>
      </c>
      <c r="AA145" s="210">
        <v>0</v>
      </c>
      <c r="AB145" s="211">
        <v>0</v>
      </c>
    </row>
    <row r="146" spans="3:28" ht="12.75" customHeight="1">
      <c r="C146" s="51"/>
      <c r="D146" s="217" t="s">
        <v>141</v>
      </c>
      <c r="E146" s="251" t="s">
        <v>318</v>
      </c>
      <c r="F146" s="209" t="s">
        <v>251</v>
      </c>
      <c r="G146" s="210" t="s">
        <v>251</v>
      </c>
      <c r="H146" s="210" t="s">
        <v>251</v>
      </c>
      <c r="I146" s="210" t="s">
        <v>251</v>
      </c>
      <c r="J146" s="210" t="s">
        <v>251</v>
      </c>
      <c r="K146" s="210" t="s">
        <v>251</v>
      </c>
      <c r="L146" s="211" t="s">
        <v>251</v>
      </c>
      <c r="N146" s="209">
        <v>0</v>
      </c>
      <c r="O146" s="210">
        <v>0</v>
      </c>
      <c r="P146" s="210">
        <v>0</v>
      </c>
      <c r="Q146" s="210">
        <v>0</v>
      </c>
      <c r="R146" s="210">
        <v>0</v>
      </c>
      <c r="S146" s="210">
        <v>0</v>
      </c>
      <c r="T146" s="211">
        <v>0</v>
      </c>
      <c r="V146" s="209">
        <v>0</v>
      </c>
      <c r="W146" s="210">
        <v>0</v>
      </c>
      <c r="X146" s="210">
        <v>0</v>
      </c>
      <c r="Y146" s="210">
        <v>0</v>
      </c>
      <c r="Z146" s="210">
        <v>0</v>
      </c>
      <c r="AA146" s="210">
        <v>0</v>
      </c>
      <c r="AB146" s="211">
        <v>0</v>
      </c>
    </row>
    <row r="147" spans="3:28" ht="12.75" customHeight="1">
      <c r="C147" s="51"/>
      <c r="D147" s="217" t="s">
        <v>142</v>
      </c>
      <c r="E147" s="251" t="s">
        <v>318</v>
      </c>
      <c r="F147" s="209" t="s">
        <v>251</v>
      </c>
      <c r="G147" s="210" t="s">
        <v>251</v>
      </c>
      <c r="H147" s="210" t="s">
        <v>251</v>
      </c>
      <c r="I147" s="210" t="s">
        <v>251</v>
      </c>
      <c r="J147" s="210" t="s">
        <v>251</v>
      </c>
      <c r="K147" s="210" t="s">
        <v>251</v>
      </c>
      <c r="L147" s="211" t="s">
        <v>251</v>
      </c>
      <c r="N147" s="209">
        <v>0</v>
      </c>
      <c r="O147" s="210">
        <v>0</v>
      </c>
      <c r="P147" s="210">
        <v>0</v>
      </c>
      <c r="Q147" s="210">
        <v>0</v>
      </c>
      <c r="R147" s="210">
        <v>0</v>
      </c>
      <c r="S147" s="210">
        <v>0</v>
      </c>
      <c r="T147" s="211">
        <v>0</v>
      </c>
      <c r="V147" s="209">
        <v>0</v>
      </c>
      <c r="W147" s="210">
        <v>0</v>
      </c>
      <c r="X147" s="210">
        <v>0</v>
      </c>
      <c r="Y147" s="210">
        <v>0</v>
      </c>
      <c r="Z147" s="210">
        <v>0</v>
      </c>
      <c r="AA147" s="210">
        <v>0</v>
      </c>
      <c r="AB147" s="211">
        <v>0</v>
      </c>
    </row>
    <row r="148" spans="3:28" ht="12.75" customHeight="1">
      <c r="C148" s="58"/>
      <c r="D148" s="27" t="s">
        <v>143</v>
      </c>
      <c r="E148" s="252" t="s">
        <v>318</v>
      </c>
      <c r="F148" s="212" t="s">
        <v>251</v>
      </c>
      <c r="G148" s="213" t="s">
        <v>251</v>
      </c>
      <c r="H148" s="213" t="s">
        <v>251</v>
      </c>
      <c r="I148" s="213" t="s">
        <v>251</v>
      </c>
      <c r="J148" s="213" t="s">
        <v>251</v>
      </c>
      <c r="K148" s="213" t="s">
        <v>251</v>
      </c>
      <c r="L148" s="214" t="s">
        <v>251</v>
      </c>
      <c r="N148" s="212">
        <v>0</v>
      </c>
      <c r="O148" s="213">
        <v>0</v>
      </c>
      <c r="P148" s="213">
        <v>0</v>
      </c>
      <c r="Q148" s="213">
        <v>0</v>
      </c>
      <c r="R148" s="213">
        <v>0</v>
      </c>
      <c r="S148" s="213">
        <v>0</v>
      </c>
      <c r="T148" s="214">
        <v>0</v>
      </c>
      <c r="V148" s="212">
        <v>0</v>
      </c>
      <c r="W148" s="213">
        <v>0</v>
      </c>
      <c r="X148" s="213">
        <v>0</v>
      </c>
      <c r="Y148" s="213">
        <v>0</v>
      </c>
      <c r="Z148" s="213">
        <v>0</v>
      </c>
      <c r="AA148" s="213">
        <v>0</v>
      </c>
      <c r="AB148" s="214">
        <v>0</v>
      </c>
    </row>
    <row r="149" spans="3:28" ht="12.75" customHeight="1">
      <c r="C149" s="195" t="s">
        <v>146</v>
      </c>
      <c r="D149" s="49"/>
      <c r="E149" s="250" t="s">
        <v>318</v>
      </c>
      <c r="F149" s="48"/>
      <c r="G149" s="49"/>
      <c r="H149" s="49"/>
      <c r="I149" s="49"/>
      <c r="J149" s="49"/>
      <c r="K149" s="49"/>
      <c r="L149" s="50"/>
      <c r="N149" s="48"/>
      <c r="O149" s="49"/>
      <c r="P149" s="49"/>
      <c r="Q149" s="49"/>
      <c r="R149" s="49"/>
      <c r="S149" s="49"/>
      <c r="T149" s="50"/>
      <c r="V149" s="48"/>
      <c r="W149" s="49"/>
      <c r="X149" s="49"/>
      <c r="Y149" s="49"/>
      <c r="Z149" s="49"/>
      <c r="AA149" s="49"/>
      <c r="AB149" s="50"/>
    </row>
    <row r="150" spans="3:28" ht="12.75" customHeight="1">
      <c r="C150" s="51"/>
      <c r="D150" s="217" t="s">
        <v>139</v>
      </c>
      <c r="E150" s="251" t="s">
        <v>318</v>
      </c>
      <c r="F150" s="209" t="s">
        <v>251</v>
      </c>
      <c r="G150" s="210" t="s">
        <v>251</v>
      </c>
      <c r="H150" s="210" t="s">
        <v>251</v>
      </c>
      <c r="I150" s="210" t="s">
        <v>251</v>
      </c>
      <c r="J150" s="210" t="s">
        <v>251</v>
      </c>
      <c r="K150" s="210" t="s">
        <v>251</v>
      </c>
      <c r="L150" s="211" t="s">
        <v>251</v>
      </c>
      <c r="N150" s="209">
        <v>0</v>
      </c>
      <c r="O150" s="210">
        <v>0</v>
      </c>
      <c r="P150" s="210">
        <v>0</v>
      </c>
      <c r="Q150" s="210">
        <v>0</v>
      </c>
      <c r="R150" s="210">
        <v>0</v>
      </c>
      <c r="S150" s="210">
        <v>0</v>
      </c>
      <c r="T150" s="211">
        <v>0</v>
      </c>
      <c r="V150" s="209">
        <v>0</v>
      </c>
      <c r="W150" s="210">
        <v>0</v>
      </c>
      <c r="X150" s="210">
        <v>0</v>
      </c>
      <c r="Y150" s="210">
        <v>0</v>
      </c>
      <c r="Z150" s="210">
        <v>0</v>
      </c>
      <c r="AA150" s="210">
        <v>0</v>
      </c>
      <c r="AB150" s="211">
        <v>0</v>
      </c>
    </row>
    <row r="151" spans="3:28" ht="12.75" customHeight="1">
      <c r="C151" s="51"/>
      <c r="D151" s="217" t="s">
        <v>140</v>
      </c>
      <c r="E151" s="251" t="s">
        <v>318</v>
      </c>
      <c r="F151" s="209" t="s">
        <v>251</v>
      </c>
      <c r="G151" s="210" t="s">
        <v>251</v>
      </c>
      <c r="H151" s="210" t="s">
        <v>251</v>
      </c>
      <c r="I151" s="210" t="s">
        <v>251</v>
      </c>
      <c r="J151" s="210" t="s">
        <v>251</v>
      </c>
      <c r="K151" s="210" t="s">
        <v>251</v>
      </c>
      <c r="L151" s="211" t="s">
        <v>251</v>
      </c>
      <c r="N151" s="209">
        <v>0</v>
      </c>
      <c r="O151" s="210">
        <v>0</v>
      </c>
      <c r="P151" s="210">
        <v>0</v>
      </c>
      <c r="Q151" s="210">
        <v>0</v>
      </c>
      <c r="R151" s="210">
        <v>0</v>
      </c>
      <c r="S151" s="210">
        <v>0</v>
      </c>
      <c r="T151" s="211">
        <v>0</v>
      </c>
      <c r="V151" s="209">
        <v>0</v>
      </c>
      <c r="W151" s="210">
        <v>0</v>
      </c>
      <c r="X151" s="210">
        <v>0</v>
      </c>
      <c r="Y151" s="210">
        <v>0</v>
      </c>
      <c r="Z151" s="210">
        <v>0</v>
      </c>
      <c r="AA151" s="210">
        <v>0</v>
      </c>
      <c r="AB151" s="211">
        <v>0</v>
      </c>
    </row>
    <row r="152" spans="3:28" ht="12.75" customHeight="1">
      <c r="C152" s="51"/>
      <c r="D152" s="217" t="s">
        <v>141</v>
      </c>
      <c r="E152" s="251" t="s">
        <v>318</v>
      </c>
      <c r="F152" s="209" t="s">
        <v>251</v>
      </c>
      <c r="G152" s="210" t="s">
        <v>251</v>
      </c>
      <c r="H152" s="210" t="s">
        <v>251</v>
      </c>
      <c r="I152" s="210" t="s">
        <v>251</v>
      </c>
      <c r="J152" s="210" t="s">
        <v>251</v>
      </c>
      <c r="K152" s="210" t="s">
        <v>251</v>
      </c>
      <c r="L152" s="211" t="s">
        <v>251</v>
      </c>
      <c r="N152" s="209">
        <v>0</v>
      </c>
      <c r="O152" s="210">
        <v>0</v>
      </c>
      <c r="P152" s="210">
        <v>0</v>
      </c>
      <c r="Q152" s="210">
        <v>0</v>
      </c>
      <c r="R152" s="210">
        <v>0</v>
      </c>
      <c r="S152" s="210">
        <v>0</v>
      </c>
      <c r="T152" s="211">
        <v>0</v>
      </c>
      <c r="V152" s="209">
        <v>0</v>
      </c>
      <c r="W152" s="210">
        <v>0</v>
      </c>
      <c r="X152" s="210">
        <v>0</v>
      </c>
      <c r="Y152" s="210">
        <v>0</v>
      </c>
      <c r="Z152" s="210">
        <v>0</v>
      </c>
      <c r="AA152" s="210">
        <v>0</v>
      </c>
      <c r="AB152" s="211">
        <v>0</v>
      </c>
    </row>
    <row r="153" spans="3:28" ht="12.75" customHeight="1">
      <c r="C153" s="51"/>
      <c r="D153" s="217" t="s">
        <v>142</v>
      </c>
      <c r="E153" s="251" t="s">
        <v>318</v>
      </c>
      <c r="F153" s="209" t="s">
        <v>251</v>
      </c>
      <c r="G153" s="210" t="s">
        <v>251</v>
      </c>
      <c r="H153" s="210" t="s">
        <v>251</v>
      </c>
      <c r="I153" s="210" t="s">
        <v>251</v>
      </c>
      <c r="J153" s="210" t="s">
        <v>251</v>
      </c>
      <c r="K153" s="210" t="s">
        <v>251</v>
      </c>
      <c r="L153" s="211" t="s">
        <v>251</v>
      </c>
      <c r="N153" s="209">
        <v>0</v>
      </c>
      <c r="O153" s="210">
        <v>0</v>
      </c>
      <c r="P153" s="210">
        <v>0</v>
      </c>
      <c r="Q153" s="210">
        <v>0</v>
      </c>
      <c r="R153" s="210">
        <v>0</v>
      </c>
      <c r="S153" s="210">
        <v>0</v>
      </c>
      <c r="T153" s="211">
        <v>0</v>
      </c>
      <c r="V153" s="209">
        <v>0</v>
      </c>
      <c r="W153" s="210">
        <v>0</v>
      </c>
      <c r="X153" s="210">
        <v>0</v>
      </c>
      <c r="Y153" s="210">
        <v>0</v>
      </c>
      <c r="Z153" s="210">
        <v>0</v>
      </c>
      <c r="AA153" s="210">
        <v>0</v>
      </c>
      <c r="AB153" s="211">
        <v>0</v>
      </c>
    </row>
    <row r="154" spans="3:28" ht="12.75" customHeight="1">
      <c r="C154" s="58"/>
      <c r="D154" s="27" t="s">
        <v>143</v>
      </c>
      <c r="E154" s="252" t="s">
        <v>318</v>
      </c>
      <c r="F154" s="212" t="s">
        <v>251</v>
      </c>
      <c r="G154" s="213" t="s">
        <v>251</v>
      </c>
      <c r="H154" s="213" t="s">
        <v>251</v>
      </c>
      <c r="I154" s="213" t="s">
        <v>251</v>
      </c>
      <c r="J154" s="213" t="s">
        <v>251</v>
      </c>
      <c r="K154" s="213" t="s">
        <v>251</v>
      </c>
      <c r="L154" s="214" t="s">
        <v>251</v>
      </c>
      <c r="N154" s="212">
        <v>0</v>
      </c>
      <c r="O154" s="213">
        <v>0</v>
      </c>
      <c r="P154" s="213">
        <v>0</v>
      </c>
      <c r="Q154" s="213">
        <v>0</v>
      </c>
      <c r="R154" s="213">
        <v>0</v>
      </c>
      <c r="S154" s="213">
        <v>0</v>
      </c>
      <c r="T154" s="214">
        <v>0</v>
      </c>
      <c r="V154" s="212">
        <v>0</v>
      </c>
      <c r="W154" s="213">
        <v>0</v>
      </c>
      <c r="X154" s="213">
        <v>0</v>
      </c>
      <c r="Y154" s="213">
        <v>0</v>
      </c>
      <c r="Z154" s="213">
        <v>0</v>
      </c>
      <c r="AA154" s="213">
        <v>0</v>
      </c>
      <c r="AB154" s="214">
        <v>0</v>
      </c>
    </row>
    <row r="155" spans="3:28" ht="12.75" customHeight="1">
      <c r="C155" s="15" t="s">
        <v>73</v>
      </c>
      <c r="E155" s="49"/>
      <c r="F155" s="207">
        <v>0</v>
      </c>
      <c r="G155" s="207">
        <v>0</v>
      </c>
      <c r="H155" s="207">
        <v>0</v>
      </c>
      <c r="I155" s="207">
        <v>0</v>
      </c>
      <c r="J155" s="207">
        <v>0</v>
      </c>
      <c r="K155" s="207">
        <v>0</v>
      </c>
      <c r="L155" s="207">
        <v>0</v>
      </c>
      <c r="N155" s="207">
        <v>80522.461592071573</v>
      </c>
      <c r="O155" s="207">
        <v>21917.70839234455</v>
      </c>
      <c r="P155" s="207">
        <v>928.60474430110878</v>
      </c>
      <c r="Q155" s="207">
        <v>111.62523700945781</v>
      </c>
      <c r="R155" s="207">
        <v>27216.467167397917</v>
      </c>
      <c r="S155" s="207">
        <v>0</v>
      </c>
      <c r="T155" s="207">
        <v>148.13011445234784</v>
      </c>
      <c r="V155" s="207">
        <v>80522.461592071573</v>
      </c>
      <c r="W155" s="207">
        <v>21917.70839234455</v>
      </c>
      <c r="X155" s="207">
        <v>928.60474430110878</v>
      </c>
      <c r="Y155" s="207">
        <v>111.62523700945781</v>
      </c>
      <c r="Z155" s="207">
        <v>27216.467167397917</v>
      </c>
      <c r="AA155" s="207">
        <v>0</v>
      </c>
      <c r="AB155" s="207">
        <v>148.13011445234784</v>
      </c>
    </row>
    <row r="156" spans="3:28" ht="12.75" customHeight="1">
      <c r="C156" s="172" t="s">
        <v>320</v>
      </c>
      <c r="E156" s="52"/>
      <c r="F156" s="52"/>
      <c r="L156" s="253">
        <v>0</v>
      </c>
      <c r="N156" s="52"/>
      <c r="T156" s="253">
        <v>130844.99724757695</v>
      </c>
      <c r="V156" s="52"/>
      <c r="AB156" s="253">
        <v>130844.99724757695</v>
      </c>
    </row>
  </sheetData>
  <mergeCells count="6">
    <mergeCell ref="F6:L6"/>
    <mergeCell ref="N6:T6"/>
    <mergeCell ref="V6:AB6"/>
    <mergeCell ref="F7:L7"/>
    <mergeCell ref="N7:T7"/>
    <mergeCell ref="V7:AB7"/>
  </mergeCells>
  <conditionalFormatting sqref="B2">
    <cfRule type="cellIs" dxfId="24" priority="8" operator="notEqual">
      <formula>"No Errors Found"</formula>
    </cfRule>
  </conditionalFormatting>
  <dataValidations count="1">
    <dataValidation type="list" allowBlank="1" showInputMessage="1" showErrorMessage="1" sqref="H4" xr:uid="{00000000-0002-0000-0500-000000000000}">
      <formula1>Tariff_Type</formula1>
    </dataValidation>
  </dataValidations>
  <hyperlinks>
    <hyperlink ref="B4" location="'ToC'!$A$1" tooltip="Go To Table of Contents" display="='ToC'!B1" xr:uid="{00000000-0004-0000-0500-000000000000}"/>
  </hyperlinks>
  <pageMargins left="0.7" right="0.7" top="0.75" bottom="0.75" header="0.3" footer="0.3"/>
  <pageSetup paperSize="9" scale="77"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M37"/>
  <sheetViews>
    <sheetView showGridLines="0" zoomScaleNormal="100" workbookViewId="0">
      <pane xSplit="1" ySplit="5" topLeftCell="B6" activePane="bottomRight" state="frozen"/>
      <selection activeCell="E4" sqref="E4"/>
      <selection pane="topRight" activeCell="E4" sqref="E4"/>
      <selection pane="bottomLeft" activeCell="E4" sqref="E4"/>
      <selection pane="bottomRight" activeCell="B6" sqref="B6"/>
    </sheetView>
  </sheetViews>
  <sheetFormatPr defaultColWidth="0" defaultRowHeight="12.75" customHeight="1" zeroHeight="1"/>
  <cols>
    <col min="1" max="3" width="2.703125" style="13" customWidth="1"/>
    <col min="4" max="4" width="5.703125" style="13" customWidth="1"/>
    <col min="5" max="5" width="24.29296875" style="13" customWidth="1"/>
    <col min="6" max="6" width="15.5859375" style="13" customWidth="1"/>
    <col min="7" max="7" width="15.5859375" style="13" bestFit="1" customWidth="1"/>
    <col min="8" max="8" width="13.5859375" style="13" bestFit="1" customWidth="1"/>
    <col min="9" max="9" width="13.1171875" style="13" customWidth="1"/>
    <col min="10" max="10" width="7" style="13" customWidth="1"/>
    <col min="11" max="11" width="2.703125" style="13" customWidth="1"/>
    <col min="12" max="12" width="5.703125" style="13" customWidth="1"/>
    <col min="13" max="13" width="25.5859375" style="13" customWidth="1"/>
    <col min="14" max="14" width="15.5859375" style="13" customWidth="1"/>
    <col min="15" max="15" width="15.5859375" style="13" bestFit="1" customWidth="1"/>
    <col min="16" max="16" width="13.5859375" style="13" bestFit="1" customWidth="1"/>
    <col min="17" max="17" width="13.1171875" style="13" bestFit="1" customWidth="1"/>
    <col min="18" max="18" width="6.5859375" style="13" customWidth="1"/>
    <col min="19" max="19" width="10.703125" style="13" customWidth="1"/>
    <col min="20" max="39" width="10.703125" style="13" hidden="1" customWidth="1"/>
    <col min="40" max="16384" width="9.1171875" style="13" hidden="1"/>
  </cols>
  <sheetData>
    <row r="1" spans="2:18" ht="20.399999999999999">
      <c r="B1" s="8" t="s">
        <v>449</v>
      </c>
    </row>
    <row r="2" spans="2:18" ht="11.25" customHeight="1">
      <c r="B2" s="72" t="s">
        <v>565</v>
      </c>
    </row>
    <row r="3" spans="2:18" ht="12.9">
      <c r="B3" s="71" t="s">
        <v>547</v>
      </c>
    </row>
    <row r="4" spans="2:18" ht="12.9">
      <c r="B4" s="337" t="s">
        <v>96</v>
      </c>
    </row>
    <row r="5" spans="2:18" ht="12.75" customHeight="1"/>
    <row r="6" spans="2:18" ht="12.75" customHeight="1"/>
    <row r="7" spans="2:18" ht="12.75" customHeight="1">
      <c r="D7" s="7" t="s">
        <v>391</v>
      </c>
      <c r="E7" s="7"/>
      <c r="F7" s="7"/>
      <c r="G7" s="7"/>
      <c r="H7" s="7"/>
      <c r="I7" s="7"/>
      <c r="J7" s="7"/>
      <c r="L7" s="7" t="s">
        <v>392</v>
      </c>
      <c r="M7" s="7"/>
      <c r="N7" s="7"/>
      <c r="O7" s="7"/>
      <c r="P7" s="7"/>
      <c r="Q7" s="7"/>
      <c r="R7" s="7"/>
    </row>
    <row r="8" spans="2:18" ht="12.75" customHeight="1"/>
    <row r="9" spans="2:18" ht="12.75" customHeight="1">
      <c r="E9" s="282" t="s">
        <v>179</v>
      </c>
      <c r="F9" s="282"/>
      <c r="G9" s="282"/>
      <c r="H9" s="282"/>
      <c r="I9" s="282"/>
      <c r="J9" s="282"/>
      <c r="M9" s="282" t="s">
        <v>188</v>
      </c>
      <c r="N9" s="282"/>
      <c r="O9" s="282"/>
      <c r="P9" s="282"/>
      <c r="Q9" s="282"/>
      <c r="R9" s="282"/>
    </row>
    <row r="10" spans="2:18" ht="12.75" customHeight="1"/>
    <row r="11" spans="2:18" ht="12.75" customHeight="1">
      <c r="E11" s="172" t="s">
        <v>180</v>
      </c>
      <c r="F11" s="113" t="s">
        <v>403</v>
      </c>
      <c r="G11" s="113" t="s">
        <v>181</v>
      </c>
      <c r="H11" s="113" t="s">
        <v>314</v>
      </c>
      <c r="I11" s="30" t="s">
        <v>393</v>
      </c>
      <c r="M11" s="172" t="s">
        <v>180</v>
      </c>
      <c r="N11" s="113" t="s">
        <v>403</v>
      </c>
      <c r="O11" s="113" t="s">
        <v>181</v>
      </c>
      <c r="P11" s="113" t="s">
        <v>314</v>
      </c>
      <c r="Q11" s="30" t="s">
        <v>393</v>
      </c>
    </row>
    <row r="12" spans="2:18" ht="12.75" customHeight="1">
      <c r="E12" s="215" t="s">
        <v>182</v>
      </c>
      <c r="F12" s="280">
        <v>0.05</v>
      </c>
      <c r="G12" s="280">
        <v>0.05</v>
      </c>
      <c r="H12" s="280">
        <v>0.03</v>
      </c>
      <c r="I12" s="339">
        <v>22987.103397099636</v>
      </c>
      <c r="M12" s="215" t="s">
        <v>182</v>
      </c>
      <c r="N12" s="280">
        <v>0.98</v>
      </c>
      <c r="O12" s="280">
        <v>0.65</v>
      </c>
      <c r="P12" s="280">
        <v>0.98</v>
      </c>
      <c r="Q12" s="339">
        <v>22987.103397099636</v>
      </c>
    </row>
    <row r="13" spans="2:18" ht="12.75" customHeight="1">
      <c r="E13" s="216" t="s">
        <v>183</v>
      </c>
      <c r="F13" s="273">
        <v>0.05</v>
      </c>
      <c r="G13" s="273">
        <v>0.05</v>
      </c>
      <c r="H13" s="273">
        <v>0.05</v>
      </c>
      <c r="I13" s="162">
        <v>36886.231513688639</v>
      </c>
      <c r="M13" s="216" t="s">
        <v>183</v>
      </c>
      <c r="N13" s="273">
        <v>0.95</v>
      </c>
      <c r="O13" s="273">
        <v>0.3</v>
      </c>
      <c r="P13" s="273">
        <v>0.9</v>
      </c>
      <c r="Q13" s="162">
        <v>36886.231513688639</v>
      </c>
    </row>
    <row r="14" spans="2:18" ht="12.75" customHeight="1">
      <c r="E14" s="216" t="s">
        <v>184</v>
      </c>
      <c r="F14" s="273">
        <v>0.05</v>
      </c>
      <c r="G14" s="273">
        <v>0.05</v>
      </c>
      <c r="H14" s="273">
        <v>0.1</v>
      </c>
      <c r="I14" s="162">
        <v>25156.540777629722</v>
      </c>
      <c r="M14" s="216" t="s">
        <v>184</v>
      </c>
      <c r="N14" s="273">
        <v>0.95</v>
      </c>
      <c r="O14" s="273">
        <v>0.1</v>
      </c>
      <c r="P14" s="273">
        <v>0.8</v>
      </c>
      <c r="Q14" s="162">
        <v>25156.540777629722</v>
      </c>
    </row>
    <row r="15" spans="2:18" ht="12.75" customHeight="1">
      <c r="E15" s="216" t="s">
        <v>185</v>
      </c>
      <c r="F15" s="273">
        <v>0.3</v>
      </c>
      <c r="G15" s="273">
        <v>0</v>
      </c>
      <c r="H15" s="273">
        <v>0.1</v>
      </c>
      <c r="I15" s="162">
        <v>22924.282077724522</v>
      </c>
      <c r="M15" s="216" t="s">
        <v>185</v>
      </c>
      <c r="N15" s="273">
        <v>0.8</v>
      </c>
      <c r="O15" s="273">
        <v>0</v>
      </c>
      <c r="P15" s="273">
        <v>0.8</v>
      </c>
      <c r="Q15" s="162">
        <v>22924.282077724522</v>
      </c>
    </row>
    <row r="16" spans="2:18" ht="12.75" customHeight="1">
      <c r="E16" s="216" t="s">
        <v>186</v>
      </c>
      <c r="F16" s="273">
        <v>0.5</v>
      </c>
      <c r="G16" s="273">
        <v>0</v>
      </c>
      <c r="H16" s="273">
        <v>0.15</v>
      </c>
      <c r="I16" s="162">
        <v>9806.3397566767162</v>
      </c>
      <c r="M16" s="216" t="s">
        <v>186</v>
      </c>
      <c r="N16" s="273">
        <v>0.9</v>
      </c>
      <c r="O16" s="273">
        <v>0</v>
      </c>
      <c r="P16" s="273">
        <v>0.4</v>
      </c>
      <c r="Q16" s="162">
        <v>9806.3397566767162</v>
      </c>
    </row>
    <row r="17" spans="5:18" ht="12.75" customHeight="1">
      <c r="E17" s="218" t="s">
        <v>353</v>
      </c>
      <c r="F17" s="342">
        <v>0</v>
      </c>
      <c r="G17" s="342">
        <v>0</v>
      </c>
      <c r="H17" s="342">
        <v>0</v>
      </c>
      <c r="I17" s="341">
        <v>13084.499724757696</v>
      </c>
      <c r="M17" s="218" t="s">
        <v>353</v>
      </c>
      <c r="N17" s="342">
        <v>1</v>
      </c>
      <c r="O17" s="342">
        <v>1</v>
      </c>
      <c r="P17" s="342">
        <v>1</v>
      </c>
      <c r="Q17" s="341">
        <v>13084.499724757696</v>
      </c>
    </row>
    <row r="18" spans="5:18" ht="12.75" customHeight="1">
      <c r="E18" s="340" t="s">
        <v>73</v>
      </c>
      <c r="F18" s="59"/>
      <c r="G18" s="59"/>
      <c r="H18" s="59"/>
      <c r="I18" s="343">
        <v>130844.99724757693</v>
      </c>
      <c r="M18" s="340" t="s">
        <v>73</v>
      </c>
      <c r="N18" s="59"/>
      <c r="O18" s="59"/>
      <c r="P18" s="59"/>
      <c r="Q18" s="343">
        <v>130844.99724757693</v>
      </c>
    </row>
    <row r="19" spans="5:18" ht="12.75" customHeight="1"/>
    <row r="20" spans="5:18" ht="27.75" customHeight="1">
      <c r="E20" s="499" t="s">
        <v>394</v>
      </c>
      <c r="F20" s="500"/>
      <c r="G20" s="500"/>
      <c r="H20" s="500"/>
      <c r="I20" s="501"/>
      <c r="M20" s="499" t="s">
        <v>395</v>
      </c>
      <c r="N20" s="500"/>
      <c r="O20" s="500"/>
      <c r="P20" s="500"/>
      <c r="Q20" s="501"/>
    </row>
    <row r="21" spans="5:18" ht="12.75" customHeight="1">
      <c r="E21" s="51"/>
      <c r="F21" s="52"/>
      <c r="G21" s="52"/>
      <c r="H21" s="52"/>
      <c r="I21" s="53"/>
      <c r="M21" s="51"/>
      <c r="N21" s="52"/>
      <c r="O21" s="52"/>
      <c r="P21" s="52"/>
      <c r="Q21" s="53"/>
    </row>
    <row r="22" spans="5:18" ht="58.5" customHeight="1">
      <c r="E22" s="502" t="s">
        <v>396</v>
      </c>
      <c r="F22" s="503"/>
      <c r="G22" s="503"/>
      <c r="H22" s="503"/>
      <c r="I22" s="504"/>
      <c r="M22" s="502" t="s">
        <v>397</v>
      </c>
      <c r="N22" s="503"/>
      <c r="O22" s="503"/>
      <c r="P22" s="503"/>
      <c r="Q22" s="504"/>
    </row>
    <row r="23" spans="5:18" ht="12.75" customHeight="1"/>
    <row r="24" spans="5:18" ht="12.75" customHeight="1">
      <c r="E24" s="282" t="s">
        <v>398</v>
      </c>
      <c r="F24" s="282"/>
      <c r="G24" s="282"/>
      <c r="H24" s="282"/>
      <c r="I24" s="282"/>
      <c r="J24" s="282"/>
      <c r="M24" s="282" t="s">
        <v>399</v>
      </c>
      <c r="N24" s="282"/>
      <c r="O24" s="282"/>
      <c r="P24" s="282"/>
      <c r="Q24" s="282"/>
      <c r="R24" s="282"/>
    </row>
    <row r="25" spans="5:18" ht="12.75" customHeight="1"/>
    <row r="26" spans="5:18" ht="12.75" customHeight="1">
      <c r="E26" s="172" t="s">
        <v>180</v>
      </c>
      <c r="F26" s="113" t="s">
        <v>403</v>
      </c>
      <c r="G26" s="113" t="s">
        <v>181</v>
      </c>
      <c r="H26" s="113" t="s">
        <v>314</v>
      </c>
      <c r="M26" s="172" t="s">
        <v>180</v>
      </c>
      <c r="N26" s="113" t="s">
        <v>403</v>
      </c>
      <c r="O26" s="113" t="s">
        <v>181</v>
      </c>
      <c r="P26" s="113" t="s">
        <v>314</v>
      </c>
    </row>
    <row r="27" spans="5:18" ht="12.75" customHeight="1">
      <c r="E27" s="215" t="s">
        <v>182</v>
      </c>
      <c r="F27" s="189">
        <v>1149.3551698549818</v>
      </c>
      <c r="G27" s="115">
        <v>1149.3551698549818</v>
      </c>
      <c r="H27" s="339">
        <v>689.61310191298901</v>
      </c>
      <c r="M27" s="215" t="s">
        <v>182</v>
      </c>
      <c r="N27" s="189">
        <v>22527.361329157644</v>
      </c>
      <c r="O27" s="115">
        <v>14941.617208114763</v>
      </c>
      <c r="P27" s="339">
        <v>22527.361329157644</v>
      </c>
    </row>
    <row r="28" spans="5:18" ht="12.75" customHeight="1">
      <c r="E28" s="216" t="s">
        <v>183</v>
      </c>
      <c r="F28" s="176">
        <v>1844.311575684432</v>
      </c>
      <c r="G28" s="161">
        <v>1844.311575684432</v>
      </c>
      <c r="H28" s="162">
        <v>1844.311575684432</v>
      </c>
      <c r="M28" s="216" t="s">
        <v>183</v>
      </c>
      <c r="N28" s="176">
        <v>35041.919938004205</v>
      </c>
      <c r="O28" s="161">
        <v>11065.869454106591</v>
      </c>
      <c r="P28" s="162">
        <v>33197.608362319777</v>
      </c>
    </row>
    <row r="29" spans="5:18" ht="12.75" customHeight="1">
      <c r="E29" s="216" t="s">
        <v>184</v>
      </c>
      <c r="F29" s="176">
        <v>1257.8270388814863</v>
      </c>
      <c r="G29" s="161">
        <v>1257.8270388814863</v>
      </c>
      <c r="H29" s="162">
        <v>2515.6540777629725</v>
      </c>
      <c r="M29" s="216" t="s">
        <v>184</v>
      </c>
      <c r="N29" s="176">
        <v>23898.713738748233</v>
      </c>
      <c r="O29" s="161">
        <v>2515.6540777629725</v>
      </c>
      <c r="P29" s="162">
        <v>20125.23262210378</v>
      </c>
    </row>
    <row r="30" spans="5:18" ht="12.75" customHeight="1">
      <c r="E30" s="216" t="s">
        <v>185</v>
      </c>
      <c r="F30" s="176">
        <v>6877.2846233173559</v>
      </c>
      <c r="G30" s="161">
        <v>0</v>
      </c>
      <c r="H30" s="162">
        <v>2292.4282077724524</v>
      </c>
      <c r="M30" s="216" t="s">
        <v>185</v>
      </c>
      <c r="N30" s="176">
        <v>18339.425662179619</v>
      </c>
      <c r="O30" s="161">
        <v>0</v>
      </c>
      <c r="P30" s="162">
        <v>18339.425662179619</v>
      </c>
    </row>
    <row r="31" spans="5:18" ht="12.75" customHeight="1">
      <c r="E31" s="216" t="s">
        <v>186</v>
      </c>
      <c r="F31" s="176">
        <v>4903.1698783383581</v>
      </c>
      <c r="G31" s="161">
        <v>0</v>
      </c>
      <c r="H31" s="162">
        <v>1470.9509635015074</v>
      </c>
      <c r="M31" s="216" t="s">
        <v>186</v>
      </c>
      <c r="N31" s="176">
        <v>8825.7057810090446</v>
      </c>
      <c r="O31" s="161">
        <v>0</v>
      </c>
      <c r="P31" s="162">
        <v>3922.5359026706865</v>
      </c>
    </row>
    <row r="32" spans="5:18" ht="12.75" customHeight="1">
      <c r="E32" s="218" t="s">
        <v>353</v>
      </c>
      <c r="F32" s="176">
        <v>0</v>
      </c>
      <c r="G32" s="161">
        <v>0</v>
      </c>
      <c r="H32" s="162">
        <v>0</v>
      </c>
      <c r="M32" s="218" t="s">
        <v>353</v>
      </c>
      <c r="N32" s="176">
        <v>13084.499724757696</v>
      </c>
      <c r="O32" s="161">
        <v>13084.499724757696</v>
      </c>
      <c r="P32" s="162">
        <v>13084.499724757696</v>
      </c>
    </row>
    <row r="33" spans="5:16" ht="12.75" customHeight="1">
      <c r="E33" s="344" t="s">
        <v>73</v>
      </c>
      <c r="F33" s="345">
        <v>16031.948286076615</v>
      </c>
      <c r="G33" s="346">
        <v>4251.4937844208998</v>
      </c>
      <c r="H33" s="347">
        <v>8812.9579266343535</v>
      </c>
      <c r="M33" s="344" t="s">
        <v>73</v>
      </c>
      <c r="N33" s="345">
        <v>121717.62617385645</v>
      </c>
      <c r="O33" s="346">
        <v>41607.64046474202</v>
      </c>
      <c r="P33" s="347">
        <v>111196.66360318921</v>
      </c>
    </row>
    <row r="34" spans="5:16" ht="12.75" customHeight="1"/>
    <row r="35" spans="5:16" ht="12.75" customHeight="1"/>
    <row r="36" spans="5:16" ht="12.75" customHeight="1"/>
    <row r="37" spans="5:16" ht="12.75" customHeight="1"/>
  </sheetData>
  <mergeCells count="4">
    <mergeCell ref="E20:I20"/>
    <mergeCell ref="M20:Q20"/>
    <mergeCell ref="E22:I22"/>
    <mergeCell ref="M22:Q22"/>
  </mergeCells>
  <conditionalFormatting sqref="B2">
    <cfRule type="cellIs" dxfId="23" priority="4" operator="notEqual">
      <formula>"No Errors Found"</formula>
    </cfRule>
  </conditionalFormatting>
  <hyperlinks>
    <hyperlink ref="B4" location="'ToC'!$A$1" tooltip="Go To Table of Contents" display="='ToC'!B1" xr:uid="{00000000-0004-0000-0600-000000000000}"/>
  </hyperlinks>
  <pageMargins left="0.7" right="0.7" top="0.75" bottom="0.75" header="0.3" footer="0.3"/>
  <pageSetup paperSize="9" scale="72"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AC81"/>
  <sheetViews>
    <sheetView showGridLines="0" zoomScaleNormal="100" workbookViewId="0">
      <pane xSplit="1" ySplit="5" topLeftCell="B6" activePane="bottomRight" state="frozen"/>
      <selection activeCell="E4" sqref="E4"/>
      <selection pane="topRight" activeCell="E4" sqref="E4"/>
      <selection pane="bottomLeft" activeCell="E4" sqref="E4"/>
      <selection pane="bottomRight" activeCell="B6" sqref="B6"/>
    </sheetView>
  </sheetViews>
  <sheetFormatPr defaultColWidth="9.1171875" defaultRowHeight="12.75" customHeight="1"/>
  <cols>
    <col min="1" max="3" width="2.703125" style="13" customWidth="1"/>
    <col min="4" max="4" width="5.703125" style="13" customWidth="1"/>
    <col min="5" max="5" width="24.29296875" style="13" customWidth="1"/>
    <col min="6" max="41" width="10.703125" style="13" customWidth="1"/>
    <col min="42" max="16384" width="9.1171875" style="13"/>
  </cols>
  <sheetData>
    <row r="1" spans="2:29" ht="20.399999999999999">
      <c r="B1" s="8" t="s">
        <v>443</v>
      </c>
    </row>
    <row r="2" spans="2:29" ht="11.25" customHeight="1">
      <c r="B2" s="72" t="s">
        <v>565</v>
      </c>
    </row>
    <row r="3" spans="2:29" ht="12.9">
      <c r="B3" s="71" t="s">
        <v>547</v>
      </c>
    </row>
    <row r="4" spans="2:29" ht="12.9">
      <c r="B4" s="337" t="s">
        <v>96</v>
      </c>
    </row>
    <row r="5" spans="2:29" ht="12.75" customHeight="1">
      <c r="I5" s="113"/>
      <c r="J5" s="113" t="s">
        <v>159</v>
      </c>
      <c r="K5" s="113" t="s">
        <v>566</v>
      </c>
      <c r="L5" s="113" t="s">
        <v>567</v>
      </c>
      <c r="M5" s="113" t="s">
        <v>568</v>
      </c>
      <c r="N5" s="113" t="s">
        <v>569</v>
      </c>
      <c r="O5" s="113" t="s">
        <v>570</v>
      </c>
      <c r="P5" s="113" t="s">
        <v>571</v>
      </c>
      <c r="Q5" s="113" t="s">
        <v>572</v>
      </c>
      <c r="R5" s="113" t="s">
        <v>573</v>
      </c>
      <c r="S5" s="113" t="s">
        <v>574</v>
      </c>
      <c r="T5" s="113" t="s">
        <v>575</v>
      </c>
      <c r="U5" s="113" t="s">
        <v>576</v>
      </c>
      <c r="V5" s="113" t="s">
        <v>577</v>
      </c>
      <c r="W5" s="113" t="s">
        <v>578</v>
      </c>
      <c r="X5" s="113" t="s">
        <v>579</v>
      </c>
      <c r="Y5" s="113" t="s">
        <v>580</v>
      </c>
      <c r="Z5" s="113" t="s">
        <v>581</v>
      </c>
      <c r="AA5" s="113" t="s">
        <v>582</v>
      </c>
      <c r="AB5" s="113" t="s">
        <v>583</v>
      </c>
      <c r="AC5" s="113" t="s">
        <v>584</v>
      </c>
    </row>
    <row r="7" spans="2:29" s="7" customFormat="1" ht="15.6">
      <c r="B7" s="7" t="s">
        <v>455</v>
      </c>
    </row>
    <row r="9" spans="2:29" ht="12.75" customHeight="1">
      <c r="C9" s="283" t="s">
        <v>408</v>
      </c>
      <c r="F9" s="55" t="s">
        <v>135</v>
      </c>
      <c r="G9" s="55" t="s">
        <v>136</v>
      </c>
    </row>
    <row r="10" spans="2:29" ht="12.75" customHeight="1">
      <c r="D10" s="14" t="s">
        <v>531</v>
      </c>
      <c r="F10" s="42" t="s">
        <v>277</v>
      </c>
      <c r="G10" s="42" t="s">
        <v>164</v>
      </c>
      <c r="H10" s="148">
        <v>4.0981331106355823E-2</v>
      </c>
    </row>
    <row r="11" spans="2:29" ht="12.75" customHeight="1">
      <c r="D11" s="14" t="s">
        <v>409</v>
      </c>
      <c r="F11" s="42" t="s">
        <v>277</v>
      </c>
      <c r="G11" s="42" t="s">
        <v>164</v>
      </c>
      <c r="H11" s="151">
        <v>40</v>
      </c>
    </row>
    <row r="12" spans="2:29" ht="12.75" customHeight="1">
      <c r="D12" s="14" t="s">
        <v>410</v>
      </c>
      <c r="F12" s="42" t="s">
        <v>277</v>
      </c>
      <c r="G12" s="42" t="s">
        <v>164</v>
      </c>
      <c r="H12" s="148">
        <v>5.1263674204776982E-2</v>
      </c>
    </row>
    <row r="13" spans="2:29" ht="12.75" customHeight="1">
      <c r="D13" s="14" t="s">
        <v>411</v>
      </c>
      <c r="F13" s="42" t="s">
        <v>277</v>
      </c>
      <c r="G13" s="42" t="s">
        <v>164</v>
      </c>
      <c r="H13" s="148">
        <v>2.1389261313176436E-2</v>
      </c>
    </row>
    <row r="14" spans="2:29" ht="12.75" customHeight="1">
      <c r="D14" s="14" t="s">
        <v>412</v>
      </c>
      <c r="F14" s="42" t="s">
        <v>277</v>
      </c>
      <c r="G14" s="42" t="s">
        <v>164</v>
      </c>
      <c r="H14" s="148">
        <v>2.5000000000000001E-2</v>
      </c>
    </row>
    <row r="16" spans="2:29" ht="12.75" customHeight="1">
      <c r="C16" s="283" t="s">
        <v>425</v>
      </c>
      <c r="F16" s="55" t="s">
        <v>135</v>
      </c>
      <c r="G16" s="55" t="s">
        <v>136</v>
      </c>
    </row>
    <row r="17" spans="2:29" ht="12.75" customHeight="1">
      <c r="D17" s="14" t="s">
        <v>240</v>
      </c>
      <c r="F17" s="42" t="s">
        <v>277</v>
      </c>
      <c r="G17" s="42" t="s">
        <v>164</v>
      </c>
      <c r="H17" s="148">
        <v>2.4248746575396662E-2</v>
      </c>
    </row>
    <row r="18" spans="2:29" ht="12.75" customHeight="1">
      <c r="D18" s="14" t="s">
        <v>426</v>
      </c>
      <c r="F18" s="42" t="s">
        <v>277</v>
      </c>
      <c r="G18" s="42" t="s">
        <v>430</v>
      </c>
      <c r="H18" s="169" t="s">
        <v>159</v>
      </c>
    </row>
    <row r="19" spans="2:29" ht="12.75" customHeight="1">
      <c r="D19" s="14" t="s">
        <v>427</v>
      </c>
      <c r="F19" s="42" t="s">
        <v>277</v>
      </c>
      <c r="G19" s="108" t="s">
        <v>430</v>
      </c>
      <c r="H19" s="151">
        <v>1</v>
      </c>
    </row>
    <row r="21" spans="2:29" s="7" customFormat="1" ht="15.6">
      <c r="B21" s="7" t="s">
        <v>456</v>
      </c>
    </row>
    <row r="23" spans="2:29" ht="12.75" customHeight="1">
      <c r="C23" s="283" t="s">
        <v>413</v>
      </c>
      <c r="F23" s="55" t="s">
        <v>135</v>
      </c>
      <c r="G23" s="55" t="s">
        <v>136</v>
      </c>
    </row>
    <row r="24" spans="2:29" ht="12.75" customHeight="1">
      <c r="D24" s="14" t="s">
        <v>415</v>
      </c>
      <c r="F24" s="42" t="s">
        <v>277</v>
      </c>
      <c r="G24" s="42" t="s">
        <v>318</v>
      </c>
      <c r="K24" s="151">
        <v>1824.1911250000001</v>
      </c>
      <c r="L24" s="151">
        <v>9461.0902500000011</v>
      </c>
      <c r="M24" s="151">
        <v>11346.426874999997</v>
      </c>
      <c r="N24" s="151">
        <v>8329.7451249999995</v>
      </c>
      <c r="O24" s="151">
        <v>6885.2900500000005</v>
      </c>
      <c r="P24" s="151">
        <v>6885.2900500000005</v>
      </c>
      <c r="Q24" s="151">
        <v>6885.2900500000005</v>
      </c>
      <c r="R24" s="151">
        <v>6885.2900500000005</v>
      </c>
      <c r="S24" s="151">
        <v>6885.2900500000005</v>
      </c>
      <c r="T24" s="151">
        <v>6885.2900500000005</v>
      </c>
      <c r="U24" s="151">
        <v>6885.2900500000005</v>
      </c>
      <c r="V24" s="151">
        <v>6885.2900500000005</v>
      </c>
      <c r="W24" s="151">
        <v>6885.2900500000005</v>
      </c>
      <c r="X24" s="151">
        <v>6885.2900500000005</v>
      </c>
      <c r="Y24" s="151">
        <v>6885.2900500000005</v>
      </c>
      <c r="Z24" s="151">
        <v>6885.2900500000005</v>
      </c>
      <c r="AA24" s="151">
        <v>6885.2900500000005</v>
      </c>
      <c r="AB24" s="151">
        <v>6885.2900500000005</v>
      </c>
      <c r="AC24" s="151">
        <v>6885.2900500000005</v>
      </c>
    </row>
    <row r="25" spans="2:29" ht="12.75" customHeight="1">
      <c r="D25" s="14" t="s">
        <v>416</v>
      </c>
      <c r="F25" s="42" t="s">
        <v>277</v>
      </c>
      <c r="G25" s="42" t="s">
        <v>318</v>
      </c>
      <c r="K25" s="151">
        <v>5721.4932469958885</v>
      </c>
      <c r="L25" s="151">
        <v>7244.5187441254775</v>
      </c>
      <c r="M25" s="151">
        <v>6737.2731551696788</v>
      </c>
      <c r="N25" s="151">
        <v>6461.1712746945441</v>
      </c>
      <c r="O25" s="151">
        <v>6346.4418993000636</v>
      </c>
      <c r="P25" s="151">
        <v>6346.4418993000636</v>
      </c>
      <c r="Q25" s="151">
        <v>6346.4418993000636</v>
      </c>
      <c r="R25" s="151">
        <v>6346.4418993000636</v>
      </c>
      <c r="S25" s="151">
        <v>6346.4418993000636</v>
      </c>
      <c r="T25" s="151">
        <v>6346.4418993000636</v>
      </c>
      <c r="U25" s="151">
        <v>6346.4418993000636</v>
      </c>
      <c r="V25" s="151">
        <v>6346.4418993000636</v>
      </c>
      <c r="W25" s="151">
        <v>6346.4418993000636</v>
      </c>
      <c r="X25" s="151">
        <v>6346.4418993000636</v>
      </c>
      <c r="Y25" s="151">
        <v>6346.4418993000636</v>
      </c>
      <c r="Z25" s="151">
        <v>6346.4418993000636</v>
      </c>
      <c r="AA25" s="151">
        <v>6346.4418993000636</v>
      </c>
      <c r="AB25" s="151">
        <v>6346.4418993000636</v>
      </c>
      <c r="AC25" s="151">
        <v>6346.4418993000636</v>
      </c>
    </row>
    <row r="26" spans="2:29" ht="12.75" customHeight="1">
      <c r="D26" s="14" t="s">
        <v>73</v>
      </c>
      <c r="F26" s="42" t="s">
        <v>277</v>
      </c>
      <c r="G26" s="42" t="s">
        <v>318</v>
      </c>
      <c r="K26" s="115">
        <v>7545.6843719958888</v>
      </c>
      <c r="L26" s="115">
        <v>16705.60899412548</v>
      </c>
      <c r="M26" s="115">
        <v>18083.700030169675</v>
      </c>
      <c r="N26" s="115">
        <v>14790.916399694543</v>
      </c>
      <c r="O26" s="115">
        <v>13231.731949300065</v>
      </c>
      <c r="P26" s="115">
        <v>13231.731949300065</v>
      </c>
      <c r="Q26" s="115">
        <v>13231.731949300065</v>
      </c>
      <c r="R26" s="115">
        <v>13231.731949300065</v>
      </c>
      <c r="S26" s="115">
        <v>13231.731949300065</v>
      </c>
      <c r="T26" s="115">
        <v>13231.731949300065</v>
      </c>
      <c r="U26" s="115">
        <v>13231.731949300065</v>
      </c>
      <c r="V26" s="115">
        <v>13231.731949300065</v>
      </c>
      <c r="W26" s="115">
        <v>13231.731949300065</v>
      </c>
      <c r="X26" s="115">
        <v>13231.731949300065</v>
      </c>
      <c r="Y26" s="115">
        <v>13231.731949300065</v>
      </c>
      <c r="Z26" s="115">
        <v>13231.731949300065</v>
      </c>
      <c r="AA26" s="115">
        <v>13231.731949300065</v>
      </c>
      <c r="AB26" s="115">
        <v>13231.731949300065</v>
      </c>
      <c r="AC26" s="115">
        <v>13231.731949300065</v>
      </c>
    </row>
    <row r="28" spans="2:29" ht="12.75" customHeight="1">
      <c r="C28" s="283" t="s">
        <v>417</v>
      </c>
      <c r="F28" s="55" t="s">
        <v>135</v>
      </c>
      <c r="G28" s="55" t="s">
        <v>136</v>
      </c>
    </row>
    <row r="29" spans="2:29" ht="12.75" customHeight="1">
      <c r="D29" s="14" t="s">
        <v>415</v>
      </c>
      <c r="F29" s="42" t="s">
        <v>277</v>
      </c>
      <c r="G29" s="42" t="s">
        <v>318</v>
      </c>
      <c r="K29" s="151">
        <v>39.0181006578023</v>
      </c>
      <c r="L29" s="151">
        <v>202.36573166479579</v>
      </c>
      <c r="M29" s="151">
        <v>242.69168940022286</v>
      </c>
      <c r="N29" s="151">
        <v>178.1670951507825</v>
      </c>
      <c r="O29" s="151">
        <v>147.27126809646367</v>
      </c>
      <c r="P29" s="151">
        <v>147.27126809646367</v>
      </c>
      <c r="Q29" s="151">
        <v>147.27126809646367</v>
      </c>
      <c r="R29" s="151">
        <v>147.27126809646367</v>
      </c>
      <c r="S29" s="151">
        <v>147.27126809646367</v>
      </c>
      <c r="T29" s="151">
        <v>147.27126809646367</v>
      </c>
      <c r="U29" s="151">
        <v>147.27126809646367</v>
      </c>
      <c r="V29" s="151">
        <v>147.27126809646367</v>
      </c>
      <c r="W29" s="151">
        <v>147.27126809646367</v>
      </c>
      <c r="X29" s="151">
        <v>147.27126809646367</v>
      </c>
      <c r="Y29" s="151">
        <v>147.27126809646367</v>
      </c>
      <c r="Z29" s="151">
        <v>147.27126809646367</v>
      </c>
      <c r="AA29" s="151">
        <v>147.27126809646367</v>
      </c>
      <c r="AB29" s="151">
        <v>147.27126809646367</v>
      </c>
      <c r="AC29" s="151">
        <v>147.27126809646367</v>
      </c>
    </row>
    <row r="30" spans="2:29" ht="12.75" customHeight="1">
      <c r="D30" s="14" t="s">
        <v>416</v>
      </c>
      <c r="F30" s="42" t="s">
        <v>277</v>
      </c>
      <c r="G30" s="42" t="s">
        <v>318</v>
      </c>
      <c r="K30" s="151">
        <v>143.03733117489722</v>
      </c>
      <c r="L30" s="151">
        <v>181.11296860313695</v>
      </c>
      <c r="M30" s="151">
        <v>168.43182887924198</v>
      </c>
      <c r="N30" s="151">
        <v>161.52928186736361</v>
      </c>
      <c r="O30" s="151">
        <v>158.6610474825016</v>
      </c>
      <c r="P30" s="151">
        <v>158.6610474825016</v>
      </c>
      <c r="Q30" s="151">
        <v>158.6610474825016</v>
      </c>
      <c r="R30" s="151">
        <v>158.6610474825016</v>
      </c>
      <c r="S30" s="151">
        <v>158.6610474825016</v>
      </c>
      <c r="T30" s="151">
        <v>158.6610474825016</v>
      </c>
      <c r="U30" s="151">
        <v>158.6610474825016</v>
      </c>
      <c r="V30" s="151">
        <v>158.6610474825016</v>
      </c>
      <c r="W30" s="151">
        <v>158.6610474825016</v>
      </c>
      <c r="X30" s="151">
        <v>158.6610474825016</v>
      </c>
      <c r="Y30" s="151">
        <v>158.6610474825016</v>
      </c>
      <c r="Z30" s="151">
        <v>158.6610474825016</v>
      </c>
      <c r="AA30" s="151">
        <v>158.6610474825016</v>
      </c>
      <c r="AB30" s="151">
        <v>158.6610474825016</v>
      </c>
      <c r="AC30" s="151">
        <v>158.6610474825016</v>
      </c>
    </row>
    <row r="31" spans="2:29" ht="12.75" customHeight="1">
      <c r="D31" s="14" t="s">
        <v>73</v>
      </c>
      <c r="F31" s="42" t="s">
        <v>277</v>
      </c>
      <c r="G31" s="42" t="s">
        <v>318</v>
      </c>
      <c r="K31" s="115">
        <v>182.05543183269953</v>
      </c>
      <c r="L31" s="115">
        <v>383.47870026793271</v>
      </c>
      <c r="M31" s="115">
        <v>411.12351827946486</v>
      </c>
      <c r="N31" s="115">
        <v>339.69637701814611</v>
      </c>
      <c r="O31" s="115">
        <v>305.93231557896524</v>
      </c>
      <c r="P31" s="115">
        <v>305.93231557896524</v>
      </c>
      <c r="Q31" s="115">
        <v>305.93231557896524</v>
      </c>
      <c r="R31" s="115">
        <v>305.93231557896524</v>
      </c>
      <c r="S31" s="115">
        <v>305.93231557896524</v>
      </c>
      <c r="T31" s="115">
        <v>305.93231557896524</v>
      </c>
      <c r="U31" s="115">
        <v>305.93231557896524</v>
      </c>
      <c r="V31" s="115">
        <v>305.93231557896524</v>
      </c>
      <c r="W31" s="115">
        <v>305.93231557896524</v>
      </c>
      <c r="X31" s="115">
        <v>305.93231557896524</v>
      </c>
      <c r="Y31" s="115">
        <v>305.93231557896524</v>
      </c>
      <c r="Z31" s="115">
        <v>305.93231557896524</v>
      </c>
      <c r="AA31" s="115">
        <v>305.93231557896524</v>
      </c>
      <c r="AB31" s="115">
        <v>305.93231557896524</v>
      </c>
      <c r="AC31" s="115">
        <v>305.93231557896524</v>
      </c>
    </row>
    <row r="33" spans="2:29" s="7" customFormat="1" ht="15.6">
      <c r="B33" s="7" t="s">
        <v>458</v>
      </c>
    </row>
    <row r="35" spans="2:29" ht="12.75" customHeight="1">
      <c r="C35" s="283" t="s">
        <v>165</v>
      </c>
      <c r="F35" s="55" t="s">
        <v>135</v>
      </c>
      <c r="G35" s="55" t="s">
        <v>136</v>
      </c>
    </row>
    <row r="36" spans="2:29" ht="12.75" customHeight="1">
      <c r="D36" s="15" t="s">
        <v>169</v>
      </c>
      <c r="F36" s="42" t="s">
        <v>277</v>
      </c>
      <c r="G36" s="42" t="s">
        <v>164</v>
      </c>
      <c r="I36" s="148"/>
      <c r="J36" s="148">
        <v>-1.7386892633311835E-2</v>
      </c>
      <c r="K36" s="148">
        <v>4.7207801079449663E-3</v>
      </c>
      <c r="L36" s="148">
        <v>-6.3860634750690926E-3</v>
      </c>
      <c r="M36" s="148">
        <v>-2.4220590878288872E-3</v>
      </c>
      <c r="N36" s="148">
        <v>1.8436305058011637E-3</v>
      </c>
      <c r="O36" s="148">
        <v>-5.2669974230445948E-4</v>
      </c>
      <c r="P36" s="148">
        <v>1.2557475372148019E-3</v>
      </c>
      <c r="Q36" s="148">
        <v>2.9197778171878852E-3</v>
      </c>
      <c r="R36" s="148">
        <v>1.2999999999999999E-2</v>
      </c>
      <c r="S36" s="148">
        <v>1.2999999999999999E-2</v>
      </c>
      <c r="T36" s="148">
        <v>1.2999999999999999E-2</v>
      </c>
      <c r="U36" s="148">
        <v>1.2999999999999999E-2</v>
      </c>
      <c r="V36" s="148">
        <v>1.2999999999999999E-2</v>
      </c>
      <c r="W36" s="148">
        <v>1.2999999999999999E-2</v>
      </c>
      <c r="X36" s="148">
        <v>1.2999999999999999E-2</v>
      </c>
      <c r="Y36" s="148">
        <v>1.2999999999999999E-2</v>
      </c>
      <c r="Z36" s="148">
        <v>1.2999999999999999E-2</v>
      </c>
      <c r="AA36" s="148">
        <v>1.2999999999999999E-2</v>
      </c>
      <c r="AB36" s="148">
        <v>1.2999999999999999E-2</v>
      </c>
      <c r="AC36" s="148">
        <v>1.2999999999999999E-2</v>
      </c>
    </row>
    <row r="37" spans="2:29" ht="12.75" customHeight="1">
      <c r="D37" s="15" t="s">
        <v>170</v>
      </c>
      <c r="F37" s="42" t="s">
        <v>277</v>
      </c>
      <c r="G37" s="42" t="s">
        <v>164</v>
      </c>
      <c r="I37" s="148"/>
      <c r="J37" s="148">
        <v>-1.1539270214841912E-2</v>
      </c>
      <c r="K37" s="148">
        <v>-2.0833543279044853E-2</v>
      </c>
      <c r="L37" s="148">
        <v>-1.5187449331586667E-2</v>
      </c>
      <c r="M37" s="148">
        <v>-2.3286365813036669E-3</v>
      </c>
      <c r="N37" s="148">
        <v>-1.8123558254113381E-2</v>
      </c>
      <c r="O37" s="148">
        <v>-6.3121109190745761E-3</v>
      </c>
      <c r="P37" s="148">
        <v>-1.134296318860073E-2</v>
      </c>
      <c r="Q37" s="148">
        <v>-1.8887839929708772E-3</v>
      </c>
      <c r="R37" s="148">
        <v>1.2999999999999999E-2</v>
      </c>
      <c r="S37" s="148">
        <v>1.2999999999999999E-2</v>
      </c>
      <c r="T37" s="148">
        <v>1.2999999999999999E-2</v>
      </c>
      <c r="U37" s="148">
        <v>1.2999999999999999E-2</v>
      </c>
      <c r="V37" s="148">
        <v>1.2999999999999999E-2</v>
      </c>
      <c r="W37" s="148">
        <v>1.2999999999999999E-2</v>
      </c>
      <c r="X37" s="148">
        <v>1.2999999999999999E-2</v>
      </c>
      <c r="Y37" s="148">
        <v>1.2999999999999999E-2</v>
      </c>
      <c r="Z37" s="148">
        <v>1.2999999999999999E-2</v>
      </c>
      <c r="AA37" s="148">
        <v>1.2999999999999999E-2</v>
      </c>
      <c r="AB37" s="148">
        <v>1.2999999999999999E-2</v>
      </c>
      <c r="AC37" s="148">
        <v>1.2999999999999999E-2</v>
      </c>
    </row>
    <row r="38" spans="2:29" ht="12.75" customHeight="1">
      <c r="D38" s="15" t="s">
        <v>171</v>
      </c>
      <c r="F38" s="42" t="s">
        <v>277</v>
      </c>
      <c r="G38" s="42" t="s">
        <v>164</v>
      </c>
      <c r="I38" s="148"/>
      <c r="J38" s="148">
        <v>-3.7460697073343763E-4</v>
      </c>
      <c r="K38" s="148">
        <v>-3.9261348246958372E-3</v>
      </c>
      <c r="L38" s="148">
        <v>1.0428068580238703E-2</v>
      </c>
      <c r="M38" s="148">
        <v>-5.0621381108115759E-3</v>
      </c>
      <c r="N38" s="148">
        <v>-1.9676255840583856E-4</v>
      </c>
      <c r="O38" s="148">
        <v>1.6926810366053591E-3</v>
      </c>
      <c r="P38" s="148">
        <v>-3.7073198282430164E-3</v>
      </c>
      <c r="Q38" s="148">
        <v>1.2406789863868006E-3</v>
      </c>
      <c r="R38" s="148">
        <v>1.2999999999999999E-2</v>
      </c>
      <c r="S38" s="148">
        <v>1.2999999999999999E-2</v>
      </c>
      <c r="T38" s="148">
        <v>1.2999999999999999E-2</v>
      </c>
      <c r="U38" s="148">
        <v>1.2999999999999999E-2</v>
      </c>
      <c r="V38" s="148">
        <v>1.2999999999999999E-2</v>
      </c>
      <c r="W38" s="148">
        <v>1.2999999999999999E-2</v>
      </c>
      <c r="X38" s="148">
        <v>1.2999999999999999E-2</v>
      </c>
      <c r="Y38" s="148">
        <v>1.2999999999999999E-2</v>
      </c>
      <c r="Z38" s="148">
        <v>1.2999999999999999E-2</v>
      </c>
      <c r="AA38" s="148">
        <v>1.2999999999999999E-2</v>
      </c>
      <c r="AB38" s="148">
        <v>1.2999999999999999E-2</v>
      </c>
      <c r="AC38" s="148">
        <v>1.2999999999999999E-2</v>
      </c>
    </row>
    <row r="40" spans="2:29" ht="12.75" customHeight="1">
      <c r="C40" s="283" t="s">
        <v>404</v>
      </c>
      <c r="F40" s="55" t="s">
        <v>135</v>
      </c>
      <c r="G40" s="55" t="s">
        <v>136</v>
      </c>
    </row>
    <row r="41" spans="2:29" ht="12.75" customHeight="1">
      <c r="D41" s="15" t="s">
        <v>169</v>
      </c>
      <c r="F41" s="42" t="s">
        <v>277</v>
      </c>
      <c r="G41" s="42" t="s">
        <v>177</v>
      </c>
      <c r="I41" s="151"/>
      <c r="J41" s="151">
        <v>279822.31109999999</v>
      </c>
      <c r="K41" s="151">
        <v>281143.29070000007</v>
      </c>
      <c r="L41" s="151">
        <v>279347.89180000004</v>
      </c>
      <c r="M41" s="151">
        <v>278671.29470000003</v>
      </c>
      <c r="N41" s="151">
        <v>279185.06160000007</v>
      </c>
      <c r="O41" s="151">
        <v>279038.01490000013</v>
      </c>
      <c r="P41" s="151">
        <v>279388.41620000009</v>
      </c>
      <c r="Q41" s="151">
        <v>280204.16830000014</v>
      </c>
      <c r="R41" s="151">
        <v>283846.82248790009</v>
      </c>
      <c r="S41" s="151">
        <v>287536.83118024276</v>
      </c>
      <c r="T41" s="151">
        <v>291274.80998558592</v>
      </c>
      <c r="U41" s="151">
        <v>295061.38251539849</v>
      </c>
      <c r="V41" s="151">
        <v>298897.18048809865</v>
      </c>
      <c r="W41" s="151">
        <v>302782.84383444389</v>
      </c>
      <c r="X41" s="151">
        <v>306719.02080429165</v>
      </c>
      <c r="Y41" s="151">
        <v>310706.36807474738</v>
      </c>
      <c r="Z41" s="151">
        <v>314745.55085971905</v>
      </c>
      <c r="AA41" s="151">
        <v>318837.24302089534</v>
      </c>
      <c r="AB41" s="151">
        <v>322982.12718016695</v>
      </c>
      <c r="AC41" s="151">
        <v>327180.89483350911</v>
      </c>
    </row>
    <row r="42" spans="2:29" ht="12.75" customHeight="1">
      <c r="D42" s="15" t="s">
        <v>170</v>
      </c>
      <c r="F42" s="42" t="s">
        <v>277</v>
      </c>
      <c r="G42" s="42" t="s">
        <v>177</v>
      </c>
      <c r="I42" s="151"/>
      <c r="J42" s="151">
        <v>50087.353170000002</v>
      </c>
      <c r="K42" s="151">
        <v>49043.85613</v>
      </c>
      <c r="L42" s="151">
        <v>48299.00505</v>
      </c>
      <c r="M42" s="151">
        <v>48186.534220000001</v>
      </c>
      <c r="N42" s="151">
        <v>47313.222760000004</v>
      </c>
      <c r="O42" s="151">
        <v>47014.57645</v>
      </c>
      <c r="P42" s="151">
        <v>46481.291839999998</v>
      </c>
      <c r="Q42" s="151">
        <v>46393.498719999996</v>
      </c>
      <c r="R42" s="151">
        <v>46996.61420335999</v>
      </c>
      <c r="S42" s="151">
        <v>47607.570188003665</v>
      </c>
      <c r="T42" s="151">
        <v>48226.468600447704</v>
      </c>
      <c r="U42" s="151">
        <v>48853.412692253522</v>
      </c>
      <c r="V42" s="151">
        <v>49488.507057252813</v>
      </c>
      <c r="W42" s="151">
        <v>50131.857648997095</v>
      </c>
      <c r="X42" s="151">
        <v>50783.571798434052</v>
      </c>
      <c r="Y42" s="151">
        <v>51443.758231813692</v>
      </c>
      <c r="Z42" s="151">
        <v>52112.527088827264</v>
      </c>
      <c r="AA42" s="151">
        <v>52789.989940982014</v>
      </c>
      <c r="AB42" s="151">
        <v>53476.259810214775</v>
      </c>
      <c r="AC42" s="151">
        <v>54171.45118774756</v>
      </c>
    </row>
    <row r="43" spans="2:29" ht="12.75" customHeight="1">
      <c r="D43" s="15" t="s">
        <v>171</v>
      </c>
      <c r="F43" s="42" t="s">
        <v>277</v>
      </c>
      <c r="G43" s="42" t="s">
        <v>177</v>
      </c>
      <c r="I43" s="151"/>
      <c r="J43" s="151">
        <v>9169.5857650000016</v>
      </c>
      <c r="K43" s="151">
        <v>9133.5847350000004</v>
      </c>
      <c r="L43" s="151">
        <v>9228.8303830000023</v>
      </c>
      <c r="M43" s="151">
        <v>9182.112769000003</v>
      </c>
      <c r="N43" s="151">
        <v>9180.3060730000034</v>
      </c>
      <c r="O43" s="151">
        <v>9195.845403000003</v>
      </c>
      <c r="P43" s="151">
        <v>9161.7534630000046</v>
      </c>
      <c r="Q43" s="151">
        <v>9173.1202580000045</v>
      </c>
      <c r="R43" s="151">
        <v>9292.3708213540031</v>
      </c>
      <c r="S43" s="151">
        <v>9413.1716420316043</v>
      </c>
      <c r="T43" s="151">
        <v>9535.5428733780136</v>
      </c>
      <c r="U43" s="151">
        <v>9659.5049307319277</v>
      </c>
      <c r="V43" s="151">
        <v>9785.0784948314413</v>
      </c>
      <c r="W43" s="151">
        <v>9912.2845152642494</v>
      </c>
      <c r="X43" s="151">
        <v>10041.144213962683</v>
      </c>
      <c r="Y43" s="151">
        <v>10171.679088744197</v>
      </c>
      <c r="Z43" s="151">
        <v>10303.91091689787</v>
      </c>
      <c r="AA43" s="151">
        <v>10437.861758817542</v>
      </c>
      <c r="AB43" s="151">
        <v>10573.55396168217</v>
      </c>
      <c r="AC43" s="151">
        <v>10711.010163184037</v>
      </c>
    </row>
    <row r="44" spans="2:29" ht="12.75" customHeight="1">
      <c r="D44" s="110" t="s">
        <v>73</v>
      </c>
      <c r="E44" s="49"/>
      <c r="F44" s="111" t="s">
        <v>277</v>
      </c>
      <c r="G44" s="111" t="s">
        <v>177</v>
      </c>
      <c r="H44" s="49"/>
      <c r="I44" s="115"/>
      <c r="J44" s="115">
        <v>339079.25003500003</v>
      </c>
      <c r="K44" s="115">
        <v>339320.73156500008</v>
      </c>
      <c r="L44" s="115">
        <v>336875.72723300004</v>
      </c>
      <c r="M44" s="115">
        <v>336039.941689</v>
      </c>
      <c r="N44" s="115">
        <v>335678.59043300006</v>
      </c>
      <c r="O44" s="115">
        <v>335248.43675300013</v>
      </c>
      <c r="P44" s="115">
        <v>335031.46150300012</v>
      </c>
      <c r="Q44" s="115">
        <v>335770.78727800009</v>
      </c>
      <c r="R44" s="115">
        <v>340135.80751261406</v>
      </c>
      <c r="S44" s="115">
        <v>344557.57301027799</v>
      </c>
      <c r="T44" s="115">
        <v>349036.82145941164</v>
      </c>
      <c r="U44" s="115">
        <v>353574.30013838399</v>
      </c>
      <c r="V44" s="115">
        <v>358170.76604018291</v>
      </c>
      <c r="W44" s="115">
        <v>362826.98599870526</v>
      </c>
      <c r="X44" s="115">
        <v>367543.73681668838</v>
      </c>
      <c r="Y44" s="115">
        <v>372321.80539530527</v>
      </c>
      <c r="Z44" s="115">
        <v>377161.9888654442</v>
      </c>
      <c r="AA44" s="115">
        <v>382065.09472069493</v>
      </c>
      <c r="AB44" s="115">
        <v>387031.94095206395</v>
      </c>
      <c r="AC44" s="115">
        <v>392063.35618444066</v>
      </c>
    </row>
    <row r="46" spans="2:29" ht="12.75" customHeight="1">
      <c r="C46" s="283" t="s">
        <v>405</v>
      </c>
      <c r="F46" s="55" t="s">
        <v>135</v>
      </c>
      <c r="G46" s="55" t="s">
        <v>136</v>
      </c>
    </row>
    <row r="47" spans="2:29" ht="12.75" customHeight="1">
      <c r="D47" s="14" t="s">
        <v>406</v>
      </c>
      <c r="F47" s="42" t="s">
        <v>277</v>
      </c>
      <c r="G47" s="42" t="s">
        <v>152</v>
      </c>
      <c r="I47" s="151"/>
      <c r="J47" s="151">
        <v>392746.59469214262</v>
      </c>
      <c r="K47" s="151">
        <v>393026.2964095989</v>
      </c>
      <c r="L47" s="151">
        <v>390194.31207171496</v>
      </c>
      <c r="M47" s="151">
        <v>389226.24361496023</v>
      </c>
      <c r="N47" s="151">
        <v>388807.69994038547</v>
      </c>
      <c r="O47" s="151">
        <v>388309.46422411315</v>
      </c>
      <c r="P47" s="151">
        <v>388058.14748750604</v>
      </c>
      <c r="Q47" s="151">
        <v>388914.48912583804</v>
      </c>
      <c r="R47" s="151">
        <v>393970.37748447392</v>
      </c>
      <c r="S47" s="151">
        <v>399091.99239177204</v>
      </c>
      <c r="T47" s="151">
        <v>404280.18829286518</v>
      </c>
      <c r="U47" s="151">
        <v>409535.83074067242</v>
      </c>
      <c r="V47" s="151">
        <v>414859.79654030112</v>
      </c>
      <c r="W47" s="151">
        <v>420252.97389532498</v>
      </c>
      <c r="X47" s="151">
        <v>425716.26255596412</v>
      </c>
      <c r="Y47" s="151">
        <v>431250.57396919158</v>
      </c>
      <c r="Z47" s="151">
        <v>436856.831430791</v>
      </c>
      <c r="AA47" s="151">
        <v>442535.97023939126</v>
      </c>
      <c r="AB47" s="151">
        <v>448288.93785250332</v>
      </c>
      <c r="AC47" s="151">
        <v>454116.69404458575</v>
      </c>
    </row>
    <row r="48" spans="2:29" ht="12.75" customHeight="1">
      <c r="D48" s="14" t="s">
        <v>407</v>
      </c>
      <c r="F48" s="42" t="s">
        <v>277</v>
      </c>
      <c r="G48" s="42" t="s">
        <v>152</v>
      </c>
      <c r="I48" s="151"/>
      <c r="J48" s="151">
        <v>0</v>
      </c>
      <c r="K48" s="151">
        <v>0</v>
      </c>
      <c r="L48" s="151">
        <v>0</v>
      </c>
      <c r="M48" s="151">
        <v>0</v>
      </c>
      <c r="N48" s="151">
        <v>0</v>
      </c>
      <c r="O48" s="151">
        <v>0</v>
      </c>
      <c r="P48" s="151">
        <v>0</v>
      </c>
      <c r="Q48" s="151">
        <v>0</v>
      </c>
      <c r="R48" s="151">
        <v>0</v>
      </c>
      <c r="S48" s="151">
        <v>0</v>
      </c>
      <c r="T48" s="151">
        <v>0</v>
      </c>
      <c r="U48" s="151">
        <v>0</v>
      </c>
      <c r="V48" s="151">
        <v>0</v>
      </c>
      <c r="W48" s="151">
        <v>0</v>
      </c>
      <c r="X48" s="151">
        <v>0</v>
      </c>
      <c r="Y48" s="151">
        <v>0</v>
      </c>
      <c r="Z48" s="151">
        <v>0</v>
      </c>
      <c r="AA48" s="151">
        <v>0</v>
      </c>
      <c r="AB48" s="151">
        <v>0</v>
      </c>
      <c r="AC48" s="151">
        <v>0</v>
      </c>
    </row>
    <row r="49" spans="2:29" ht="12.75" customHeight="1">
      <c r="D49" s="14" t="s">
        <v>181</v>
      </c>
      <c r="F49" s="42" t="s">
        <v>277</v>
      </c>
      <c r="G49" s="42" t="s">
        <v>152</v>
      </c>
      <c r="I49" s="151"/>
      <c r="J49" s="151">
        <v>1740.7771756530678</v>
      </c>
      <c r="K49" s="151">
        <v>1742.0169021645618</v>
      </c>
      <c r="L49" s="151">
        <v>1729.4646515179086</v>
      </c>
      <c r="M49" s="151">
        <v>1725.1738658134284</v>
      </c>
      <c r="N49" s="151">
        <v>1723.3187478173452</v>
      </c>
      <c r="O49" s="151">
        <v>1721.110409477297</v>
      </c>
      <c r="P49" s="151">
        <v>1719.9964941821481</v>
      </c>
      <c r="Q49" s="151">
        <v>1723.7920712761729</v>
      </c>
      <c r="R49" s="151">
        <v>1746.2013682027632</v>
      </c>
      <c r="S49" s="151">
        <v>1768.9019859893988</v>
      </c>
      <c r="T49" s="151">
        <v>1791.8977118072612</v>
      </c>
      <c r="U49" s="151">
        <v>1815.1923820607553</v>
      </c>
      <c r="V49" s="151">
        <v>1838.7898830275449</v>
      </c>
      <c r="W49" s="151">
        <v>1862.6941515069029</v>
      </c>
      <c r="X49" s="151">
        <v>1886.9091754764925</v>
      </c>
      <c r="Y49" s="151">
        <v>1911.4389947576867</v>
      </c>
      <c r="Z49" s="151">
        <v>1936.2877016895363</v>
      </c>
      <c r="AA49" s="151">
        <v>1961.4594418115</v>
      </c>
      <c r="AB49" s="151">
        <v>1986.9584145550493</v>
      </c>
      <c r="AC49" s="151">
        <v>2012.7888739442644</v>
      </c>
    </row>
    <row r="50" spans="2:29" ht="12.75" customHeight="1">
      <c r="D50" s="110" t="s">
        <v>73</v>
      </c>
      <c r="E50" s="49"/>
      <c r="F50" s="111" t="s">
        <v>277</v>
      </c>
      <c r="G50" s="111" t="s">
        <v>152</v>
      </c>
      <c r="H50" s="49"/>
      <c r="I50" s="115"/>
      <c r="J50" s="115">
        <v>394487.37186779571</v>
      </c>
      <c r="K50" s="115">
        <v>394768.31331176346</v>
      </c>
      <c r="L50" s="115">
        <v>391923.77672323288</v>
      </c>
      <c r="M50" s="115">
        <v>390951.41748077364</v>
      </c>
      <c r="N50" s="115">
        <v>390531.01868820278</v>
      </c>
      <c r="O50" s="115">
        <v>390030.57463359041</v>
      </c>
      <c r="P50" s="115">
        <v>389778.14398168813</v>
      </c>
      <c r="Q50" s="115">
        <v>390638.28119711415</v>
      </c>
      <c r="R50" s="115">
        <v>395716.57885267661</v>
      </c>
      <c r="S50" s="115">
        <v>400860.89437776135</v>
      </c>
      <c r="T50" s="115">
        <v>406072.08600467228</v>
      </c>
      <c r="U50" s="115">
        <v>411351.02312273299</v>
      </c>
      <c r="V50" s="115">
        <v>416698.58642332838</v>
      </c>
      <c r="W50" s="115">
        <v>422115.66804683162</v>
      </c>
      <c r="X50" s="115">
        <v>427603.17173144035</v>
      </c>
      <c r="Y50" s="115">
        <v>433162.012963949</v>
      </c>
      <c r="Z50" s="115">
        <v>438793.11913248029</v>
      </c>
      <c r="AA50" s="115">
        <v>444497.42968120245</v>
      </c>
      <c r="AB50" s="115">
        <v>450275.89626705804</v>
      </c>
      <c r="AC50" s="115">
        <v>456129.48291852965</v>
      </c>
    </row>
    <row r="52" spans="2:29" s="7" customFormat="1" ht="15.6">
      <c r="B52" s="7" t="s">
        <v>585</v>
      </c>
    </row>
    <row r="54" spans="2:29" ht="12.75" customHeight="1">
      <c r="C54" s="365" t="s">
        <v>418</v>
      </c>
      <c r="F54" s="55" t="s">
        <v>135</v>
      </c>
      <c r="G54" s="55" t="s">
        <v>136</v>
      </c>
      <c r="H54" s="30" t="s">
        <v>414</v>
      </c>
    </row>
    <row r="55" spans="2:29" ht="12.75" customHeight="1">
      <c r="D55" s="14" t="s">
        <v>415</v>
      </c>
      <c r="F55" s="42" t="s">
        <v>277</v>
      </c>
      <c r="G55" s="42" t="s">
        <v>318</v>
      </c>
      <c r="H55" s="151">
        <v>42008.965556402705</v>
      </c>
      <c r="I55" s="151"/>
      <c r="K55" s="151">
        <v>93.514739519245609</v>
      </c>
      <c r="L55" s="151">
        <v>578.52498771723765</v>
      </c>
      <c r="M55" s="151">
        <v>1160.1845184255633</v>
      </c>
      <c r="N55" s="151">
        <v>1587.1978587223925</v>
      </c>
      <c r="O55" s="151">
        <v>1940.1631246509851</v>
      </c>
      <c r="P55" s="151">
        <v>2293.1283905795776</v>
      </c>
      <c r="Q55" s="151">
        <v>2646.0936565081702</v>
      </c>
      <c r="R55" s="151">
        <v>2999.0589224367627</v>
      </c>
      <c r="S55" s="151">
        <v>3352.0241883653553</v>
      </c>
      <c r="T55" s="151">
        <v>3704.9894542939478</v>
      </c>
      <c r="U55" s="151">
        <v>4057.9547202225403</v>
      </c>
      <c r="V55" s="151">
        <v>4410.9199861511333</v>
      </c>
      <c r="W55" s="151">
        <v>4763.8852520797263</v>
      </c>
      <c r="X55" s="151">
        <v>5116.8505180083193</v>
      </c>
      <c r="Y55" s="151">
        <v>5469.8157839369123</v>
      </c>
      <c r="Z55" s="151">
        <v>5822.7810498655053</v>
      </c>
      <c r="AA55" s="151">
        <v>6175.7463157940983</v>
      </c>
      <c r="AB55" s="151">
        <v>6528.7115817226913</v>
      </c>
      <c r="AC55" s="151">
        <v>6881.6768476512843</v>
      </c>
    </row>
    <row r="56" spans="2:29" ht="12.75" customHeight="1">
      <c r="D56" s="14" t="s">
        <v>416</v>
      </c>
      <c r="F56" s="42" t="s">
        <v>277</v>
      </c>
      <c r="G56" s="42" t="s">
        <v>318</v>
      </c>
      <c r="H56" s="151">
        <v>37740.946366983277</v>
      </c>
      <c r="I56" s="151"/>
      <c r="K56" s="151">
        <v>293.30476577882882</v>
      </c>
      <c r="L56" s="151">
        <v>664.68541444807738</v>
      </c>
      <c r="M56" s="151">
        <v>1010.0627905032857</v>
      </c>
      <c r="N56" s="151">
        <v>1341.2861697104904</v>
      </c>
      <c r="O56" s="151">
        <v>1666.628099595755</v>
      </c>
      <c r="P56" s="151">
        <v>1991.9700294810195</v>
      </c>
      <c r="Q56" s="151">
        <v>2317.3119593662841</v>
      </c>
      <c r="R56" s="151">
        <v>2642.6538892515487</v>
      </c>
      <c r="S56" s="151">
        <v>2967.9958191368132</v>
      </c>
      <c r="T56" s="151">
        <v>3293.3377490220778</v>
      </c>
      <c r="U56" s="151">
        <v>3618.6796789073423</v>
      </c>
      <c r="V56" s="151">
        <v>3944.0216087926069</v>
      </c>
      <c r="W56" s="151">
        <v>4269.3635386778715</v>
      </c>
      <c r="X56" s="151">
        <v>4594.7054685631356</v>
      </c>
      <c r="Y56" s="151">
        <v>4920.0473984483997</v>
      </c>
      <c r="Z56" s="151">
        <v>5245.3893283336638</v>
      </c>
      <c r="AA56" s="151">
        <v>5570.7312582189279</v>
      </c>
      <c r="AB56" s="151">
        <v>5896.073188104192</v>
      </c>
      <c r="AC56" s="151">
        <v>6221.4151179894561</v>
      </c>
    </row>
    <row r="58" spans="2:29" ht="12.75" customHeight="1">
      <c r="C58" s="365" t="s">
        <v>457</v>
      </c>
      <c r="F58" s="55" t="s">
        <v>135</v>
      </c>
      <c r="G58" s="55" t="s">
        <v>136</v>
      </c>
      <c r="H58" s="30" t="s">
        <v>414</v>
      </c>
    </row>
    <row r="59" spans="2:29" ht="12.75" customHeight="1">
      <c r="D59" s="14" t="s">
        <v>415</v>
      </c>
      <c r="F59" s="42" t="s">
        <v>277</v>
      </c>
      <c r="G59" s="42" t="s">
        <v>318</v>
      </c>
      <c r="H59" s="151">
        <v>17527.825613763667</v>
      </c>
      <c r="K59" s="151">
        <v>39.0181006578023</v>
      </c>
      <c r="L59" s="151">
        <v>241.3838323225981</v>
      </c>
      <c r="M59" s="151">
        <v>484.07552172282095</v>
      </c>
      <c r="N59" s="151">
        <v>662.24261687360342</v>
      </c>
      <c r="O59" s="151">
        <v>809.51388497006712</v>
      </c>
      <c r="P59" s="151">
        <v>956.78515306653082</v>
      </c>
      <c r="Q59" s="151">
        <v>1104.0564211629944</v>
      </c>
      <c r="R59" s="151">
        <v>1251.3276892594581</v>
      </c>
      <c r="S59" s="151">
        <v>1398.5989573559218</v>
      </c>
      <c r="T59" s="151">
        <v>1545.8702254523855</v>
      </c>
      <c r="U59" s="151">
        <v>1693.1414935488492</v>
      </c>
      <c r="V59" s="151">
        <v>1840.4127616453129</v>
      </c>
      <c r="W59" s="151">
        <v>1987.6840297417766</v>
      </c>
      <c r="X59" s="151">
        <v>2134.9552978382403</v>
      </c>
      <c r="Y59" s="151">
        <v>2282.226565934704</v>
      </c>
      <c r="Z59" s="151">
        <v>2429.4978340311677</v>
      </c>
      <c r="AA59" s="151">
        <v>2576.7691021276314</v>
      </c>
      <c r="AB59" s="151">
        <v>2724.0403702240951</v>
      </c>
      <c r="AC59" s="151">
        <v>2871.3116383205588</v>
      </c>
    </row>
    <row r="60" spans="2:29" ht="12.75" customHeight="1">
      <c r="D60" s="14" t="s">
        <v>416</v>
      </c>
      <c r="F60" s="42" t="s">
        <v>277</v>
      </c>
      <c r="G60" s="42" t="s">
        <v>318</v>
      </c>
      <c r="H60" s="151">
        <v>18405.306950992206</v>
      </c>
      <c r="K60" s="151">
        <v>143.03733117489722</v>
      </c>
      <c r="L60" s="151">
        <v>324.1502997780342</v>
      </c>
      <c r="M60" s="151">
        <v>492.58212865727614</v>
      </c>
      <c r="N60" s="151">
        <v>654.11141052463972</v>
      </c>
      <c r="O60" s="151">
        <v>812.77245800714127</v>
      </c>
      <c r="P60" s="151">
        <v>971.43350548964281</v>
      </c>
      <c r="Q60" s="151">
        <v>1130.0945529721444</v>
      </c>
      <c r="R60" s="151">
        <v>1288.7556004546459</v>
      </c>
      <c r="S60" s="151">
        <v>1447.4166479371474</v>
      </c>
      <c r="T60" s="151">
        <v>1606.077695419649</v>
      </c>
      <c r="U60" s="151">
        <v>1764.7387429021505</v>
      </c>
      <c r="V60" s="151">
        <v>1923.3997903846521</v>
      </c>
      <c r="W60" s="151">
        <v>2082.0608378671536</v>
      </c>
      <c r="X60" s="151">
        <v>2240.7218853496552</v>
      </c>
      <c r="Y60" s="151">
        <v>2399.3829328321567</v>
      </c>
      <c r="Z60" s="151">
        <v>2558.0439803146583</v>
      </c>
      <c r="AA60" s="151">
        <v>2716.7050277971598</v>
      </c>
      <c r="AB60" s="151">
        <v>2875.3660752796613</v>
      </c>
      <c r="AC60" s="151">
        <v>3034.0271227621629</v>
      </c>
    </row>
    <row r="62" spans="2:29" ht="12.75" customHeight="1">
      <c r="C62" s="365" t="s">
        <v>419</v>
      </c>
      <c r="F62" s="55" t="s">
        <v>135</v>
      </c>
      <c r="G62" s="55" t="s">
        <v>136</v>
      </c>
      <c r="H62" s="30" t="s">
        <v>414</v>
      </c>
    </row>
    <row r="63" spans="2:29" ht="12.75" customHeight="1">
      <c r="D63" s="14" t="s">
        <v>415</v>
      </c>
      <c r="F63" s="42" t="s">
        <v>277</v>
      </c>
      <c r="G63" s="42" t="s">
        <v>318</v>
      </c>
      <c r="H63" s="151">
        <v>59536.791170166362</v>
      </c>
      <c r="K63" s="151">
        <v>132.53284017704792</v>
      </c>
      <c r="L63" s="151">
        <v>819.90882003983575</v>
      </c>
      <c r="M63" s="151">
        <v>1644.2600401483842</v>
      </c>
      <c r="N63" s="151">
        <v>2249.4404755959958</v>
      </c>
      <c r="O63" s="151">
        <v>2749.6770096210521</v>
      </c>
      <c r="P63" s="151">
        <v>3249.9135436461083</v>
      </c>
      <c r="Q63" s="151">
        <v>3750.1500776711646</v>
      </c>
      <c r="R63" s="151">
        <v>4250.3866116962208</v>
      </c>
      <c r="S63" s="151">
        <v>4750.6231457212771</v>
      </c>
      <c r="T63" s="151">
        <v>5250.8596797463333</v>
      </c>
      <c r="U63" s="151">
        <v>5751.0962137713896</v>
      </c>
      <c r="V63" s="151">
        <v>6251.3327477964467</v>
      </c>
      <c r="W63" s="151">
        <v>6751.569281821503</v>
      </c>
      <c r="X63" s="151">
        <v>7251.8058158465592</v>
      </c>
      <c r="Y63" s="151">
        <v>7752.0423498716164</v>
      </c>
      <c r="Z63" s="151">
        <v>8252.2788838966735</v>
      </c>
      <c r="AA63" s="151">
        <v>8752.5154179217297</v>
      </c>
      <c r="AB63" s="151">
        <v>9252.751951946786</v>
      </c>
      <c r="AC63" s="151">
        <v>9752.9884859718441</v>
      </c>
    </row>
    <row r="64" spans="2:29" ht="12.75" customHeight="1">
      <c r="D64" s="14" t="s">
        <v>416</v>
      </c>
      <c r="F64" s="42" t="s">
        <v>277</v>
      </c>
      <c r="G64" s="42" t="s">
        <v>318</v>
      </c>
      <c r="H64" s="151">
        <v>56146.25331797549</v>
      </c>
      <c r="K64" s="151">
        <v>436.34209695372601</v>
      </c>
      <c r="L64" s="151">
        <v>988.83571422611158</v>
      </c>
      <c r="M64" s="151">
        <v>1502.6449191605618</v>
      </c>
      <c r="N64" s="151">
        <v>1995.3975802351301</v>
      </c>
      <c r="O64" s="151">
        <v>2479.4005576028962</v>
      </c>
      <c r="P64" s="151">
        <v>2963.4035349706623</v>
      </c>
      <c r="Q64" s="151">
        <v>3447.4065123384285</v>
      </c>
      <c r="R64" s="151">
        <v>3931.4094897061946</v>
      </c>
      <c r="S64" s="151">
        <v>4415.4124670739602</v>
      </c>
      <c r="T64" s="151">
        <v>4899.4154444417272</v>
      </c>
      <c r="U64" s="151">
        <v>5383.4184218094924</v>
      </c>
      <c r="V64" s="151">
        <v>5867.4213991772594</v>
      </c>
      <c r="W64" s="151">
        <v>6351.4243765450246</v>
      </c>
      <c r="X64" s="151">
        <v>6835.4273539127907</v>
      </c>
      <c r="Y64" s="151">
        <v>7319.4303312805569</v>
      </c>
      <c r="Z64" s="151">
        <v>7803.4333086483221</v>
      </c>
      <c r="AA64" s="151">
        <v>8287.4362860160873</v>
      </c>
      <c r="AB64" s="151">
        <v>8771.4392633838543</v>
      </c>
      <c r="AC64" s="151">
        <v>9255.4422407516195</v>
      </c>
    </row>
    <row r="66" spans="3:29" ht="12.75" customHeight="1">
      <c r="C66" s="283" t="s">
        <v>420</v>
      </c>
      <c r="F66" s="55" t="s">
        <v>135</v>
      </c>
      <c r="G66" s="55" t="s">
        <v>136</v>
      </c>
      <c r="H66" s="30" t="s">
        <v>414</v>
      </c>
    </row>
    <row r="67" spans="3:29" ht="12.75" customHeight="1">
      <c r="D67" s="14" t="s">
        <v>406</v>
      </c>
      <c r="F67" s="42" t="s">
        <v>277</v>
      </c>
      <c r="G67" s="42" t="s">
        <v>429</v>
      </c>
      <c r="H67" s="151">
        <v>5294.3906571414191</v>
      </c>
      <c r="J67" s="151">
        <v>392.74659469214259</v>
      </c>
      <c r="K67" s="151">
        <v>393.0262964095989</v>
      </c>
      <c r="L67" s="151">
        <v>390.19431207171493</v>
      </c>
      <c r="M67" s="151">
        <v>389.22624361496025</v>
      </c>
      <c r="N67" s="151">
        <v>388.80769994038548</v>
      </c>
      <c r="O67" s="151">
        <v>388.30946422411313</v>
      </c>
      <c r="P67" s="151">
        <v>388.05814748750606</v>
      </c>
      <c r="Q67" s="151">
        <v>388.91448912583803</v>
      </c>
      <c r="R67" s="151">
        <v>393.97037748447394</v>
      </c>
      <c r="S67" s="151">
        <v>399.09199239177207</v>
      </c>
      <c r="T67" s="151">
        <v>404.28018829286515</v>
      </c>
      <c r="U67" s="151">
        <v>409.5358307406724</v>
      </c>
      <c r="V67" s="151">
        <v>414.85979654030109</v>
      </c>
      <c r="W67" s="151">
        <v>420.252973895325</v>
      </c>
      <c r="X67" s="151">
        <v>425.71626255596414</v>
      </c>
      <c r="Y67" s="151">
        <v>431.25057396919158</v>
      </c>
      <c r="Z67" s="151">
        <v>436.85683143079098</v>
      </c>
      <c r="AA67" s="151">
        <v>442.53597023939125</v>
      </c>
      <c r="AB67" s="151">
        <v>448.28893785250335</v>
      </c>
      <c r="AC67" s="151">
        <v>454.11669404458576</v>
      </c>
    </row>
    <row r="68" spans="3:29" ht="12.75" customHeight="1">
      <c r="D68" s="14" t="s">
        <v>407</v>
      </c>
      <c r="F68" s="42" t="s">
        <v>277</v>
      </c>
      <c r="G68" s="42" t="s">
        <v>429</v>
      </c>
      <c r="H68" s="151">
        <v>0</v>
      </c>
      <c r="J68" s="151">
        <v>0</v>
      </c>
      <c r="K68" s="151">
        <v>0</v>
      </c>
      <c r="L68" s="151">
        <v>0</v>
      </c>
      <c r="M68" s="151">
        <v>0</v>
      </c>
      <c r="N68" s="151">
        <v>0</v>
      </c>
      <c r="O68" s="151">
        <v>0</v>
      </c>
      <c r="P68" s="151">
        <v>0</v>
      </c>
      <c r="Q68" s="151">
        <v>0</v>
      </c>
      <c r="R68" s="151">
        <v>0</v>
      </c>
      <c r="S68" s="151">
        <v>0</v>
      </c>
      <c r="T68" s="151">
        <v>0</v>
      </c>
      <c r="U68" s="151">
        <v>0</v>
      </c>
      <c r="V68" s="151">
        <v>0</v>
      </c>
      <c r="W68" s="151">
        <v>0</v>
      </c>
      <c r="X68" s="151">
        <v>0</v>
      </c>
      <c r="Y68" s="151">
        <v>0</v>
      </c>
      <c r="Z68" s="151">
        <v>0</v>
      </c>
      <c r="AA68" s="151">
        <v>0</v>
      </c>
      <c r="AB68" s="151">
        <v>0</v>
      </c>
      <c r="AC68" s="151">
        <v>0</v>
      </c>
    </row>
    <row r="69" spans="3:29" ht="12.75" customHeight="1">
      <c r="D69" s="14" t="s">
        <v>181</v>
      </c>
      <c r="F69" s="42" t="s">
        <v>277</v>
      </c>
      <c r="G69" s="42" t="s">
        <v>429</v>
      </c>
      <c r="H69" s="151">
        <v>23.466414577488411</v>
      </c>
      <c r="J69" s="151">
        <v>1.7407771756530679</v>
      </c>
      <c r="K69" s="151">
        <v>1.7420169021645617</v>
      </c>
      <c r="L69" s="151">
        <v>1.7294646515179086</v>
      </c>
      <c r="M69" s="151">
        <v>1.7251738658134284</v>
      </c>
      <c r="N69" s="151">
        <v>1.7233187478173453</v>
      </c>
      <c r="O69" s="151">
        <v>1.7211104094772971</v>
      </c>
      <c r="P69" s="151">
        <v>1.7199964941821482</v>
      </c>
      <c r="Q69" s="151">
        <v>1.723792071276173</v>
      </c>
      <c r="R69" s="151">
        <v>1.7462013682027633</v>
      </c>
      <c r="S69" s="151">
        <v>1.7689019859893989</v>
      </c>
      <c r="T69" s="151">
        <v>1.7918977118072612</v>
      </c>
      <c r="U69" s="151">
        <v>1.8151923820607554</v>
      </c>
      <c r="V69" s="151">
        <v>1.8387898830275449</v>
      </c>
      <c r="W69" s="151">
        <v>1.8626941515069029</v>
      </c>
      <c r="X69" s="151">
        <v>1.8869091754764924</v>
      </c>
      <c r="Y69" s="151">
        <v>1.9114389947576866</v>
      </c>
      <c r="Z69" s="151">
        <v>1.9362877016895363</v>
      </c>
      <c r="AA69" s="151">
        <v>1.9614594418115001</v>
      </c>
      <c r="AB69" s="151">
        <v>1.9869584145550494</v>
      </c>
      <c r="AC69" s="151">
        <v>2.0127888739442645</v>
      </c>
    </row>
    <row r="71" spans="3:29" ht="12.75" customHeight="1">
      <c r="C71" s="365" t="s">
        <v>421</v>
      </c>
      <c r="F71" s="55" t="s">
        <v>135</v>
      </c>
      <c r="G71" s="55" t="s">
        <v>136</v>
      </c>
      <c r="H71" s="30" t="s">
        <v>414</v>
      </c>
    </row>
    <row r="72" spans="3:29" ht="12.75" customHeight="1">
      <c r="D72" s="14" t="s">
        <v>422</v>
      </c>
      <c r="F72" s="42" t="s">
        <v>277</v>
      </c>
      <c r="G72" s="42" t="s">
        <v>429</v>
      </c>
      <c r="H72" s="151">
        <v>198.72860344758925</v>
      </c>
      <c r="K72" s="151">
        <v>0.28094144396777665</v>
      </c>
      <c r="L72" s="151">
        <v>0</v>
      </c>
      <c r="M72" s="151">
        <v>0</v>
      </c>
      <c r="N72" s="151">
        <v>0</v>
      </c>
      <c r="O72" s="151">
        <v>0</v>
      </c>
      <c r="P72" s="151">
        <v>0</v>
      </c>
      <c r="Q72" s="151">
        <v>0</v>
      </c>
      <c r="R72" s="151">
        <v>1.2292069848810456</v>
      </c>
      <c r="S72" s="151">
        <v>6.3735225099657669</v>
      </c>
      <c r="T72" s="151">
        <v>11.584714136876755</v>
      </c>
      <c r="U72" s="151">
        <v>16.863651254937452</v>
      </c>
      <c r="V72" s="151">
        <v>22.21121455553299</v>
      </c>
      <c r="W72" s="151">
        <v>27.628296179036226</v>
      </c>
      <c r="X72" s="151">
        <v>33.115799863644952</v>
      </c>
      <c r="Y72" s="151">
        <v>38.674641096153607</v>
      </c>
      <c r="Z72" s="151">
        <v>44.30574726468484</v>
      </c>
      <c r="AA72" s="151">
        <v>50.010057813407059</v>
      </c>
      <c r="AB72" s="151">
        <v>55.788524399262712</v>
      </c>
      <c r="AC72" s="151">
        <v>61.642111050734343</v>
      </c>
    </row>
    <row r="73" spans="3:29" ht="12.75" customHeight="1">
      <c r="D73" s="14" t="s">
        <v>423</v>
      </c>
      <c r="F73" s="42" t="s">
        <v>277</v>
      </c>
      <c r="G73" s="42" t="s">
        <v>429</v>
      </c>
      <c r="H73" s="151">
        <v>197.85166227861598</v>
      </c>
      <c r="K73" s="151">
        <v>0.27970171745630523</v>
      </c>
      <c r="L73" s="151">
        <v>0</v>
      </c>
      <c r="M73" s="151">
        <v>0</v>
      </c>
      <c r="N73" s="151">
        <v>0</v>
      </c>
      <c r="O73" s="151">
        <v>0</v>
      </c>
      <c r="P73" s="151">
        <v>0</v>
      </c>
      <c r="Q73" s="151">
        <v>0</v>
      </c>
      <c r="R73" s="151">
        <v>1.2237827923313489</v>
      </c>
      <c r="S73" s="151">
        <v>6.3453976996294728</v>
      </c>
      <c r="T73" s="151">
        <v>11.533593600722554</v>
      </c>
      <c r="U73" s="151">
        <v>16.789236048529801</v>
      </c>
      <c r="V73" s="151">
        <v>22.113201848158496</v>
      </c>
      <c r="W73" s="151">
        <v>27.506379203182405</v>
      </c>
      <c r="X73" s="151">
        <v>32.969667863821542</v>
      </c>
      <c r="Y73" s="151">
        <v>38.503979277048984</v>
      </c>
      <c r="Z73" s="151">
        <v>44.110236738648382</v>
      </c>
      <c r="AA73" s="151">
        <v>49.789375547248653</v>
      </c>
      <c r="AB73" s="151">
        <v>55.542343160360758</v>
      </c>
      <c r="AC73" s="151">
        <v>61.370099352443162</v>
      </c>
    </row>
    <row r="75" spans="3:29" ht="12.75" customHeight="1">
      <c r="C75" s="365" t="s">
        <v>424</v>
      </c>
      <c r="F75" s="55" t="s">
        <v>135</v>
      </c>
      <c r="G75" s="55" t="s">
        <v>136</v>
      </c>
      <c r="H75" s="30" t="s">
        <v>414</v>
      </c>
    </row>
    <row r="76" spans="3:29" ht="12.75" customHeight="1">
      <c r="D76" s="14" t="s">
        <v>422</v>
      </c>
      <c r="F76" s="42" t="s">
        <v>277</v>
      </c>
      <c r="G76" s="42" t="s">
        <v>151</v>
      </c>
      <c r="H76" s="151">
        <v>299.58843436379311</v>
      </c>
    </row>
    <row r="77" spans="3:29" ht="12.75" customHeight="1">
      <c r="D77" s="14" t="s">
        <v>423</v>
      </c>
      <c r="F77" s="42" t="s">
        <v>277</v>
      </c>
      <c r="G77" s="42" t="s">
        <v>151</v>
      </c>
      <c r="H77" s="151">
        <v>283.77953802030726</v>
      </c>
    </row>
    <row r="79" spans="3:29" ht="12.9">
      <c r="C79" s="365" t="s">
        <v>459</v>
      </c>
      <c r="F79" s="55" t="s">
        <v>135</v>
      </c>
      <c r="G79" s="55" t="s">
        <v>136</v>
      </c>
      <c r="K79" s="113" t="s">
        <v>403</v>
      </c>
      <c r="L79" s="113" t="s">
        <v>314</v>
      </c>
      <c r="M79" s="113" t="s">
        <v>181</v>
      </c>
    </row>
    <row r="80" spans="3:29" ht="12.75" customHeight="1">
      <c r="C80" s="14" t="s">
        <v>428</v>
      </c>
      <c r="F80" s="42" t="s">
        <v>277</v>
      </c>
      <c r="G80" s="42" t="s">
        <v>431</v>
      </c>
      <c r="K80" s="349">
        <v>597.51391450664539</v>
      </c>
      <c r="L80" s="349">
        <v>597.51391450664539</v>
      </c>
      <c r="M80" s="349">
        <v>306.85307838560061</v>
      </c>
    </row>
    <row r="81" spans="12:13" ht="12.75" customHeight="1">
      <c r="L81" s="349">
        <v>49.792826208887114</v>
      </c>
      <c r="M81" s="349">
        <v>25.571089865466718</v>
      </c>
    </row>
  </sheetData>
  <conditionalFormatting sqref="B2">
    <cfRule type="cellIs" dxfId="22" priority="1" operator="notEqual">
      <formula>"No Errors Found"</formula>
    </cfRule>
  </conditionalFormatting>
  <hyperlinks>
    <hyperlink ref="B4" location="'ToC'!$A$1" tooltip="Go To Table of Contents" display="='ToC'!B1" xr:uid="{00000000-0004-0000-0700-000000000000}"/>
  </hyperlinks>
  <pageMargins left="0.7" right="0.7" top="0.75" bottom="0.75" header="0.3" footer="0.3"/>
  <pageSetup paperSize="9" scale="35"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O106"/>
  <sheetViews>
    <sheetView showGridLines="0" zoomScaleNormal="100" workbookViewId="0">
      <pane xSplit="1" ySplit="5" topLeftCell="B6" activePane="bottomRight" state="frozen"/>
      <selection activeCell="E4" sqref="E4"/>
      <selection pane="topRight" activeCell="E4" sqref="E4"/>
      <selection pane="bottomLeft" activeCell="E4" sqref="E4"/>
      <selection pane="bottomRight" activeCell="B6" sqref="B6"/>
    </sheetView>
  </sheetViews>
  <sheetFormatPr defaultColWidth="9.1171875" defaultRowHeight="12.75" customHeight="1"/>
  <cols>
    <col min="1" max="3" width="2.703125" style="13" customWidth="1"/>
    <col min="4" max="5" width="20.703125" style="13" customWidth="1"/>
    <col min="6" max="7" width="10.703125" style="13" customWidth="1"/>
    <col min="8" max="14" width="15.703125" style="13" customWidth="1"/>
    <col min="15" max="42" width="10.703125" style="13" customWidth="1"/>
    <col min="43" max="16384" width="9.1171875" style="13"/>
  </cols>
  <sheetData>
    <row r="1" spans="2:11" ht="20.399999999999999">
      <c r="B1" s="8" t="s">
        <v>444</v>
      </c>
    </row>
    <row r="2" spans="2:11" ht="11.25" customHeight="1">
      <c r="B2" s="72" t="s">
        <v>565</v>
      </c>
    </row>
    <row r="3" spans="2:11" ht="12.9">
      <c r="B3" s="71" t="s">
        <v>547</v>
      </c>
    </row>
    <row r="4" spans="2:11" ht="12.9">
      <c r="B4" s="337" t="s">
        <v>96</v>
      </c>
    </row>
    <row r="7" spans="2:11" s="7" customFormat="1" ht="15.6">
      <c r="B7" s="7" t="s">
        <v>438</v>
      </c>
    </row>
    <row r="9" spans="2:11" s="364" customFormat="1" ht="12.75" customHeight="1">
      <c r="B9" s="364" t="s">
        <v>439</v>
      </c>
    </row>
    <row r="10" spans="2:11" ht="38.700000000000003">
      <c r="C10" s="261" t="s">
        <v>221</v>
      </c>
      <c r="D10" s="52"/>
      <c r="E10" s="257"/>
      <c r="F10" s="55" t="s">
        <v>135</v>
      </c>
      <c r="G10" s="55" t="s">
        <v>136</v>
      </c>
      <c r="H10" s="258" t="s">
        <v>222</v>
      </c>
      <c r="I10" s="257" t="s">
        <v>328</v>
      </c>
      <c r="J10" s="265" t="s">
        <v>341</v>
      </c>
      <c r="K10" s="265" t="s">
        <v>342</v>
      </c>
    </row>
    <row r="11" spans="2:11" ht="12.75" customHeight="1">
      <c r="C11" s="52"/>
      <c r="D11" s="217" t="s">
        <v>190</v>
      </c>
      <c r="E11" s="217"/>
      <c r="F11" s="173" t="s">
        <v>481</v>
      </c>
      <c r="G11" s="173" t="s">
        <v>521</v>
      </c>
      <c r="H11" s="256">
        <v>268.24601667949491</v>
      </c>
      <c r="I11" s="54" t="s">
        <v>230</v>
      </c>
      <c r="J11" s="15" t="s">
        <v>338</v>
      </c>
      <c r="K11" s="15" t="s">
        <v>190</v>
      </c>
    </row>
    <row r="12" spans="2:11" ht="12.75" customHeight="1">
      <c r="C12" s="52"/>
      <c r="D12" s="217" t="s">
        <v>191</v>
      </c>
      <c r="E12" s="217"/>
      <c r="F12" s="173" t="s">
        <v>481</v>
      </c>
      <c r="G12" s="173" t="s">
        <v>521</v>
      </c>
      <c r="H12" s="256">
        <v>243.79090173519486</v>
      </c>
      <c r="I12" s="54" t="s">
        <v>329</v>
      </c>
      <c r="J12" s="15" t="s">
        <v>338</v>
      </c>
      <c r="K12" s="15" t="s">
        <v>191</v>
      </c>
    </row>
    <row r="13" spans="2:11" ht="12.75" customHeight="1">
      <c r="C13" s="52"/>
      <c r="D13" s="217" t="s">
        <v>192</v>
      </c>
      <c r="E13" s="217"/>
      <c r="F13" s="173" t="s">
        <v>481</v>
      </c>
      <c r="G13" s="173" t="s">
        <v>521</v>
      </c>
      <c r="H13" s="256">
        <v>180.53440799429359</v>
      </c>
      <c r="I13" s="54" t="s">
        <v>182</v>
      </c>
      <c r="J13" s="15" t="s">
        <v>338</v>
      </c>
      <c r="K13" s="15" t="s">
        <v>192</v>
      </c>
    </row>
    <row r="14" spans="2:11" ht="12.75" customHeight="1">
      <c r="C14" s="52"/>
      <c r="D14" s="217" t="s">
        <v>193</v>
      </c>
      <c r="E14" s="217"/>
      <c r="F14" s="173" t="s">
        <v>481</v>
      </c>
      <c r="G14" s="173" t="s">
        <v>521</v>
      </c>
      <c r="H14" s="256">
        <v>7.6600899739675867</v>
      </c>
      <c r="I14" s="54" t="s">
        <v>186</v>
      </c>
      <c r="J14" s="15" t="s">
        <v>338</v>
      </c>
      <c r="K14" s="15" t="s">
        <v>193</v>
      </c>
    </row>
    <row r="15" spans="2:11" ht="12.75" customHeight="1">
      <c r="C15" s="52"/>
      <c r="D15" s="217" t="s">
        <v>185</v>
      </c>
      <c r="E15" s="217"/>
      <c r="F15" s="173" t="s">
        <v>481</v>
      </c>
      <c r="G15" s="173" t="s">
        <v>521</v>
      </c>
      <c r="H15" s="256">
        <v>99.608956662973966</v>
      </c>
      <c r="I15" s="54" t="s">
        <v>231</v>
      </c>
      <c r="J15" s="15" t="s">
        <v>338</v>
      </c>
      <c r="K15" s="15" t="s">
        <v>185</v>
      </c>
    </row>
    <row r="16" spans="2:11" ht="12.75" customHeight="1">
      <c r="C16" s="52"/>
      <c r="D16" s="217" t="s">
        <v>194</v>
      </c>
      <c r="E16" s="217"/>
      <c r="F16" s="173" t="s">
        <v>481</v>
      </c>
      <c r="G16" s="173" t="s">
        <v>521</v>
      </c>
      <c r="H16" s="256">
        <v>43.812806131127651</v>
      </c>
      <c r="I16" s="54" t="s">
        <v>231</v>
      </c>
      <c r="J16" s="15" t="s">
        <v>338</v>
      </c>
      <c r="K16" s="15" t="s">
        <v>194</v>
      </c>
    </row>
    <row r="17" spans="2:11" ht="12.75" customHeight="1">
      <c r="C17" s="52"/>
      <c r="D17" s="217" t="s">
        <v>195</v>
      </c>
      <c r="E17" s="217"/>
      <c r="F17" s="173" t="s">
        <v>481</v>
      </c>
      <c r="G17" s="173" t="s">
        <v>521</v>
      </c>
      <c r="H17" s="256">
        <v>33.116638375029275</v>
      </c>
      <c r="I17" s="54" t="s">
        <v>330</v>
      </c>
      <c r="J17" s="15" t="s">
        <v>330</v>
      </c>
      <c r="K17" s="15" t="s">
        <v>251</v>
      </c>
    </row>
    <row r="18" spans="2:11" ht="12.75" customHeight="1">
      <c r="C18" s="52"/>
      <c r="D18" s="217" t="s">
        <v>196</v>
      </c>
      <c r="E18" s="217"/>
      <c r="F18" s="173" t="s">
        <v>481</v>
      </c>
      <c r="G18" s="173" t="s">
        <v>521</v>
      </c>
      <c r="H18" s="256">
        <v>9.4940274448363784</v>
      </c>
      <c r="I18" s="54" t="s">
        <v>330</v>
      </c>
      <c r="J18" s="15" t="s">
        <v>330</v>
      </c>
      <c r="K18" s="15" t="s">
        <v>251</v>
      </c>
    </row>
    <row r="19" spans="2:11" ht="12.75" customHeight="1">
      <c r="C19" s="52"/>
      <c r="D19" s="217" t="s">
        <v>197</v>
      </c>
      <c r="E19" s="217"/>
      <c r="F19" s="173" t="s">
        <v>481</v>
      </c>
      <c r="G19" s="173" t="s">
        <v>521</v>
      </c>
      <c r="H19" s="256">
        <v>15.044125562886432</v>
      </c>
      <c r="I19" s="54" t="s">
        <v>330</v>
      </c>
      <c r="J19" s="15" t="s">
        <v>330</v>
      </c>
      <c r="K19" s="15" t="s">
        <v>251</v>
      </c>
    </row>
    <row r="20" spans="2:11" ht="12.75" customHeight="1">
      <c r="C20" s="52"/>
      <c r="D20" s="217" t="s">
        <v>198</v>
      </c>
      <c r="E20" s="217"/>
      <c r="F20" s="173" t="s">
        <v>481</v>
      </c>
      <c r="G20" s="173" t="s">
        <v>521</v>
      </c>
      <c r="H20" s="256">
        <v>46.354917721396681</v>
      </c>
      <c r="I20" s="54" t="s">
        <v>329</v>
      </c>
      <c r="J20" s="15" t="s">
        <v>339</v>
      </c>
      <c r="K20" s="15" t="s">
        <v>251</v>
      </c>
    </row>
    <row r="21" spans="2:11" ht="12.75" customHeight="1">
      <c r="C21" s="52"/>
      <c r="D21" s="217" t="s">
        <v>199</v>
      </c>
      <c r="E21" s="217"/>
      <c r="F21" s="173" t="s">
        <v>481</v>
      </c>
      <c r="G21" s="173" t="s">
        <v>521</v>
      </c>
      <c r="H21" s="256">
        <v>10.359004210140208</v>
      </c>
      <c r="I21" s="54" t="s">
        <v>330</v>
      </c>
      <c r="J21" s="15" t="s">
        <v>330</v>
      </c>
      <c r="K21" s="15" t="s">
        <v>251</v>
      </c>
    </row>
    <row r="22" spans="2:11" ht="12.75" customHeight="1">
      <c r="C22" s="52"/>
      <c r="D22" s="217" t="s">
        <v>200</v>
      </c>
      <c r="E22" s="217"/>
      <c r="F22" s="173" t="s">
        <v>481</v>
      </c>
      <c r="G22" s="173" t="s">
        <v>521</v>
      </c>
      <c r="H22" s="256">
        <v>14.722412528496614</v>
      </c>
      <c r="I22" s="54" t="s">
        <v>331</v>
      </c>
      <c r="J22" s="15" t="s">
        <v>331</v>
      </c>
      <c r="K22" s="15" t="s">
        <v>251</v>
      </c>
    </row>
    <row r="23" spans="2:11" ht="12.75" customHeight="1">
      <c r="C23" s="52"/>
      <c r="D23" s="217" t="s">
        <v>201</v>
      </c>
      <c r="E23" s="217"/>
      <c r="F23" s="173" t="s">
        <v>481</v>
      </c>
      <c r="G23" s="173" t="s">
        <v>521</v>
      </c>
      <c r="H23" s="256">
        <v>0.31276830796123112</v>
      </c>
      <c r="I23" s="54" t="s">
        <v>331</v>
      </c>
      <c r="J23" s="15" t="s">
        <v>331</v>
      </c>
      <c r="K23" s="15" t="s">
        <v>251</v>
      </c>
    </row>
    <row r="24" spans="2:11" ht="12.75" customHeight="1">
      <c r="C24" s="52"/>
      <c r="D24" s="217" t="s">
        <v>202</v>
      </c>
      <c r="E24" s="217"/>
      <c r="F24" s="173" t="s">
        <v>481</v>
      </c>
      <c r="G24" s="173" t="s">
        <v>521</v>
      </c>
      <c r="H24" s="256">
        <v>0.44612408791803038</v>
      </c>
      <c r="I24" s="54" t="s">
        <v>331</v>
      </c>
      <c r="J24" s="15" t="s">
        <v>331</v>
      </c>
      <c r="K24" s="15" t="s">
        <v>251</v>
      </c>
    </row>
    <row r="25" spans="2:11" ht="12.75" customHeight="1">
      <c r="C25" s="52"/>
      <c r="D25" s="262" t="s">
        <v>523</v>
      </c>
      <c r="E25" s="262"/>
      <c r="F25" s="353" t="s">
        <v>481</v>
      </c>
      <c r="G25" s="353" t="s">
        <v>521</v>
      </c>
      <c r="H25" s="263">
        <v>973.50319741571764</v>
      </c>
      <c r="I25" s="52"/>
    </row>
    <row r="27" spans="2:11" s="364" customFormat="1" ht="12.75" customHeight="1">
      <c r="B27" s="364" t="s">
        <v>337</v>
      </c>
    </row>
    <row r="29" spans="2:11" ht="12.75" customHeight="1">
      <c r="C29" s="73" t="s">
        <v>337</v>
      </c>
      <c r="F29" s="55" t="s">
        <v>135</v>
      </c>
      <c r="G29" s="55" t="s">
        <v>136</v>
      </c>
      <c r="H29" s="172" t="s">
        <v>222</v>
      </c>
    </row>
    <row r="30" spans="2:11" ht="12.75" customHeight="1">
      <c r="D30" s="15" t="s">
        <v>330</v>
      </c>
      <c r="F30" s="42" t="s">
        <v>277</v>
      </c>
      <c r="G30" s="42" t="s">
        <v>224</v>
      </c>
      <c r="H30" s="256">
        <v>68.013795592892293</v>
      </c>
    </row>
    <row r="31" spans="2:11" ht="12.75" customHeight="1">
      <c r="D31" s="15" t="s">
        <v>331</v>
      </c>
      <c r="F31" s="42" t="s">
        <v>277</v>
      </c>
      <c r="G31" s="42" t="s">
        <v>224</v>
      </c>
      <c r="H31" s="256">
        <v>15.481304924375877</v>
      </c>
      <c r="I31" s="267"/>
    </row>
    <row r="32" spans="2:11" ht="12.75" customHeight="1">
      <c r="D32" s="15" t="s">
        <v>338</v>
      </c>
      <c r="F32" s="42" t="s">
        <v>277</v>
      </c>
      <c r="G32" s="42" t="s">
        <v>224</v>
      </c>
      <c r="H32" s="256">
        <v>843.65317917705261</v>
      </c>
      <c r="I32" s="266"/>
    </row>
    <row r="33" spans="2:10" ht="12.75" customHeight="1">
      <c r="D33" s="15" t="s">
        <v>339</v>
      </c>
      <c r="F33" s="42" t="s">
        <v>277</v>
      </c>
      <c r="G33" s="42" t="s">
        <v>224</v>
      </c>
      <c r="H33" s="256">
        <v>46.354917721396681</v>
      </c>
      <c r="I33" s="267"/>
    </row>
    <row r="34" spans="2:10" ht="12.75" customHeight="1">
      <c r="D34" s="143" t="s">
        <v>73</v>
      </c>
      <c r="E34" s="49"/>
      <c r="F34" s="111" t="s">
        <v>277</v>
      </c>
      <c r="G34" s="111" t="s">
        <v>224</v>
      </c>
      <c r="H34" s="259">
        <v>973.50319741571741</v>
      </c>
    </row>
    <row r="36" spans="2:10" ht="12.75" customHeight="1">
      <c r="D36" s="15" t="s">
        <v>586</v>
      </c>
      <c r="H36" s="260" t="s">
        <v>27</v>
      </c>
    </row>
    <row r="38" spans="2:10" s="364" customFormat="1" ht="12.75" customHeight="1">
      <c r="B38" s="364" t="s">
        <v>343</v>
      </c>
    </row>
    <row r="40" spans="2:10" ht="12.75" customHeight="1">
      <c r="C40" s="73" t="s">
        <v>339</v>
      </c>
      <c r="F40" s="55" t="s">
        <v>135</v>
      </c>
      <c r="G40" s="55" t="s">
        <v>136</v>
      </c>
      <c r="H40" s="172" t="s">
        <v>222</v>
      </c>
      <c r="J40" s="172" t="s">
        <v>342</v>
      </c>
    </row>
    <row r="41" spans="2:10" ht="12.75" customHeight="1">
      <c r="D41" s="15" t="s">
        <v>344</v>
      </c>
      <c r="F41" s="42" t="s">
        <v>277</v>
      </c>
      <c r="G41" s="42" t="s">
        <v>224</v>
      </c>
      <c r="H41" s="256">
        <v>23.177458860698341</v>
      </c>
      <c r="J41" s="15" t="s">
        <v>190</v>
      </c>
    </row>
    <row r="42" spans="2:10" ht="12.75" customHeight="1">
      <c r="D42" s="15" t="s">
        <v>345</v>
      </c>
      <c r="F42" s="42" t="s">
        <v>277</v>
      </c>
      <c r="G42" s="42" t="s">
        <v>224</v>
      </c>
      <c r="H42" s="256">
        <v>23.177458860698341</v>
      </c>
      <c r="J42" s="15" t="s">
        <v>185</v>
      </c>
    </row>
    <row r="43" spans="2:10" ht="12.75" customHeight="1">
      <c r="D43" s="143" t="s">
        <v>73</v>
      </c>
      <c r="E43" s="49"/>
      <c r="F43" s="111" t="s">
        <v>277</v>
      </c>
      <c r="G43" s="111" t="s">
        <v>224</v>
      </c>
      <c r="H43" s="259">
        <v>46.354917721396681</v>
      </c>
    </row>
    <row r="45" spans="2:10" ht="12.75" customHeight="1">
      <c r="D45" s="15" t="s">
        <v>587</v>
      </c>
      <c r="H45" s="260" t="s">
        <v>27</v>
      </c>
    </row>
    <row r="47" spans="2:10" s="364" customFormat="1" ht="12.75" customHeight="1">
      <c r="B47" s="364" t="s">
        <v>335</v>
      </c>
    </row>
    <row r="49" spans="2:9" ht="38.700000000000003">
      <c r="C49" s="73" t="s">
        <v>221</v>
      </c>
      <c r="F49" s="55" t="s">
        <v>135</v>
      </c>
      <c r="G49" s="55" t="s">
        <v>136</v>
      </c>
      <c r="H49" s="264" t="s">
        <v>222</v>
      </c>
      <c r="I49" s="73" t="s">
        <v>336</v>
      </c>
    </row>
    <row r="50" spans="2:9" ht="12.75" customHeight="1">
      <c r="D50" s="15" t="s">
        <v>190</v>
      </c>
      <c r="E50" s="14"/>
      <c r="F50" s="42" t="s">
        <v>277</v>
      </c>
      <c r="G50" s="42" t="s">
        <v>224</v>
      </c>
      <c r="H50" s="256">
        <v>313.04898492883018</v>
      </c>
      <c r="I50" s="14" t="s">
        <v>183</v>
      </c>
    </row>
    <row r="51" spans="2:9" ht="12.75" customHeight="1">
      <c r="D51" s="15" t="s">
        <v>191</v>
      </c>
      <c r="E51" s="14"/>
      <c r="F51" s="42" t="s">
        <v>277</v>
      </c>
      <c r="G51" s="42" t="s">
        <v>224</v>
      </c>
      <c r="H51" s="256">
        <v>263.44488392512585</v>
      </c>
      <c r="I51" s="14" t="s">
        <v>329</v>
      </c>
    </row>
    <row r="52" spans="2:9" ht="12.75" customHeight="1">
      <c r="D52" s="15" t="s">
        <v>192</v>
      </c>
      <c r="E52" s="14"/>
      <c r="F52" s="42" t="s">
        <v>277</v>
      </c>
      <c r="G52" s="42" t="s">
        <v>224</v>
      </c>
      <c r="H52" s="256">
        <v>195.08876590566325</v>
      </c>
      <c r="I52" s="14" t="s">
        <v>182</v>
      </c>
    </row>
    <row r="53" spans="2:9" ht="12.75" customHeight="1">
      <c r="D53" s="15" t="s">
        <v>193</v>
      </c>
      <c r="E53" s="14"/>
      <c r="F53" s="42" t="s">
        <v>277</v>
      </c>
      <c r="G53" s="42" t="s">
        <v>224</v>
      </c>
      <c r="H53" s="256">
        <v>8.2776325928679277</v>
      </c>
      <c r="I53" s="14" t="s">
        <v>186</v>
      </c>
    </row>
    <row r="54" spans="2:9" ht="12.75" customHeight="1">
      <c r="D54" s="15" t="s">
        <v>185</v>
      </c>
      <c r="E54" s="14"/>
      <c r="F54" s="42" t="s">
        <v>277</v>
      </c>
      <c r="G54" s="42" t="s">
        <v>224</v>
      </c>
      <c r="H54" s="256">
        <v>130.81670970724343</v>
      </c>
      <c r="I54" s="14" t="s">
        <v>185</v>
      </c>
    </row>
    <row r="55" spans="2:9" ht="12.75" customHeight="1">
      <c r="D55" s="15" t="s">
        <v>194</v>
      </c>
      <c r="E55" s="14"/>
      <c r="F55" s="42" t="s">
        <v>277</v>
      </c>
      <c r="G55" s="42" t="s">
        <v>224</v>
      </c>
      <c r="H55" s="256">
        <v>47.344915431610907</v>
      </c>
      <c r="I55" s="14" t="s">
        <v>185</v>
      </c>
    </row>
    <row r="56" spans="2:9" ht="12.75" customHeight="1">
      <c r="D56" s="110" t="s">
        <v>223</v>
      </c>
      <c r="E56" s="49"/>
      <c r="F56" s="111" t="s">
        <v>277</v>
      </c>
      <c r="G56" s="111" t="s">
        <v>224</v>
      </c>
      <c r="H56" s="255">
        <v>958.02189249134142</v>
      </c>
    </row>
    <row r="58" spans="2:9" ht="12.75" customHeight="1">
      <c r="D58" s="15" t="s">
        <v>588</v>
      </c>
      <c r="H58" s="260" t="s">
        <v>27</v>
      </c>
    </row>
    <row r="60" spans="2:9" s="364" customFormat="1" ht="12.75" customHeight="1">
      <c r="B60" s="364" t="s">
        <v>225</v>
      </c>
    </row>
    <row r="62" spans="2:9" ht="12.75" customHeight="1">
      <c r="I62" s="73" t="s">
        <v>336</v>
      </c>
    </row>
    <row r="63" spans="2:9" ht="12.75" customHeight="1">
      <c r="D63" s="14" t="s">
        <v>191</v>
      </c>
      <c r="E63" s="113" t="s">
        <v>228</v>
      </c>
      <c r="F63" s="55" t="s">
        <v>135</v>
      </c>
      <c r="G63" s="55" t="s">
        <v>136</v>
      </c>
      <c r="H63" s="256">
        <v>263.44488392512585</v>
      </c>
    </row>
    <row r="64" spans="2:9" ht="12.75" customHeight="1">
      <c r="D64" s="15" t="s">
        <v>226</v>
      </c>
      <c r="E64" s="146">
        <v>0.74212929398260641</v>
      </c>
      <c r="F64" s="42" t="s">
        <v>277</v>
      </c>
      <c r="G64" s="42" t="s">
        <v>224</v>
      </c>
      <c r="H64" s="269">
        <v>195.51016571068334</v>
      </c>
      <c r="I64" s="14" t="s">
        <v>184</v>
      </c>
    </row>
    <row r="65" spans="2:14" ht="12.75" customHeight="1">
      <c r="D65" s="15" t="s">
        <v>227</v>
      </c>
      <c r="E65" s="146">
        <v>0.25787070601739359</v>
      </c>
      <c r="F65" s="42" t="s">
        <v>277</v>
      </c>
      <c r="G65" s="42" t="s">
        <v>224</v>
      </c>
      <c r="H65" s="270">
        <v>67.934718214442512</v>
      </c>
      <c r="I65" s="14" t="s">
        <v>186</v>
      </c>
    </row>
    <row r="67" spans="2:14" s="364" customFormat="1" ht="12.75" customHeight="1">
      <c r="B67" s="364" t="s">
        <v>558</v>
      </c>
    </row>
    <row r="69" spans="2:14" ht="25.8">
      <c r="F69" s="55" t="s">
        <v>135</v>
      </c>
      <c r="G69" s="55" t="s">
        <v>136</v>
      </c>
      <c r="H69" s="55"/>
      <c r="I69" s="338" t="s">
        <v>182</v>
      </c>
      <c r="J69" s="338" t="s">
        <v>183</v>
      </c>
      <c r="K69" s="338" t="s">
        <v>184</v>
      </c>
      <c r="L69" s="338" t="s">
        <v>185</v>
      </c>
      <c r="M69" s="338" t="s">
        <v>186</v>
      </c>
      <c r="N69" s="276" t="s">
        <v>73</v>
      </c>
    </row>
    <row r="70" spans="2:14" ht="12.75" customHeight="1">
      <c r="D70" s="14" t="s">
        <v>346</v>
      </c>
      <c r="F70" s="42" t="s">
        <v>277</v>
      </c>
      <c r="G70" s="42" t="s">
        <v>224</v>
      </c>
      <c r="H70" s="42"/>
      <c r="I70" s="256">
        <v>195.08876590566325</v>
      </c>
      <c r="J70" s="256">
        <v>313.04898492883018</v>
      </c>
      <c r="K70" s="256">
        <v>195.51016571068334</v>
      </c>
      <c r="L70" s="256">
        <v>178.16162513885433</v>
      </c>
      <c r="M70" s="256">
        <v>76.212350807310443</v>
      </c>
      <c r="N70" s="271">
        <v>958.02189249134153</v>
      </c>
    </row>
    <row r="71" spans="2:14" ht="12.75" customHeight="1">
      <c r="D71" s="14" t="s">
        <v>228</v>
      </c>
      <c r="F71" s="42" t="s">
        <v>277</v>
      </c>
      <c r="G71" s="42" t="s">
        <v>164</v>
      </c>
      <c r="I71" s="273">
        <v>0.20363706449164098</v>
      </c>
      <c r="J71" s="273">
        <v>0.32676600334752731</v>
      </c>
      <c r="K71" s="273">
        <v>0.20407692897524293</v>
      </c>
      <c r="L71" s="273">
        <v>0.18596821903051086</v>
      </c>
      <c r="M71" s="273">
        <v>7.9551784155077895E-2</v>
      </c>
      <c r="N71" s="274">
        <v>0.99999999999999989</v>
      </c>
    </row>
    <row r="73" spans="2:14" ht="12.75" customHeight="1">
      <c r="D73" s="15" t="s">
        <v>589</v>
      </c>
      <c r="I73" s="260" t="s">
        <v>27</v>
      </c>
    </row>
    <row r="75" spans="2:14" s="7" customFormat="1" ht="15.6">
      <c r="B75" s="7" t="s">
        <v>440</v>
      </c>
    </row>
    <row r="77" spans="2:14" s="364" customFormat="1" ht="12.75" customHeight="1">
      <c r="B77" s="364" t="s">
        <v>234</v>
      </c>
    </row>
    <row r="79" spans="2:14" ht="12.75" customHeight="1">
      <c r="F79" s="56" t="s">
        <v>135</v>
      </c>
      <c r="G79" s="56" t="s">
        <v>136</v>
      </c>
      <c r="I79" s="275" t="s">
        <v>528</v>
      </c>
      <c r="J79" s="275" t="s">
        <v>238</v>
      </c>
    </row>
    <row r="80" spans="2:14" ht="12.75" customHeight="1">
      <c r="D80" s="15" t="s">
        <v>235</v>
      </c>
      <c r="F80" s="173" t="s">
        <v>481</v>
      </c>
      <c r="G80" s="173" t="s">
        <v>164</v>
      </c>
      <c r="I80" s="256">
        <v>372.71748852793269</v>
      </c>
      <c r="J80" s="505">
        <v>0.60575473444210115</v>
      </c>
    </row>
    <row r="81" spans="2:14" ht="12.75" customHeight="1">
      <c r="D81" s="15" t="s">
        <v>236</v>
      </c>
      <c r="F81" s="173" t="s">
        <v>481</v>
      </c>
      <c r="G81" s="173" t="s">
        <v>164</v>
      </c>
      <c r="I81" s="256">
        <v>149.11499188477947</v>
      </c>
      <c r="J81" s="506"/>
    </row>
    <row r="82" spans="2:14" ht="12.75" customHeight="1">
      <c r="D82" s="15" t="s">
        <v>237</v>
      </c>
      <c r="F82" s="173" t="s">
        <v>481</v>
      </c>
      <c r="G82" s="173" t="s">
        <v>164</v>
      </c>
      <c r="I82" s="256">
        <v>339.6258801122267</v>
      </c>
      <c r="J82" s="272">
        <v>0.39424526555789885</v>
      </c>
    </row>
    <row r="83" spans="2:14" ht="12.75" customHeight="1">
      <c r="D83" s="110" t="s">
        <v>73</v>
      </c>
      <c r="E83" s="49"/>
      <c r="F83" s="49"/>
      <c r="G83" s="49"/>
      <c r="H83" s="49"/>
      <c r="I83" s="255">
        <v>861.45836052493883</v>
      </c>
      <c r="J83" s="278">
        <v>1</v>
      </c>
    </row>
    <row r="85" spans="2:14" s="364" customFormat="1" ht="12.75" customHeight="1">
      <c r="B85" s="364" t="s">
        <v>347</v>
      </c>
    </row>
    <row r="87" spans="2:14" ht="25.8">
      <c r="F87" s="55" t="s">
        <v>135</v>
      </c>
      <c r="G87" s="55" t="s">
        <v>136</v>
      </c>
      <c r="I87" s="338" t="s">
        <v>182</v>
      </c>
      <c r="J87" s="338" t="s">
        <v>183</v>
      </c>
      <c r="K87" s="338" t="s">
        <v>184</v>
      </c>
      <c r="L87" s="338" t="s">
        <v>185</v>
      </c>
      <c r="M87" s="338" t="s">
        <v>186</v>
      </c>
      <c r="N87" s="276" t="s">
        <v>73</v>
      </c>
    </row>
    <row r="88" spans="2:14" ht="12.75" customHeight="1">
      <c r="D88" s="14" t="s">
        <v>232</v>
      </c>
      <c r="F88" s="42" t="s">
        <v>277</v>
      </c>
      <c r="G88" s="42" t="s">
        <v>164</v>
      </c>
      <c r="I88" s="146">
        <v>0.02</v>
      </c>
      <c r="J88" s="146">
        <v>0.02</v>
      </c>
      <c r="K88" s="146">
        <v>2.5000000000000001E-2</v>
      </c>
      <c r="L88" s="146">
        <v>2.5000000000000001E-2</v>
      </c>
      <c r="M88" s="146">
        <v>2.5000000000000001E-2</v>
      </c>
      <c r="N88" s="51"/>
    </row>
    <row r="89" spans="2:14" ht="12.75" customHeight="1">
      <c r="D89" s="14" t="s">
        <v>348</v>
      </c>
      <c r="F89" s="42" t="s">
        <v>277</v>
      </c>
      <c r="G89" s="42" t="s">
        <v>164</v>
      </c>
      <c r="I89" s="146">
        <v>0.18224199415063802</v>
      </c>
      <c r="J89" s="146">
        <v>0.2924344260184123</v>
      </c>
      <c r="K89" s="146">
        <v>0.22829455549650843</v>
      </c>
      <c r="L89" s="146">
        <v>0.20803690114916507</v>
      </c>
      <c r="M89" s="146">
        <v>8.8992123185276231E-2</v>
      </c>
      <c r="N89" s="274">
        <v>1</v>
      </c>
    </row>
    <row r="91" spans="2:14" s="7" customFormat="1" ht="15.6">
      <c r="B91" s="7" t="s">
        <v>441</v>
      </c>
    </row>
    <row r="93" spans="2:14" s="364" customFormat="1" ht="12.75" customHeight="1">
      <c r="B93" s="364" t="s">
        <v>352</v>
      </c>
    </row>
    <row r="95" spans="2:14" ht="25.8">
      <c r="F95" s="55" t="s">
        <v>135</v>
      </c>
      <c r="G95" s="55" t="s">
        <v>136</v>
      </c>
      <c r="I95" s="338" t="s">
        <v>182</v>
      </c>
      <c r="J95" s="338" t="s">
        <v>183</v>
      </c>
      <c r="K95" s="338" t="s">
        <v>184</v>
      </c>
      <c r="L95" s="338" t="s">
        <v>185</v>
      </c>
      <c r="M95" s="338" t="s">
        <v>186</v>
      </c>
      <c r="N95" s="276" t="s">
        <v>73</v>
      </c>
    </row>
    <row r="96" spans="2:14" ht="12.75" customHeight="1">
      <c r="D96" s="14" t="s">
        <v>349</v>
      </c>
      <c r="F96" s="42" t="s">
        <v>277</v>
      </c>
      <c r="G96" s="42" t="s">
        <v>164</v>
      </c>
      <c r="I96" s="146">
        <v>0.12335411592370302</v>
      </c>
      <c r="J96" s="146">
        <v>0.19794005358248815</v>
      </c>
      <c r="K96" s="146">
        <v>0.12362056591715782</v>
      </c>
      <c r="L96" s="146">
        <v>0.1126511291334976</v>
      </c>
      <c r="M96" s="146">
        <v>4.8188869885254559E-2</v>
      </c>
      <c r="N96" s="279">
        <v>0.60575473444210104</v>
      </c>
    </row>
    <row r="97" spans="2:15" ht="12.75" customHeight="1">
      <c r="D97" s="14" t="s">
        <v>350</v>
      </c>
      <c r="F97" s="42" t="s">
        <v>277</v>
      </c>
      <c r="G97" s="42" t="s">
        <v>164</v>
      </c>
      <c r="I97" s="146">
        <v>7.184804337971934E-2</v>
      </c>
      <c r="J97" s="146">
        <v>0.11529088794390067</v>
      </c>
      <c r="K97" s="146">
        <v>9.0004047657143441E-2</v>
      </c>
      <c r="L97" s="146">
        <v>8.201756333939493E-2</v>
      </c>
      <c r="M97" s="146">
        <v>3.5084723237740478E-2</v>
      </c>
      <c r="N97" s="274">
        <v>0.39424526555789885</v>
      </c>
    </row>
    <row r="98" spans="2:15" ht="12.75" customHeight="1">
      <c r="D98" s="110" t="s">
        <v>73</v>
      </c>
      <c r="E98" s="49"/>
      <c r="F98" s="111" t="s">
        <v>277</v>
      </c>
      <c r="G98" s="111" t="s">
        <v>164</v>
      </c>
      <c r="H98" s="49"/>
      <c r="I98" s="280">
        <v>0.19520215930342236</v>
      </c>
      <c r="J98" s="280">
        <v>0.31323094152638881</v>
      </c>
      <c r="K98" s="280">
        <v>0.21362461357430126</v>
      </c>
      <c r="L98" s="280">
        <v>0.19466869247289253</v>
      </c>
      <c r="M98" s="280">
        <v>8.3273593122995038E-2</v>
      </c>
      <c r="N98" s="279">
        <v>1</v>
      </c>
    </row>
    <row r="100" spans="2:15" ht="12.75" customHeight="1">
      <c r="D100" s="15" t="s">
        <v>590</v>
      </c>
      <c r="I100" s="260" t="s">
        <v>27</v>
      </c>
    </row>
    <row r="102" spans="2:15" s="364" customFormat="1" ht="12.75" customHeight="1">
      <c r="B102" s="364" t="s">
        <v>351</v>
      </c>
    </row>
    <row r="104" spans="2:15" ht="25.8">
      <c r="F104" s="55" t="s">
        <v>135</v>
      </c>
      <c r="G104" s="55" t="s">
        <v>136</v>
      </c>
      <c r="I104" s="338" t="s">
        <v>182</v>
      </c>
      <c r="J104" s="338" t="s">
        <v>183</v>
      </c>
      <c r="K104" s="338" t="s">
        <v>184</v>
      </c>
      <c r="L104" s="338" t="s">
        <v>185</v>
      </c>
      <c r="M104" s="338" t="s">
        <v>186</v>
      </c>
      <c r="N104" s="277" t="s">
        <v>353</v>
      </c>
      <c r="O104" s="276" t="s">
        <v>73</v>
      </c>
    </row>
    <row r="105" spans="2:15" ht="12.75" customHeight="1">
      <c r="D105" s="15" t="s">
        <v>233</v>
      </c>
      <c r="F105" s="169" t="s">
        <v>488</v>
      </c>
      <c r="G105" s="169" t="s">
        <v>164</v>
      </c>
      <c r="H105" s="272">
        <v>0.1</v>
      </c>
      <c r="O105" s="51"/>
    </row>
    <row r="106" spans="2:15" s="52" customFormat="1" ht="12.75" customHeight="1">
      <c r="D106" s="66" t="s">
        <v>73</v>
      </c>
      <c r="F106" s="42" t="s">
        <v>277</v>
      </c>
      <c r="G106" s="42" t="s">
        <v>164</v>
      </c>
      <c r="I106" s="273">
        <v>0.17568194337308013</v>
      </c>
      <c r="J106" s="273">
        <v>0.28190784737374991</v>
      </c>
      <c r="K106" s="273">
        <v>0.19226215221687115</v>
      </c>
      <c r="L106" s="273">
        <v>0.17520182322560329</v>
      </c>
      <c r="M106" s="273">
        <v>7.4946233810695539E-2</v>
      </c>
      <c r="N106" s="273">
        <v>0.1</v>
      </c>
      <c r="O106" s="274">
        <v>1</v>
      </c>
    </row>
  </sheetData>
  <mergeCells count="1">
    <mergeCell ref="J80:J81"/>
  </mergeCells>
  <conditionalFormatting sqref="B2">
    <cfRule type="cellIs" dxfId="21" priority="9" operator="notEqual">
      <formula>"No Errors Found"</formula>
    </cfRule>
  </conditionalFormatting>
  <conditionalFormatting sqref="I73 H36 H45 H58">
    <cfRule type="expression" dxfId="20" priority="5">
      <formula>H36&lt;&gt;Ok</formula>
    </cfRule>
  </conditionalFormatting>
  <conditionalFormatting sqref="I100">
    <cfRule type="expression" dxfId="19" priority="4">
      <formula>I100&lt;&gt;Ok</formula>
    </cfRule>
  </conditionalFormatting>
  <hyperlinks>
    <hyperlink ref="B4" location="'ToC'!$A$1" tooltip="Go To Table of Contents" display="='ToC'!B1" xr:uid="{00000000-0004-0000-0800-000000000000}"/>
  </hyperlinks>
  <pageMargins left="0.7" right="0.7" top="0.75" bottom="0.75" header="0.3" footer="0.3"/>
  <pageSetup paperSize="9" scale="7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BA3B04C24F8D74DBE21978B58C569F6" ma:contentTypeVersion="4" ma:contentTypeDescription="Create a new document." ma:contentTypeScope="" ma:versionID="adc0807dace506080b80eaaea3507f1c">
  <xsd:schema xmlns:xsd="http://www.w3.org/2001/XMLSchema" xmlns:xs="http://www.w3.org/2001/XMLSchema" xmlns:p="http://schemas.microsoft.com/office/2006/metadata/properties" xmlns:ns2="4eb6023d-658b-4527-be73-24b0518f0bf9" xmlns:ns3="7aa583b4-7878-4620-ad4f-d1b586498304" targetNamespace="http://schemas.microsoft.com/office/2006/metadata/properties" ma:root="true" ma:fieldsID="a11288c608cf05ce5d6a34290543d294" ns2:_="" ns3:_="">
    <xsd:import namespace="4eb6023d-658b-4527-be73-24b0518f0bf9"/>
    <xsd:import namespace="7aa583b4-7878-4620-ad4f-d1b58649830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b6023d-658b-4527-be73-24b0518f0bf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a583b4-7878-4620-ad4f-d1b586498304"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4eb6023d-658b-4527-be73-24b0518f0bf9">
      <UserInfo>
        <DisplayName>Keith Hutchinson</DisplayName>
        <AccountId>281</AccountId>
        <AccountType/>
      </UserInfo>
    </SharedWithUsers>
  </documentManagement>
</p:properties>
</file>

<file path=customXml/itemProps1.xml><?xml version="1.0" encoding="utf-8"?>
<ds:datastoreItem xmlns:ds="http://schemas.openxmlformats.org/officeDocument/2006/customXml" ds:itemID="{E9FF6621-D14A-4047-8E0C-3A20DFF09A5B}">
  <ds:schemaRefs>
    <ds:schemaRef ds:uri="http://schemas.microsoft.com/sharepoint/v3/contenttype/forms"/>
  </ds:schemaRefs>
</ds:datastoreItem>
</file>

<file path=customXml/itemProps2.xml><?xml version="1.0" encoding="utf-8"?>
<ds:datastoreItem xmlns:ds="http://schemas.openxmlformats.org/officeDocument/2006/customXml" ds:itemID="{F11B5459-78ED-4120-8EC5-DE012C6860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b6023d-658b-4527-be73-24b0518f0bf9"/>
    <ds:schemaRef ds:uri="7aa583b4-7878-4620-ad4f-d1b5864983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F3B3CD7-875F-4072-AE52-5D76A7B24CBF}">
  <ds:schemaRefs>
    <ds:schemaRef ds:uri="http://purl.org/dc/elements/1.1/"/>
    <ds:schemaRef ds:uri="http://schemas.microsoft.com/office/2006/metadata/properties"/>
    <ds:schemaRef ds:uri="4eb6023d-658b-4527-be73-24b0518f0bf9"/>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7aa583b4-7878-4620-ad4f-d1b586498304"/>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44</vt:i4>
      </vt:variant>
    </vt:vector>
  </HeadingPairs>
  <TitlesOfParts>
    <vt:vector size="61" baseType="lpstr">
      <vt:lpstr>Cover</vt:lpstr>
      <vt:lpstr>TOC</vt:lpstr>
      <vt:lpstr>Sources</vt:lpstr>
      <vt:lpstr>Inputs_General</vt:lpstr>
      <vt:lpstr>Inputs_&gt;750MWh</vt:lpstr>
      <vt:lpstr>Calc_Cost_of_Supply</vt:lpstr>
      <vt:lpstr>Calc_A_SA_Costs</vt:lpstr>
      <vt:lpstr>Calc_LRMC</vt:lpstr>
      <vt:lpstr>Calc_Network_Cost_Alloc</vt:lpstr>
      <vt:lpstr>Output_AER_Compliance</vt:lpstr>
      <vt:lpstr>Output_Cost_of_Supply</vt:lpstr>
      <vt:lpstr>Output_Impact&lt;750</vt:lpstr>
      <vt:lpstr>Output_Impact&gt;750</vt:lpstr>
      <vt:lpstr>Output_Tariff_Schedules_No GST</vt:lpstr>
      <vt:lpstr>Output_Tariff_Schedules_GST</vt:lpstr>
      <vt:lpstr>Lookup</vt:lpstr>
      <vt:lpstr>Checks</vt:lpstr>
      <vt:lpstr>Asset_Class_Allocation</vt:lpstr>
      <vt:lpstr>Calender_Months</vt:lpstr>
      <vt:lpstr>Cents_In_Dollar</vt:lpstr>
      <vt:lpstr>Currency</vt:lpstr>
      <vt:lpstr>Cust_Type</vt:lpstr>
      <vt:lpstr>Dash_Periods</vt:lpstr>
      <vt:lpstr>Days_In_Wk</vt:lpstr>
      <vt:lpstr>Days_In_Yr</vt:lpstr>
      <vt:lpstr>Dep_Method</vt:lpstr>
      <vt:lpstr>Error</vt:lpstr>
      <vt:lpstr>Fri</vt:lpstr>
      <vt:lpstr>GST</vt:lpstr>
      <vt:lpstr>Half</vt:lpstr>
      <vt:lpstr>Million</vt:lpstr>
      <vt:lpstr>Model_Name</vt:lpstr>
      <vt:lpstr>Mon</vt:lpstr>
      <vt:lpstr>Mth_Count_In_Qtr</vt:lpstr>
      <vt:lpstr>Mths_In_Mth</vt:lpstr>
      <vt:lpstr>Mths_In_Qtr</vt:lpstr>
      <vt:lpstr>Mths_In_Yr</vt:lpstr>
      <vt:lpstr>NA</vt:lpstr>
      <vt:lpstr>No</vt:lpstr>
      <vt:lpstr>Ok</vt:lpstr>
      <vt:lpstr>Period_Length</vt:lpstr>
      <vt:lpstr>Periods_Per_Year</vt:lpstr>
      <vt:lpstr>'Output_Impact&lt;750'!Print_Area</vt:lpstr>
      <vt:lpstr>Qtr_1</vt:lpstr>
      <vt:lpstr>Qtr_2</vt:lpstr>
      <vt:lpstr>Qtr_3</vt:lpstr>
      <vt:lpstr>Qtr_4</vt:lpstr>
      <vt:lpstr>Sat</vt:lpstr>
      <vt:lpstr>Sun</vt:lpstr>
      <vt:lpstr>Sys_Non_Sys_Assets</vt:lpstr>
      <vt:lpstr>Tariff_Type</vt:lpstr>
      <vt:lpstr>Tariff_Year</vt:lpstr>
      <vt:lpstr>Tariff_Year_List</vt:lpstr>
      <vt:lpstr>Thousand</vt:lpstr>
      <vt:lpstr>Thu</vt:lpstr>
      <vt:lpstr>Title_Msg</vt:lpstr>
      <vt:lpstr>Transtariff</vt:lpstr>
      <vt:lpstr>Tue</vt:lpstr>
      <vt:lpstr>Wed</vt:lpstr>
      <vt:lpstr>Yes</vt:lpstr>
      <vt:lpstr>Yes_No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Power and Water Corporation</dc:creator>
  <cp:lastModifiedBy>Ryan</cp:lastModifiedBy>
  <cp:lastPrinted>2018-01-16T02:20:03Z</cp:lastPrinted>
  <dcterms:created xsi:type="dcterms:W3CDTF">2012-02-19T06:14:59Z</dcterms:created>
  <dcterms:modified xsi:type="dcterms:W3CDTF">2018-03-15T06:09:44Z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0x0101003BA3B04C24F8D74DBE21978B58C569F6</vt:lpwstr>
  </property>
</Properties>
</file>