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filterPrivacy="1" codeName="ThisWorkbook" defaultThemeVersion="124226"/>
  <xr:revisionPtr revIDLastSave="148" documentId="8_{78C0FEBA-3245-43EC-95E1-27CB5415A936}" xr6:coauthVersionLast="28" xr6:coauthVersionMax="28" xr10:uidLastSave="{49E00243-8ECE-4D71-B97F-35C2C03F58D6}"/>
  <bookViews>
    <workbookView xWindow="0" yWindow="0" windowWidth="23040" windowHeight="7944" tabRatio="807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6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externalReferences>
    <externalReference r:id="rId11"/>
    <externalReference r:id="rId12"/>
    <externalReference r:id="rId13"/>
  </externalReferences>
  <definedNames>
    <definedName name="dollars">'Lookup|Tables'!$G$10</definedName>
    <definedName name="factor">'Lookup|Tables'!$G$17</definedName>
    <definedName name="millions">'Lookup|Tables'!$G$12</definedName>
    <definedName name="Nominal_to_Real">'Input|Rate of change'!$C$25:$C$30</definedName>
    <definedName name="number">'Lookup|Tables'!$G$16</definedName>
    <definedName name="percent">'Lookup|Tables'!$G$14</definedName>
    <definedName name="Real_to_Nominal">'Input|Rate of change'!$C$16:$C$21</definedName>
    <definedName name="thousands">'Lookup|Tables'!$G$11</definedName>
    <definedName name="unit">'Lookup|Tables'!$G$15</definedName>
  </definedNames>
  <calcPr calcId="171027"/>
</workbook>
</file>

<file path=xl/calcChain.xml><?xml version="1.0" encoding="utf-8"?>
<calcChain xmlns="http://schemas.openxmlformats.org/spreadsheetml/2006/main">
  <c r="T93" i="2" l="1"/>
  <c r="S93" i="2"/>
  <c r="R93" i="2"/>
  <c r="Q93" i="2"/>
  <c r="P93" i="2"/>
  <c r="P85" i="2"/>
  <c r="P84" i="2"/>
  <c r="P83" i="2"/>
  <c r="P82" i="2"/>
  <c r="P81" i="2"/>
  <c r="P80" i="2"/>
  <c r="T64" i="2"/>
  <c r="S64" i="2"/>
  <c r="R64" i="2"/>
  <c r="Q64" i="2"/>
  <c r="P64" i="2"/>
  <c r="O64" i="2"/>
  <c r="T63" i="2"/>
  <c r="S63" i="2"/>
  <c r="R63" i="2"/>
  <c r="Q63" i="2"/>
  <c r="P63" i="2"/>
  <c r="O63" i="2"/>
  <c r="T62" i="2"/>
  <c r="S62" i="2"/>
  <c r="R62" i="2"/>
  <c r="Q62" i="2"/>
  <c r="P62" i="2"/>
  <c r="O62" i="2"/>
  <c r="T54" i="2"/>
  <c r="S54" i="2"/>
  <c r="R54" i="2"/>
  <c r="Q54" i="2"/>
  <c r="P54" i="2"/>
  <c r="T53" i="2"/>
  <c r="S53" i="2"/>
  <c r="R53" i="2"/>
  <c r="Q53" i="2"/>
  <c r="P53" i="2"/>
  <c r="T52" i="2"/>
  <c r="S52" i="2"/>
  <c r="R52" i="2"/>
  <c r="Q52" i="2"/>
  <c r="P52" i="2"/>
  <c r="T51" i="2"/>
  <c r="S51" i="2"/>
  <c r="R51" i="2"/>
  <c r="Q51" i="2"/>
  <c r="P51" i="2"/>
  <c r="T50" i="2"/>
  <c r="S50" i="2"/>
  <c r="R50" i="2"/>
  <c r="Q50" i="2"/>
  <c r="P50" i="2"/>
  <c r="T49" i="2"/>
  <c r="S49" i="2"/>
  <c r="R49" i="2"/>
  <c r="Q49" i="2"/>
  <c r="P49" i="2"/>
  <c r="T48" i="2"/>
  <c r="S48" i="2"/>
  <c r="R48" i="2"/>
  <c r="Q48" i="2"/>
  <c r="P48" i="2"/>
  <c r="T47" i="2"/>
  <c r="S47" i="2"/>
  <c r="R47" i="2"/>
  <c r="Q47" i="2"/>
  <c r="P47" i="2"/>
  <c r="T43" i="2"/>
  <c r="S43" i="2"/>
  <c r="R43" i="2"/>
  <c r="Q43" i="2"/>
  <c r="P43" i="2"/>
  <c r="T42" i="2"/>
  <c r="S42" i="2"/>
  <c r="R42" i="2"/>
  <c r="Q42" i="2"/>
  <c r="P42" i="2"/>
  <c r="T41" i="2"/>
  <c r="S41" i="2"/>
  <c r="R41" i="2"/>
  <c r="Q41" i="2"/>
  <c r="P41" i="2"/>
  <c r="T40" i="2"/>
  <c r="S40" i="2"/>
  <c r="R40" i="2"/>
  <c r="Q40" i="2"/>
  <c r="P40" i="2"/>
  <c r="T39" i="2"/>
  <c r="S39" i="2"/>
  <c r="R39" i="2"/>
  <c r="Q39" i="2"/>
  <c r="P39" i="2"/>
  <c r="T38" i="2"/>
  <c r="S38" i="2"/>
  <c r="R38" i="2"/>
  <c r="Q38" i="2"/>
  <c r="P38" i="2"/>
  <c r="T37" i="2"/>
  <c r="S37" i="2"/>
  <c r="R37" i="2"/>
  <c r="Q37" i="2"/>
  <c r="P37" i="2"/>
  <c r="T36" i="2"/>
  <c r="S36" i="2"/>
  <c r="R36" i="2"/>
  <c r="Q36" i="2"/>
  <c r="P36" i="2"/>
  <c r="F58" i="55"/>
  <c r="E58" i="55"/>
  <c r="F57" i="55"/>
  <c r="E57" i="55"/>
  <c r="F56" i="55"/>
  <c r="E56" i="55"/>
  <c r="F55" i="55"/>
  <c r="E55" i="55"/>
  <c r="F54" i="55"/>
  <c r="E54" i="55"/>
  <c r="F53" i="55"/>
  <c r="E53" i="55"/>
  <c r="F52" i="55"/>
  <c r="E52" i="55"/>
  <c r="F51" i="55"/>
  <c r="E51" i="55"/>
  <c r="S26" i="53"/>
  <c r="R26" i="53"/>
  <c r="Q26" i="53"/>
  <c r="P26" i="53"/>
  <c r="O26" i="53"/>
  <c r="S15" i="53" l="1"/>
  <c r="R15" i="53"/>
  <c r="Q15" i="53"/>
  <c r="P15" i="53"/>
  <c r="O15" i="53"/>
  <c r="S14" i="53"/>
  <c r="R14" i="53"/>
  <c r="Q14" i="53"/>
  <c r="P14" i="53"/>
  <c r="O14" i="53"/>
  <c r="S13" i="53"/>
  <c r="R13" i="53"/>
  <c r="Q13" i="53"/>
  <c r="P13" i="53"/>
  <c r="O13" i="53"/>
  <c r="S12" i="53"/>
  <c r="R12" i="53"/>
  <c r="Q12" i="53"/>
  <c r="P12" i="53"/>
  <c r="O12" i="53"/>
  <c r="C15" i="53"/>
  <c r="C14" i="53"/>
  <c r="C13" i="53"/>
  <c r="C12" i="53"/>
  <c r="G15" i="16" l="1"/>
  <c r="D15" i="16"/>
  <c r="C15" i="16"/>
  <c r="G14" i="16"/>
  <c r="D14" i="16"/>
  <c r="C14" i="16"/>
  <c r="G13" i="16"/>
  <c r="D13" i="16"/>
  <c r="C13" i="16"/>
  <c r="D12" i="16"/>
  <c r="C12" i="16"/>
  <c r="G11" i="16"/>
  <c r="D11" i="16"/>
  <c r="C11" i="16"/>
  <c r="G10" i="16"/>
  <c r="D10" i="16"/>
  <c r="C10" i="16"/>
  <c r="B2" i="16"/>
  <c r="B1" i="16"/>
  <c r="C24" i="4"/>
  <c r="C9" i="4"/>
  <c r="B2" i="4"/>
  <c r="B1" i="4"/>
  <c r="J12" i="44"/>
  <c r="F12" i="44"/>
  <c r="E12" i="44"/>
  <c r="J11" i="44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N12" i="44" s="1"/>
  <c r="M4" i="44"/>
  <c r="M11" i="44" s="1"/>
  <c r="M12" i="44" s="1"/>
  <c r="L4" i="44"/>
  <c r="L11" i="44" s="1"/>
  <c r="L12" i="44" s="1"/>
  <c r="K4" i="44"/>
  <c r="K11" i="44" s="1"/>
  <c r="K12" i="44" s="1"/>
  <c r="J4" i="44"/>
  <c r="B2" i="44"/>
  <c r="S1" i="44"/>
  <c r="B1" i="44"/>
  <c r="F70" i="42"/>
  <c r="E70" i="42"/>
  <c r="F69" i="42"/>
  <c r="E69" i="42"/>
  <c r="J67" i="42"/>
  <c r="F63" i="42"/>
  <c r="E63" i="42"/>
  <c r="F61" i="42"/>
  <c r="E61" i="42"/>
  <c r="C61" i="42"/>
  <c r="F60" i="42"/>
  <c r="E60" i="42"/>
  <c r="C60" i="42"/>
  <c r="F59" i="42"/>
  <c r="E59" i="42"/>
  <c r="C59" i="42"/>
  <c r="F58" i="42"/>
  <c r="E58" i="42"/>
  <c r="C58" i="42"/>
  <c r="F57" i="42"/>
  <c r="E57" i="42"/>
  <c r="C57" i="42"/>
  <c r="F56" i="42"/>
  <c r="E56" i="42"/>
  <c r="C56" i="42"/>
  <c r="F55" i="42"/>
  <c r="E55" i="42"/>
  <c r="C55" i="42"/>
  <c r="F54" i="42"/>
  <c r="E54" i="42"/>
  <c r="C54" i="42"/>
  <c r="F53" i="42"/>
  <c r="E53" i="42"/>
  <c r="C53" i="42"/>
  <c r="J51" i="42"/>
  <c r="S45" i="42"/>
  <c r="R45" i="42"/>
  <c r="Q45" i="42"/>
  <c r="P45" i="42"/>
  <c r="O45" i="42"/>
  <c r="N45" i="42"/>
  <c r="M45" i="42"/>
  <c r="L45" i="42"/>
  <c r="K45" i="42"/>
  <c r="J45" i="42"/>
  <c r="S43" i="42"/>
  <c r="R43" i="42"/>
  <c r="Q43" i="42"/>
  <c r="P43" i="42"/>
  <c r="N43" i="42"/>
  <c r="M43" i="42"/>
  <c r="L43" i="42"/>
  <c r="K43" i="42"/>
  <c r="J43" i="42"/>
  <c r="N41" i="42"/>
  <c r="N47" i="42" s="1"/>
  <c r="M41" i="42"/>
  <c r="M47" i="42" s="1"/>
  <c r="L41" i="42"/>
  <c r="L47" i="42" s="1"/>
  <c r="K41" i="42"/>
  <c r="K47" i="42" s="1"/>
  <c r="J41" i="42"/>
  <c r="J47" i="42" s="1"/>
  <c r="J38" i="42"/>
  <c r="F34" i="42"/>
  <c r="E34" i="42"/>
  <c r="F32" i="42"/>
  <c r="E32" i="42"/>
  <c r="F30" i="42"/>
  <c r="E30" i="42"/>
  <c r="C30" i="42"/>
  <c r="J29" i="42"/>
  <c r="F29" i="42"/>
  <c r="E29" i="42"/>
  <c r="C29" i="42"/>
  <c r="F27" i="42"/>
  <c r="E27" i="42"/>
  <c r="C27" i="42"/>
  <c r="J26" i="42"/>
  <c r="F26" i="42"/>
  <c r="E26" i="42"/>
  <c r="C26" i="42"/>
  <c r="F24" i="42"/>
  <c r="E24" i="42"/>
  <c r="C24" i="42"/>
  <c r="J23" i="42"/>
  <c r="F23" i="42"/>
  <c r="E23" i="42"/>
  <c r="C23" i="42"/>
  <c r="F21" i="42"/>
  <c r="E21" i="42"/>
  <c r="C21" i="42"/>
  <c r="J20" i="42"/>
  <c r="F20" i="42"/>
  <c r="E20" i="42"/>
  <c r="C20" i="42"/>
  <c r="F18" i="42"/>
  <c r="E18" i="42"/>
  <c r="C18" i="42"/>
  <c r="J17" i="42"/>
  <c r="F17" i="42"/>
  <c r="E17" i="42"/>
  <c r="C17" i="42"/>
  <c r="J15" i="42"/>
  <c r="F15" i="42"/>
  <c r="E15" i="42"/>
  <c r="F13" i="42"/>
  <c r="E13" i="42"/>
  <c r="J12" i="42"/>
  <c r="F12" i="42"/>
  <c r="E12" i="42"/>
  <c r="J10" i="42"/>
  <c r="S4" i="42"/>
  <c r="R4" i="42"/>
  <c r="Q4" i="42"/>
  <c r="P4" i="42"/>
  <c r="O4" i="42"/>
  <c r="N4" i="42"/>
  <c r="N38" i="42" s="1"/>
  <c r="M4" i="42"/>
  <c r="M51" i="42" s="1"/>
  <c r="L4" i="42"/>
  <c r="L38" i="42" s="1"/>
  <c r="K4" i="42"/>
  <c r="K51" i="42" s="1"/>
  <c r="J4" i="42"/>
  <c r="B2" i="42"/>
  <c r="B1" i="42"/>
  <c r="J24" i="53"/>
  <c r="J10" i="53"/>
  <c r="S4" i="53"/>
  <c r="S10" i="53" s="1"/>
  <c r="R4" i="53"/>
  <c r="R24" i="53" s="1"/>
  <c r="Q4" i="53"/>
  <c r="Q24" i="53" s="1"/>
  <c r="P4" i="53"/>
  <c r="P10" i="53" s="1"/>
  <c r="O4" i="53"/>
  <c r="O10" i="53" s="1"/>
  <c r="N4" i="53"/>
  <c r="N10" i="53" s="1"/>
  <c r="M4" i="53"/>
  <c r="M24" i="53" s="1"/>
  <c r="L4" i="53"/>
  <c r="L10" i="53" s="1"/>
  <c r="K4" i="53"/>
  <c r="K24" i="53" s="1"/>
  <c r="J4" i="53"/>
  <c r="B2" i="53"/>
  <c r="S1" i="53"/>
  <c r="B1" i="53"/>
  <c r="E93" i="2"/>
  <c r="K91" i="2"/>
  <c r="P87" i="2"/>
  <c r="W87" i="2" s="1"/>
  <c r="C85" i="2"/>
  <c r="C84" i="2"/>
  <c r="C83" i="2"/>
  <c r="C82" i="2"/>
  <c r="C81" i="2"/>
  <c r="C80" i="2"/>
  <c r="T76" i="2"/>
  <c r="S76" i="2"/>
  <c r="R76" i="2"/>
  <c r="Q76" i="2"/>
  <c r="P76" i="2"/>
  <c r="C76" i="2"/>
  <c r="T75" i="2"/>
  <c r="S75" i="2"/>
  <c r="R75" i="2"/>
  <c r="Q75" i="2"/>
  <c r="P75" i="2"/>
  <c r="C75" i="2"/>
  <c r="T74" i="2"/>
  <c r="S74" i="2"/>
  <c r="R74" i="2"/>
  <c r="Q74" i="2"/>
  <c r="P74" i="2"/>
  <c r="C74" i="2"/>
  <c r="T73" i="2"/>
  <c r="S73" i="2"/>
  <c r="R73" i="2"/>
  <c r="Q73" i="2"/>
  <c r="P73" i="2"/>
  <c r="C73" i="2"/>
  <c r="T72" i="2"/>
  <c r="S72" i="2"/>
  <c r="R72" i="2"/>
  <c r="Q72" i="2"/>
  <c r="P72" i="2"/>
  <c r="C72" i="2"/>
  <c r="T71" i="2"/>
  <c r="S71" i="2"/>
  <c r="R71" i="2"/>
  <c r="Q71" i="2"/>
  <c r="P71" i="2"/>
  <c r="C71" i="2"/>
  <c r="U69" i="2"/>
  <c r="K69" i="2"/>
  <c r="K60" i="2"/>
  <c r="T56" i="2"/>
  <c r="S56" i="2"/>
  <c r="R56" i="2"/>
  <c r="Q56" i="2"/>
  <c r="P56" i="2"/>
  <c r="E54" i="2"/>
  <c r="C54" i="2"/>
  <c r="E53" i="2"/>
  <c r="C53" i="2"/>
  <c r="E52" i="2"/>
  <c r="C52" i="2"/>
  <c r="E51" i="2"/>
  <c r="C51" i="2"/>
  <c r="E50" i="2"/>
  <c r="C50" i="2"/>
  <c r="E49" i="2"/>
  <c r="C49" i="2"/>
  <c r="E48" i="2"/>
  <c r="C48" i="2"/>
  <c r="E47" i="2"/>
  <c r="C47" i="2"/>
  <c r="K45" i="2"/>
  <c r="E43" i="2"/>
  <c r="E42" i="2"/>
  <c r="E41" i="2"/>
  <c r="E40" i="2"/>
  <c r="E39" i="2"/>
  <c r="O43" i="42"/>
  <c r="E38" i="2"/>
  <c r="E37" i="2"/>
  <c r="E36" i="2"/>
  <c r="K34" i="2"/>
  <c r="M28" i="2"/>
  <c r="L28" i="2"/>
  <c r="K28" i="2"/>
  <c r="J28" i="2"/>
  <c r="M27" i="2"/>
  <c r="L27" i="2"/>
  <c r="K27" i="2"/>
  <c r="J27" i="2"/>
  <c r="M26" i="2"/>
  <c r="L26" i="2"/>
  <c r="K26" i="2"/>
  <c r="J26" i="2"/>
  <c r="M25" i="2"/>
  <c r="L25" i="2"/>
  <c r="K25" i="2"/>
  <c r="J25" i="2"/>
  <c r="C26" i="2"/>
  <c r="C25" i="2" a="1"/>
  <c r="K23" i="2"/>
  <c r="L19" i="2"/>
  <c r="K19" i="2"/>
  <c r="J19" i="2"/>
  <c r="M18" i="2"/>
  <c r="K18" i="2"/>
  <c r="J18" i="2"/>
  <c r="M17" i="2"/>
  <c r="L17" i="2"/>
  <c r="J17" i="2"/>
  <c r="M16" i="2"/>
  <c r="L16" i="2"/>
  <c r="K16" i="2"/>
  <c r="C17" i="2"/>
  <c r="C16" i="2" a="1"/>
  <c r="K14" i="2"/>
  <c r="O12" i="2"/>
  <c r="N21" i="2" s="1"/>
  <c r="N12" i="2"/>
  <c r="M20" i="2" s="1"/>
  <c r="M12" i="2"/>
  <c r="L12" i="2"/>
  <c r="K12" i="2"/>
  <c r="J12" i="2"/>
  <c r="E12" i="2"/>
  <c r="K10" i="2"/>
  <c r="T4" i="2"/>
  <c r="T69" i="2" s="1"/>
  <c r="S4" i="2"/>
  <c r="S60" i="2" s="1"/>
  <c r="R4" i="2"/>
  <c r="R91" i="2" s="1"/>
  <c r="Q4" i="2"/>
  <c r="Q34" i="2" s="1"/>
  <c r="P4" i="2"/>
  <c r="P69" i="2" s="1"/>
  <c r="O4" i="2"/>
  <c r="O91" i="2" s="1"/>
  <c r="N4" i="2"/>
  <c r="N91" i="2" s="1"/>
  <c r="M4" i="2"/>
  <c r="M91" i="2" s="1"/>
  <c r="L4" i="2"/>
  <c r="L69" i="2" s="1"/>
  <c r="K4" i="2"/>
  <c r="J4" i="2"/>
  <c r="J10" i="2" s="1"/>
  <c r="B2" i="2"/>
  <c r="B1" i="2"/>
  <c r="E55" i="56"/>
  <c r="E54" i="56"/>
  <c r="E53" i="56"/>
  <c r="E52" i="56"/>
  <c r="E51" i="56"/>
  <c r="J50" i="56"/>
  <c r="S46" i="56"/>
  <c r="R46" i="56"/>
  <c r="Q46" i="56"/>
  <c r="P46" i="56"/>
  <c r="O46" i="56"/>
  <c r="N46" i="56"/>
  <c r="K46" i="56"/>
  <c r="J46" i="56"/>
  <c r="F44" i="56"/>
  <c r="E44" i="56"/>
  <c r="F43" i="56"/>
  <c r="E43" i="56"/>
  <c r="F42" i="56"/>
  <c r="E42" i="56"/>
  <c r="F41" i="56"/>
  <c r="E41" i="56"/>
  <c r="F37" i="56"/>
  <c r="E37" i="56"/>
  <c r="F36" i="56"/>
  <c r="E36" i="56"/>
  <c r="F35" i="56"/>
  <c r="E35" i="56"/>
  <c r="F34" i="56"/>
  <c r="E34" i="56"/>
  <c r="F33" i="56"/>
  <c r="E33" i="56"/>
  <c r="L46" i="56"/>
  <c r="F32" i="56"/>
  <c r="E32" i="56"/>
  <c r="J29" i="56"/>
  <c r="S24" i="56"/>
  <c r="R24" i="56"/>
  <c r="Q24" i="56"/>
  <c r="P24" i="56"/>
  <c r="O24" i="56"/>
  <c r="N24" i="56"/>
  <c r="M24" i="56"/>
  <c r="L24" i="56"/>
  <c r="K24" i="56"/>
  <c r="J24" i="56"/>
  <c r="E22" i="56"/>
  <c r="E21" i="56"/>
  <c r="E20" i="56"/>
  <c r="E19" i="56"/>
  <c r="E18" i="56"/>
  <c r="E17" i="56"/>
  <c r="E16" i="56"/>
  <c r="E15" i="56"/>
  <c r="E14" i="56"/>
  <c r="E13" i="56"/>
  <c r="J10" i="56"/>
  <c r="S4" i="56"/>
  <c r="S29" i="56" s="1"/>
  <c r="R4" i="56"/>
  <c r="R29" i="56" s="1"/>
  <c r="Q4" i="56"/>
  <c r="Q50" i="56" s="1"/>
  <c r="P4" i="56"/>
  <c r="P50" i="56" s="1"/>
  <c r="O4" i="56"/>
  <c r="O29" i="56" s="1"/>
  <c r="N4" i="56"/>
  <c r="N29" i="56" s="1"/>
  <c r="M4" i="56"/>
  <c r="M50" i="56" s="1"/>
  <c r="L4" i="56"/>
  <c r="L50" i="56" s="1"/>
  <c r="K4" i="56"/>
  <c r="K29" i="56" s="1"/>
  <c r="J4" i="56"/>
  <c r="C2" i="56"/>
  <c r="S1" i="56"/>
  <c r="C1" i="56"/>
  <c r="S58" i="55"/>
  <c r="S57" i="55"/>
  <c r="S56" i="55"/>
  <c r="S55" i="55"/>
  <c r="S54" i="55"/>
  <c r="S53" i="55"/>
  <c r="S52" i="55"/>
  <c r="S51" i="55"/>
  <c r="S50" i="55"/>
  <c r="S49" i="55"/>
  <c r="S48" i="55"/>
  <c r="S47" i="55"/>
  <c r="S46" i="55"/>
  <c r="S45" i="55"/>
  <c r="S44" i="55"/>
  <c r="S43" i="55"/>
  <c r="S42" i="55"/>
  <c r="S41" i="55"/>
  <c r="S40" i="55"/>
  <c r="S39" i="55"/>
  <c r="S38" i="55"/>
  <c r="S37" i="55"/>
  <c r="S36" i="55"/>
  <c r="S35" i="55"/>
  <c r="S34" i="55"/>
  <c r="S33" i="55"/>
  <c r="S32" i="55"/>
  <c r="S31" i="55"/>
  <c r="S30" i="55"/>
  <c r="S29" i="55"/>
  <c r="S28" i="55"/>
  <c r="S27" i="55"/>
  <c r="S26" i="55"/>
  <c r="S25" i="55"/>
  <c r="S24" i="55"/>
  <c r="S23" i="55"/>
  <c r="S22" i="55"/>
  <c r="S21" i="55"/>
  <c r="S20" i="55"/>
  <c r="S19" i="55"/>
  <c r="S18" i="55"/>
  <c r="S17" i="55"/>
  <c r="S16" i="55"/>
  <c r="S15" i="55"/>
  <c r="S14" i="55"/>
  <c r="S13" i="55"/>
  <c r="S12" i="55"/>
  <c r="S11" i="55"/>
  <c r="S10" i="55"/>
  <c r="S9" i="55"/>
  <c r="B2" i="55"/>
  <c r="B1" i="55"/>
  <c r="S12" i="54"/>
  <c r="S11" i="54"/>
  <c r="S10" i="54"/>
  <c r="S9" i="54"/>
  <c r="S8" i="54"/>
  <c r="S7" i="54"/>
  <c r="B2" i="54"/>
  <c r="S1" i="54"/>
  <c r="B1" i="54"/>
  <c r="S51" i="42" l="1"/>
  <c r="R38" i="42"/>
  <c r="P10" i="42"/>
  <c r="P12" i="42" s="1"/>
  <c r="O51" i="42"/>
  <c r="M32" i="56"/>
  <c r="M46" i="56" s="1"/>
  <c r="L20" i="2"/>
  <c r="M29" i="2"/>
  <c r="N30" i="2"/>
  <c r="M21" i="2"/>
  <c r="N17" i="2"/>
  <c r="O20" i="2"/>
  <c r="O29" i="2" s="1"/>
  <c r="O30" i="2"/>
  <c r="N18" i="2"/>
  <c r="N29" i="2"/>
  <c r="S1" i="55"/>
  <c r="N19" i="2"/>
  <c r="N16" i="2"/>
  <c r="S41" i="42"/>
  <c r="S47" i="42" s="1"/>
  <c r="W56" i="2"/>
  <c r="T1" i="2" s="1"/>
  <c r="G12" i="16" s="1"/>
  <c r="S1" i="16" s="1"/>
  <c r="R41" i="42"/>
  <c r="R47" i="42" s="1"/>
  <c r="O41" i="42"/>
  <c r="O47" i="42" s="1"/>
  <c r="P41" i="42"/>
  <c r="P47" i="42" s="1"/>
  <c r="Q41" i="42"/>
  <c r="Q47" i="42" s="1"/>
  <c r="M10" i="2"/>
  <c r="M23" i="2" s="1"/>
  <c r="P24" i="53"/>
  <c r="R50" i="56"/>
  <c r="Q45" i="2"/>
  <c r="Q60" i="2"/>
  <c r="K10" i="56"/>
  <c r="S10" i="56"/>
  <c r="N50" i="56"/>
  <c r="Q10" i="2"/>
  <c r="N14" i="2"/>
  <c r="M45" i="2"/>
  <c r="M60" i="2"/>
  <c r="Q91" i="2"/>
  <c r="R10" i="53"/>
  <c r="N24" i="53"/>
  <c r="S24" i="53"/>
  <c r="K10" i="42"/>
  <c r="K15" i="42" s="1"/>
  <c r="S10" i="42"/>
  <c r="S29" i="42" s="1"/>
  <c r="K38" i="42"/>
  <c r="K67" i="42"/>
  <c r="N10" i="56"/>
  <c r="O50" i="56"/>
  <c r="L10" i="2"/>
  <c r="L23" i="2" s="1"/>
  <c r="T10" i="2"/>
  <c r="J14" i="2"/>
  <c r="P45" i="2"/>
  <c r="P60" i="2"/>
  <c r="Q69" i="2"/>
  <c r="K10" i="53"/>
  <c r="O24" i="53"/>
  <c r="L10" i="42"/>
  <c r="L20" i="42" s="1"/>
  <c r="O67" i="42"/>
  <c r="O10" i="56"/>
  <c r="O10" i="42"/>
  <c r="O38" i="42"/>
  <c r="S67" i="42"/>
  <c r="R10" i="56"/>
  <c r="K50" i="56"/>
  <c r="S50" i="56"/>
  <c r="P10" i="2"/>
  <c r="M14" i="2"/>
  <c r="L45" i="2"/>
  <c r="T45" i="2"/>
  <c r="L60" i="2"/>
  <c r="P91" i="2"/>
  <c r="S38" i="42"/>
  <c r="J23" i="2"/>
  <c r="C16" i="2"/>
  <c r="C25" i="2"/>
  <c r="L29" i="56"/>
  <c r="P29" i="56"/>
  <c r="O34" i="2"/>
  <c r="S34" i="2"/>
  <c r="O69" i="2"/>
  <c r="Q10" i="53"/>
  <c r="R10" i="42"/>
  <c r="N67" i="42"/>
  <c r="M29" i="56"/>
  <c r="Q29" i="56"/>
  <c r="O14" i="2"/>
  <c r="L34" i="2"/>
  <c r="P34" i="2"/>
  <c r="T34" i="2"/>
  <c r="L91" i="2"/>
  <c r="M10" i="53"/>
  <c r="N10" i="42"/>
  <c r="L10" i="56"/>
  <c r="P10" i="56"/>
  <c r="N10" i="2"/>
  <c r="R10" i="2"/>
  <c r="L14" i="2"/>
  <c r="M34" i="2"/>
  <c r="N45" i="2"/>
  <c r="R45" i="2"/>
  <c r="N60" i="2"/>
  <c r="R60" i="2"/>
  <c r="M69" i="2"/>
  <c r="R69" i="2"/>
  <c r="S91" i="2"/>
  <c r="L24" i="53"/>
  <c r="L51" i="42"/>
  <c r="L67" i="42"/>
  <c r="P51" i="42"/>
  <c r="P67" i="42"/>
  <c r="P38" i="42"/>
  <c r="N51" i="42"/>
  <c r="R67" i="42"/>
  <c r="R51" i="42"/>
  <c r="M10" i="56"/>
  <c r="Q10" i="56"/>
  <c r="O10" i="2"/>
  <c r="S10" i="2"/>
  <c r="N34" i="2"/>
  <c r="R34" i="2"/>
  <c r="O45" i="2"/>
  <c r="S45" i="2"/>
  <c r="O60" i="2"/>
  <c r="T60" i="2"/>
  <c r="N69" i="2"/>
  <c r="S69" i="2"/>
  <c r="T91" i="2"/>
  <c r="M67" i="42"/>
  <c r="M38" i="42"/>
  <c r="M10" i="42"/>
  <c r="Q67" i="42"/>
  <c r="Q38" i="42"/>
  <c r="Q10" i="42"/>
  <c r="P20" i="42"/>
  <c r="Q51" i="42"/>
  <c r="P23" i="42" l="1"/>
  <c r="P26" i="42"/>
  <c r="P15" i="42"/>
  <c r="P17" i="42"/>
  <c r="P29" i="42"/>
  <c r="N25" i="2"/>
  <c r="O16" i="2"/>
  <c r="O25" i="2" s="1"/>
  <c r="O18" i="2"/>
  <c r="O27" i="2" s="1"/>
  <c r="N27" i="2"/>
  <c r="L21" i="2"/>
  <c r="M30" i="2"/>
  <c r="N28" i="2"/>
  <c r="O19" i="2"/>
  <c r="O28" i="2" s="1"/>
  <c r="N26" i="2"/>
  <c r="O17" i="2"/>
  <c r="O26" i="2" s="1"/>
  <c r="L29" i="2"/>
  <c r="K20" i="2"/>
  <c r="V1" i="56"/>
  <c r="V1" i="54"/>
  <c r="V1" i="55"/>
  <c r="V1" i="44"/>
  <c r="C19" i="2"/>
  <c r="V1" i="53"/>
  <c r="W1" i="2"/>
  <c r="V1" i="42"/>
  <c r="V1" i="4"/>
  <c r="C28" i="2"/>
  <c r="K17" i="42"/>
  <c r="L15" i="42"/>
  <c r="L23" i="42"/>
  <c r="K20" i="42"/>
  <c r="S15" i="42"/>
  <c r="S12" i="42"/>
  <c r="L26" i="42"/>
  <c r="C18" i="2"/>
  <c r="L12" i="42"/>
  <c r="L17" i="42"/>
  <c r="L29" i="42"/>
  <c r="C27" i="2"/>
  <c r="O26" i="42"/>
  <c r="O29" i="42"/>
  <c r="O23" i="42"/>
  <c r="O20" i="42"/>
  <c r="O17" i="42"/>
  <c r="O12" i="42"/>
  <c r="O15" i="42"/>
  <c r="K29" i="42"/>
  <c r="K26" i="42"/>
  <c r="K23" i="42"/>
  <c r="K12" i="42"/>
  <c r="M29" i="42"/>
  <c r="M26" i="42"/>
  <c r="M23" i="42"/>
  <c r="M20" i="42"/>
  <c r="M17" i="42"/>
  <c r="M15" i="42"/>
  <c r="M12" i="42"/>
  <c r="R15" i="42"/>
  <c r="R29" i="42"/>
  <c r="R12" i="42"/>
  <c r="N23" i="2"/>
  <c r="C20" i="2"/>
  <c r="C29" i="2"/>
  <c r="Q29" i="42"/>
  <c r="Q26" i="42"/>
  <c r="Q23" i="42"/>
  <c r="Q20" i="42"/>
  <c r="Q17" i="42"/>
  <c r="Q15" i="42"/>
  <c r="Q12" i="42"/>
  <c r="C30" i="2"/>
  <c r="O23" i="2"/>
  <c r="C21" i="2"/>
  <c r="N12" i="42"/>
  <c r="N23" i="42"/>
  <c r="N26" i="42"/>
  <c r="N29" i="42"/>
  <c r="N17" i="42"/>
  <c r="K29" i="2" l="1"/>
  <c r="J20" i="2"/>
  <c r="J29" i="2" s="1"/>
  <c r="K21" i="2"/>
  <c r="L30" i="2"/>
  <c r="K13" i="42" s="1"/>
  <c r="K69" i="42" s="1"/>
  <c r="R27" i="42"/>
  <c r="J27" i="42"/>
  <c r="Q21" i="42"/>
  <c r="P24" i="42"/>
  <c r="M18" i="42"/>
  <c r="N27" i="42"/>
  <c r="K27" i="42"/>
  <c r="O27" i="42"/>
  <c r="L18" i="42"/>
  <c r="S18" i="42"/>
  <c r="J30" i="42"/>
  <c r="S30" i="42"/>
  <c r="R21" i="42"/>
  <c r="O18" i="42"/>
  <c r="L27" i="42"/>
  <c r="K21" i="42"/>
  <c r="R30" i="42"/>
  <c r="M30" i="42"/>
  <c r="K30" i="42"/>
  <c r="P27" i="42"/>
  <c r="S13" i="42"/>
  <c r="N24" i="42"/>
  <c r="L60" i="42"/>
  <c r="Q24" i="42"/>
  <c r="M21" i="42"/>
  <c r="P21" i="42"/>
  <c r="O24" i="42"/>
  <c r="J18" i="42"/>
  <c r="J24" i="42"/>
  <c r="L24" i="42"/>
  <c r="O21" i="42"/>
  <c r="P30" i="42"/>
  <c r="N18" i="42"/>
  <c r="Q27" i="42"/>
  <c r="M24" i="42"/>
  <c r="K18" i="42"/>
  <c r="S27" i="42"/>
  <c r="R18" i="42"/>
  <c r="R24" i="42"/>
  <c r="P18" i="42"/>
  <c r="L21" i="42"/>
  <c r="K24" i="42"/>
  <c r="N30" i="42"/>
  <c r="L30" i="42"/>
  <c r="L13" i="42"/>
  <c r="L69" i="42" s="1"/>
  <c r="Q18" i="42"/>
  <c r="Q30" i="42"/>
  <c r="M27" i="42"/>
  <c r="S21" i="42"/>
  <c r="S24" i="42"/>
  <c r="J21" i="42"/>
  <c r="O30" i="42"/>
  <c r="O61" i="42"/>
  <c r="N13" i="42"/>
  <c r="P13" i="42"/>
  <c r="O13" i="42"/>
  <c r="M13" i="42"/>
  <c r="M69" i="42" s="1"/>
  <c r="R56" i="42"/>
  <c r="O54" i="42"/>
  <c r="N56" i="42"/>
  <c r="J56" i="42"/>
  <c r="Q57" i="42"/>
  <c r="S56" i="42"/>
  <c r="K57" i="42"/>
  <c r="S61" i="42"/>
  <c r="L58" i="42"/>
  <c r="N55" i="42"/>
  <c r="N59" i="42"/>
  <c r="P53" i="42"/>
  <c r="P57" i="42"/>
  <c r="P61" i="42"/>
  <c r="L57" i="42"/>
  <c r="J55" i="42"/>
  <c r="K58" i="42"/>
  <c r="Q60" i="42"/>
  <c r="R53" i="42"/>
  <c r="P55" i="42"/>
  <c r="J57" i="42"/>
  <c r="Q58" i="42"/>
  <c r="O60" i="42"/>
  <c r="R61" i="42"/>
  <c r="J54" i="42"/>
  <c r="Q55" i="42"/>
  <c r="O57" i="42"/>
  <c r="R58" i="42"/>
  <c r="P60" i="42"/>
  <c r="N60" i="42"/>
  <c r="S54" i="42"/>
  <c r="R59" i="42"/>
  <c r="L55" i="42"/>
  <c r="S53" i="42"/>
  <c r="N58" i="42"/>
  <c r="Q13" i="42"/>
  <c r="R13" i="42"/>
  <c r="L53" i="42"/>
  <c r="S59" i="42"/>
  <c r="M56" i="42"/>
  <c r="M60" i="42"/>
  <c r="P54" i="42"/>
  <c r="P58" i="42"/>
  <c r="L54" i="42"/>
  <c r="K59" i="42"/>
  <c r="Q53" i="42"/>
  <c r="R55" i="42"/>
  <c r="S58" i="42"/>
  <c r="Q61" i="42"/>
  <c r="M54" i="42"/>
  <c r="K56" i="42"/>
  <c r="N57" i="42"/>
  <c r="L59" i="42"/>
  <c r="S60" i="42"/>
  <c r="K53" i="42"/>
  <c r="N54" i="42"/>
  <c r="L56" i="42"/>
  <c r="S57" i="42"/>
  <c r="M59" i="42"/>
  <c r="K61" i="42"/>
  <c r="L61" i="42"/>
  <c r="O58" i="42"/>
  <c r="N53" i="42"/>
  <c r="M58" i="42"/>
  <c r="K60" i="42"/>
  <c r="N61" i="42"/>
  <c r="M55" i="42"/>
  <c r="S55" i="42"/>
  <c r="R60" i="42"/>
  <c r="M53" i="42"/>
  <c r="M57" i="42"/>
  <c r="M61" i="42"/>
  <c r="O55" i="42"/>
  <c r="O59" i="42"/>
  <c r="K55" i="42"/>
  <c r="J60" i="42"/>
  <c r="K54" i="42"/>
  <c r="Q56" i="42"/>
  <c r="J59" i="42"/>
  <c r="J53" i="42"/>
  <c r="Q54" i="42"/>
  <c r="O56" i="42"/>
  <c r="R57" i="42"/>
  <c r="P59" i="42"/>
  <c r="J61" i="42"/>
  <c r="O53" i="42"/>
  <c r="R54" i="42"/>
  <c r="P56" i="42"/>
  <c r="J58" i="42"/>
  <c r="Q59" i="42"/>
  <c r="J21" i="2" l="1"/>
  <c r="J30" i="2" s="1"/>
  <c r="K30" i="2"/>
  <c r="J13" i="42" s="1"/>
  <c r="J69" i="42" s="1"/>
  <c r="L32" i="42"/>
  <c r="L34" i="42" s="1"/>
  <c r="P32" i="42"/>
  <c r="P34" i="42" s="1"/>
  <c r="S32" i="42"/>
  <c r="S34" i="42" s="1"/>
  <c r="R32" i="42"/>
  <c r="R34" i="42" s="1"/>
  <c r="Q32" i="42"/>
  <c r="Q34" i="42" s="1"/>
  <c r="O32" i="42"/>
  <c r="O34" i="42" s="1"/>
  <c r="K32" i="42"/>
  <c r="K34" i="42" s="1"/>
  <c r="J32" i="42"/>
  <c r="J34" i="42" s="1"/>
  <c r="M32" i="42"/>
  <c r="M34" i="42" s="1"/>
  <c r="O63" i="42"/>
  <c r="M63" i="42"/>
  <c r="R63" i="42"/>
  <c r="J63" i="42"/>
  <c r="N63" i="42"/>
  <c r="K63" i="42"/>
  <c r="S63" i="42"/>
  <c r="Q63" i="42"/>
  <c r="L63" i="42"/>
  <c r="P63" i="42"/>
  <c r="N15" i="42" l="1"/>
  <c r="N69" i="42" s="1"/>
  <c r="N20" i="42" l="1"/>
  <c r="N21" i="42" s="1"/>
  <c r="N32" i="42" s="1"/>
  <c r="N34" i="42" s="1"/>
  <c r="S69" i="42" l="1" a="1"/>
  <c r="S69" i="42" s="1"/>
  <c r="Q69" i="42" a="1"/>
  <c r="Q69" i="42" s="1"/>
  <c r="R69" i="42" a="1"/>
  <c r="R69" i="42" s="1"/>
  <c r="O69" i="42" a="1"/>
  <c r="O69" i="42" s="1"/>
  <c r="P69" i="42" a="1"/>
  <c r="P69" i="42" s="1"/>
  <c r="P12" i="44" l="1"/>
  <c r="P70" i="42"/>
  <c r="O12" i="44"/>
  <c r="O70" i="42"/>
  <c r="R12" i="44"/>
  <c r="R70" i="42"/>
  <c r="Q12" i="44"/>
  <c r="Q70" i="42"/>
  <c r="S12" i="44"/>
  <c r="S70" i="42"/>
  <c r="S13" i="4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8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Economic Insights, 4 November 2016, Memo - DNSP Economic Benchmarking Results for AER Benchmarking Report, Table 1, p. 13.
</t>
        </r>
      </text>
    </comment>
  </commentList>
</comments>
</file>

<file path=xl/sharedStrings.xml><?xml version="1.0" encoding="utf-8"?>
<sst xmlns="http://schemas.openxmlformats.org/spreadsheetml/2006/main" count="491" uniqueCount="143">
  <si>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</si>
  <si>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</si>
  <si>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</si>
  <si>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</si>
  <si>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</si>
  <si>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</si>
  <si>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</si>
  <si>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</si>
  <si>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</si>
  <si>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</si>
  <si>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</si>
  <si>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</si>
  <si>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</si>
  <si>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</si>
  <si>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</si>
  <si>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</si>
  <si>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</si>
  <si>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</si>
  <si>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</si>
  <si>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</si>
  <si>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</si>
  <si>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</si>
  <si>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</si>
  <si>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</si>
  <si>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</si>
  <si>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</si>
  <si>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</si>
  <si>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</si>
  <si>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</si>
  <si>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</si>
  <si>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</si>
  <si>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</si>
  <si>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</si>
  <si>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</si>
  <si>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</si>
  <si>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</si>
  <si>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</si>
  <si>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</si>
  <si>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</si>
  <si>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</si>
  <si>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</si>
  <si>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</si>
  <si>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</si>
  <si>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</si>
  <si>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</si>
  <si>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</si>
  <si>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</si>
  <si>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</si>
  <si>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</si>
  <si>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</si>
  <si>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</si>
  <si>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</si>
  <si>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</si>
  <si>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</si>
  <si>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</si>
  <si>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</si>
  <si>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</si>
  <si>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Forecast operating expenditure (excl. DRC)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</si>
  <si>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</si>
  <si>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</si>
  <si>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</si>
  <si>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</si>
  <si>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</si>
  <si>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Outputs the opex forecast needed as a post tax revenue model input (which excludes debt raising costs).</t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</si>
  <si>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</si>
  <si>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</si>
  <si>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</si>
  <si>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</si>
  <si>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</si>
  <si>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</si>
  <si>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Prior regulatory control period, first year</t>
  </si>
  <si>
    <t>Prior regulatory control period, last year</t>
  </si>
  <si>
    <t>Forecast regulatory control period, first year</t>
  </si>
  <si>
    <t>Forecast regulatory control period, last year</t>
  </si>
  <si>
    <t>Value</t>
  </si>
  <si>
    <t>AER</t>
  </si>
  <si>
    <t>Years</t>
  </si>
  <si>
    <t>Forecast base year</t>
  </si>
  <si>
    <t>PTRM</t>
  </si>
  <si>
    <t>Total opex</t>
  </si>
  <si>
    <t>Estimate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</si>
  <si>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</si>
  <si>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</si>
  <si>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</si>
  <si>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</si>
  <si>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</si>
  <si>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</si>
  <si>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</si>
  <si>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</si>
  <si>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</si>
  <si>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</si>
  <si>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</si>
  <si>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</si>
  <si>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</si>
  <si>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</si>
  <si>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</si>
  <si>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</si>
  <si>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Total reported opex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</si>
  <si>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</si>
  <si>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</si>
  <si>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</si>
  <si>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</si>
  <si>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</si>
  <si>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</si>
  <si>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old base</t>
  </si>
  <si>
    <t>Index value, new base</t>
  </si>
  <si>
    <t>calculated</t>
  </si>
  <si>
    <t>CPI indexes (real to real)</t>
  </si>
  <si>
    <t>nominal</t>
  </si>
  <si>
    <t>Forecast productivity change</t>
  </si>
  <si>
    <t>Forecast rate of change</t>
  </si>
  <si>
    <t>Step changes</t>
  </si>
  <si>
    <t>Calc | Opex forecast</t>
  </si>
  <si>
    <t>Estimated final year opex</t>
  </si>
  <si>
    <t>Efficiency adjustment final year opex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</si>
  <si>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</si>
  <si>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</si>
  <si>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</si>
  <si>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</si>
  <si>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Remove movement in provisions</t>
  </si>
  <si>
    <t>Expenditure related to category specific forecasts</t>
  </si>
  <si>
    <t>Input | Adjustments</t>
  </si>
  <si>
    <t>Adjustment</t>
  </si>
  <si>
    <t>Adjustment 5</t>
  </si>
  <si>
    <t>PWC</t>
  </si>
  <si>
    <t>UC</t>
  </si>
  <si>
    <t>DAE</t>
  </si>
  <si>
    <t>Economic Insights</t>
  </si>
  <si>
    <t>PWC RIN</t>
  </si>
  <si>
    <t>Calculates the opex forecast from RY2020 to RY2024</t>
  </si>
  <si>
    <t>Corporate depreciation adjustment</t>
  </si>
  <si>
    <t>Capitalisation adjustment</t>
  </si>
  <si>
    <t>Service classification adjustment</t>
  </si>
  <si>
    <t>Other classification changes</t>
  </si>
  <si>
    <t>WPI - DAE (6 February 2017)</t>
  </si>
  <si>
    <t>Ratcheted Maximum Demand (MW)</t>
  </si>
  <si>
    <t>Circuit Length (km)</t>
  </si>
  <si>
    <t>Customer numbers (#)</t>
  </si>
  <si>
    <t>Total opex (ACS Metering only)</t>
  </si>
  <si>
    <t>Total opex (SCS and Metering ACS)(excluding carryover amounts)</t>
  </si>
  <si>
    <t>WPI - BIS Shrapnel (October 2016)</t>
  </si>
  <si>
    <t>BIS Shrapnel</t>
  </si>
  <si>
    <t xml:space="preserve">WPI - average of DAE and BIS Shrapnel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</si>
</sst>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0_ ;\-0\ "/>
    <numFmt numFmtId="203" formatCode="_-* #,##0.00000_-;\-* #,##0.00000_-;_-* &quot;-&quot;??_-;_-@_-"/>
    <numFmt numFmtId="204" formatCode="_-* #,##0.000000_-;\-* #,##0.000000_-;_-* &quot;-&quot;??_-;_-@_-"/>
  </numFmts>
  <fonts count="10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i/>
      <sz val="8"/>
      <color theme="1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i/>
      <u/>
      <sz val="8"/>
      <color theme="10"/>
      <name val="Arial"/>
      <family val="2"/>
    </font>
    <font>
      <b/>
      <sz val="8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35">
    <xf numFmtId="0" fontId="0" fillId="0" borderId="0"/>
    <xf numFmtId="166" fontId="5" fillId="8" borderId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5" fillId="0" borderId="0" applyFont="0" applyFill="0" applyBorder="0" applyAlignment="0" applyProtection="0"/>
    <xf numFmtId="167" fontId="14" fillId="0" borderId="5">
      <alignment horizontal="right" vertical="center"/>
      <protection locked="0"/>
    </xf>
    <xf numFmtId="43" fontId="1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14" fillId="0" borderId="0"/>
    <xf numFmtId="174" fontId="14" fillId="0" borderId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5" fillId="0" borderId="0"/>
    <xf numFmtId="42" fontId="26" fillId="0" borderId="0" applyFont="0" applyFill="0" applyBorder="0" applyAlignment="0" applyProtection="0"/>
    <xf numFmtId="0" fontId="27" fillId="31" borderId="0" applyNumberFormat="0" applyBorder="0" applyAlignment="0" applyProtection="0"/>
    <xf numFmtId="0" fontId="28" fillId="0" borderId="0" applyNumberFormat="0" applyFill="0" applyBorder="0" applyAlignment="0"/>
    <xf numFmtId="175" fontId="21" fillId="5" borderId="0" applyNumberFormat="0" applyFont="0" applyBorder="0" applyAlignment="0">
      <alignment horizontal="right"/>
    </xf>
    <xf numFmtId="175" fontId="21" fillId="5" borderId="0" applyNumberFormat="0" applyFont="0" applyBorder="0" applyAlignment="0">
      <alignment horizontal="right"/>
    </xf>
    <xf numFmtId="0" fontId="29" fillId="0" borderId="0" applyNumberFormat="0" applyFill="0" applyBorder="0" applyAlignment="0">
      <protection locked="0"/>
    </xf>
    <xf numFmtId="0" fontId="30" fillId="15" borderId="12" applyNumberFormat="0" applyAlignment="0" applyProtection="0"/>
    <xf numFmtId="0" fontId="31" fillId="32" borderId="13" applyNumberFormat="0" applyAlignment="0" applyProtection="0"/>
    <xf numFmtId="41" fontId="2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178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7" fillId="0" borderId="0"/>
    <xf numFmtId="0" fontId="38" fillId="0" borderId="0"/>
    <xf numFmtId="0" fontId="39" fillId="36" borderId="0" applyNumberFormat="0" applyBorder="0" applyAlignment="0" applyProtection="0"/>
    <xf numFmtId="0" fontId="23" fillId="0" borderId="0" applyFill="0" applyBorder="0">
      <alignment vertical="center"/>
    </xf>
    <xf numFmtId="0" fontId="40" fillId="0" borderId="14" applyNumberFormat="0" applyFill="0" applyAlignment="0" applyProtection="0"/>
    <xf numFmtId="0" fontId="23" fillId="0" borderId="0" applyFill="0" applyBorder="0">
      <alignment vertical="center"/>
    </xf>
    <xf numFmtId="0" fontId="41" fillId="0" borderId="0" applyFill="0" applyBorder="0">
      <alignment vertical="center"/>
    </xf>
    <xf numFmtId="0" fontId="42" fillId="0" borderId="15" applyNumberFormat="0" applyFill="0" applyAlignment="0" applyProtection="0"/>
    <xf numFmtId="0" fontId="41" fillId="0" borderId="0" applyFill="0" applyBorder="0">
      <alignment vertical="center"/>
    </xf>
    <xf numFmtId="0" fontId="11" fillId="0" borderId="0" applyFill="0" applyBorder="0">
      <alignment vertical="center"/>
    </xf>
    <xf numFmtId="0" fontId="43" fillId="0" borderId="16" applyNumberFormat="0" applyFill="0" applyAlignment="0" applyProtection="0"/>
    <xf numFmtId="0" fontId="11" fillId="0" borderId="0" applyFill="0" applyBorder="0">
      <alignment vertical="center"/>
    </xf>
    <xf numFmtId="0" fontId="14" fillId="0" borderId="0" applyFill="0" applyBorder="0">
      <alignment vertical="center"/>
    </xf>
    <xf numFmtId="0" fontId="43" fillId="0" borderId="0" applyNumberFormat="0" applyFill="0" applyBorder="0" applyAlignment="0" applyProtection="0"/>
    <xf numFmtId="0" fontId="14" fillId="0" borderId="0" applyFill="0" applyBorder="0">
      <alignment vertical="center"/>
    </xf>
    <xf numFmtId="180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>
      <alignment horizontal="center" vertical="center"/>
      <protection locked="0"/>
    </xf>
    <xf numFmtId="0" fontId="47" fillId="0" borderId="0" applyFill="0" applyBorder="0">
      <alignment horizontal="left" vertical="center"/>
      <protection locked="0"/>
    </xf>
    <xf numFmtId="0" fontId="48" fillId="13" borderId="12" applyNumberFormat="0" applyAlignment="0" applyProtection="0"/>
    <xf numFmtId="175" fontId="21" fillId="37" borderId="0" applyFont="0" applyBorder="0" applyAlignment="0">
      <alignment horizontal="right"/>
      <protection locked="0"/>
    </xf>
    <xf numFmtId="175" fontId="21" fillId="37" borderId="0" applyFont="0" applyBorder="0" applyAlignment="0">
      <alignment horizontal="right"/>
      <protection locked="0"/>
    </xf>
    <xf numFmtId="181" fontId="21" fillId="7" borderId="0" applyFont="0" applyBorder="0">
      <alignment horizontal="right"/>
      <protection locked="0"/>
    </xf>
    <xf numFmtId="181" fontId="21" fillId="7" borderId="0" applyFont="0" applyBorder="0">
      <alignment horizontal="right"/>
      <protection locked="0"/>
    </xf>
    <xf numFmtId="175" fontId="21" fillId="11" borderId="0" applyFont="0" applyBorder="0">
      <alignment horizontal="right"/>
      <protection locked="0"/>
    </xf>
    <xf numFmtId="175" fontId="21" fillId="11" borderId="0" applyFont="0" applyBorder="0">
      <alignment horizontal="right"/>
      <protection locked="0"/>
    </xf>
    <xf numFmtId="0" fontId="14" fillId="5" borderId="0"/>
    <xf numFmtId="0" fontId="49" fillId="0" borderId="17" applyNumberFormat="0" applyFill="0" applyAlignment="0" applyProtection="0"/>
    <xf numFmtId="182" fontId="50" fillId="0" borderId="0"/>
    <xf numFmtId="0" fontId="51" fillId="0" borderId="0" applyFill="0" applyBorder="0">
      <alignment horizontal="left" vertical="center"/>
    </xf>
    <xf numFmtId="0" fontId="52" fillId="16" borderId="0" applyNumberFormat="0" applyBorder="0" applyAlignment="0" applyProtection="0"/>
    <xf numFmtId="183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6" fillId="0" borderId="0"/>
    <xf numFmtId="0" fontId="21" fillId="3" borderId="0"/>
    <xf numFmtId="0" fontId="54" fillId="0" borderId="0"/>
    <xf numFmtId="0" fontId="21" fillId="0" borderId="0"/>
    <xf numFmtId="0" fontId="21" fillId="0" borderId="0"/>
    <xf numFmtId="0" fontId="21" fillId="14" borderId="18" applyNumberFormat="0" applyFont="0" applyAlignment="0" applyProtection="0"/>
    <xf numFmtId="0" fontId="55" fillId="15" borderId="19" applyNumberFormat="0" applyAlignment="0" applyProtection="0"/>
    <xf numFmtId="184" fontId="21" fillId="0" borderId="0" applyFill="0" applyBorder="0"/>
    <xf numFmtId="184" fontId="21" fillId="0" borderId="0" applyFill="0" applyBorder="0"/>
    <xf numFmtId="184" fontId="21" fillId="0" borderId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0" fontId="56" fillId="0" borderId="0"/>
    <xf numFmtId="0" fontId="11" fillId="0" borderId="0" applyFill="0" applyBorder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85" fontId="57" fillId="0" borderId="20"/>
    <xf numFmtId="0" fontId="58" fillId="0" borderId="21">
      <alignment horizontal="center"/>
    </xf>
    <xf numFmtId="3" fontId="32" fillId="0" borderId="0" applyFont="0" applyFill="0" applyBorder="0" applyAlignment="0" applyProtection="0"/>
    <xf numFmtId="0" fontId="32" fillId="38" borderId="0" applyNumberFormat="0" applyFont="0" applyBorder="0" applyAlignment="0" applyProtection="0"/>
    <xf numFmtId="186" fontId="21" fillId="0" borderId="0"/>
    <xf numFmtId="186" fontId="21" fillId="0" borderId="0"/>
    <xf numFmtId="186" fontId="21" fillId="0" borderId="0"/>
    <xf numFmtId="187" fontId="14" fillId="0" borderId="0" applyFill="0" applyBorder="0">
      <alignment horizontal="right" vertical="center"/>
    </xf>
    <xf numFmtId="188" fontId="14" fillId="0" borderId="0" applyFill="0" applyBorder="0">
      <alignment horizontal="right" vertical="center"/>
    </xf>
    <xf numFmtId="189" fontId="14" fillId="0" borderId="0" applyFill="0" applyBorder="0">
      <alignment horizontal="right" vertical="center"/>
    </xf>
    <xf numFmtId="0" fontId="21" fillId="14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5" borderId="0" applyNumberFormat="0" applyFont="0" applyBorder="0" applyAlignment="0" applyProtection="0"/>
    <xf numFmtId="0" fontId="21" fillId="15" borderId="0" applyNumberFormat="0" applyFont="0" applyBorder="0" applyAlignment="0" applyProtection="0"/>
    <xf numFmtId="0" fontId="21" fillId="17" borderId="0" applyNumberFormat="0" applyFont="0" applyBorder="0" applyAlignment="0" applyProtection="0"/>
    <xf numFmtId="0" fontId="21" fillId="17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7" borderId="0" applyNumberFormat="0" applyFont="0" applyBorder="0" applyAlignment="0" applyProtection="0"/>
    <xf numFmtId="0" fontId="21" fillId="17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5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1" fillId="0" borderId="0"/>
    <xf numFmtId="0" fontId="60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0" fontId="61" fillId="10" borderId="7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11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64" fillId="0" borderId="0"/>
    <xf numFmtId="49" fontId="21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82" fontId="66" fillId="0" borderId="0"/>
    <xf numFmtId="0" fontId="59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35" fillId="0" borderId="22" applyNumberFormat="0" applyFill="0" applyAlignment="0" applyProtection="0"/>
    <xf numFmtId="0" fontId="69" fillId="0" borderId="0" applyNumberFormat="0" applyFill="0" applyBorder="0" applyAlignment="0" applyProtection="0"/>
    <xf numFmtId="190" fontId="21" fillId="0" borderId="7" applyBorder="0" applyProtection="0">
      <alignment horizontal="right"/>
    </xf>
    <xf numFmtId="190" fontId="21" fillId="0" borderId="7" applyBorder="0" applyProtection="0">
      <alignment horizontal="right"/>
    </xf>
    <xf numFmtId="190" fontId="21" fillId="0" borderId="7" applyBorder="0" applyProtection="0">
      <alignment horizontal="right"/>
    </xf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4" fillId="43" borderId="0"/>
    <xf numFmtId="200" fontId="75" fillId="0" borderId="25">
      <alignment horizontal="center"/>
    </xf>
    <xf numFmtId="0" fontId="76" fillId="44" borderId="6">
      <alignment horizontal="center" vertical="center"/>
    </xf>
    <xf numFmtId="0" fontId="21" fillId="45" borderId="12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6" borderId="0"/>
    <xf numFmtId="0" fontId="21" fillId="39" borderId="26" applyNumberFormat="0" applyFont="0" applyAlignment="0"/>
    <xf numFmtId="0" fontId="82" fillId="8" borderId="27" applyNumberFormat="0"/>
    <xf numFmtId="0" fontId="83" fillId="47" borderId="0"/>
    <xf numFmtId="0" fontId="84" fillId="47" borderId="0" applyNumberFormat="0"/>
    <xf numFmtId="0" fontId="85" fillId="47" borderId="0"/>
    <xf numFmtId="0" fontId="86" fillId="48" borderId="6" applyNumberFormat="0">
      <alignment horizontal="center" vertical="center"/>
    </xf>
    <xf numFmtId="0" fontId="87" fillId="49" borderId="12" applyNumberFormat="0" applyAlignment="0">
      <alignment horizontal="right"/>
    </xf>
    <xf numFmtId="0" fontId="23" fillId="39" borderId="26" applyNumberFormat="0" applyAlignment="0"/>
    <xf numFmtId="0" fontId="75" fillId="0" borderId="0" applyNumberFormat="0" applyFill="0" applyBorder="0"/>
    <xf numFmtId="0" fontId="88" fillId="50" borderId="26" applyNumberFormat="0">
      <protection locked="0"/>
    </xf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5" borderId="0" applyNumberFormat="0" applyFont="0" applyBorder="0" applyAlignment="0">
      <alignment horizontal="right"/>
    </xf>
    <xf numFmtId="41" fontId="21" fillId="5" borderId="0" applyNumberFormat="0" applyFont="0" applyBorder="0" applyAlignment="0">
      <alignment horizontal="right"/>
    </xf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1" fontId="21" fillId="37" borderId="0" applyFont="0" applyBorder="0" applyAlignment="0">
      <alignment horizontal="right"/>
      <protection locked="0"/>
    </xf>
    <xf numFmtId="41" fontId="21" fillId="37" borderId="0" applyFont="0" applyBorder="0" applyAlignment="0">
      <alignment horizontal="right"/>
      <protection locked="0"/>
    </xf>
    <xf numFmtId="41" fontId="21" fillId="11" borderId="0" applyFont="0" applyBorder="0">
      <alignment horizontal="right"/>
      <protection locked="0"/>
    </xf>
    <xf numFmtId="41" fontId="21" fillId="11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1" fontId="21" fillId="52" borderId="0" applyFont="0" applyBorder="0" applyAlignment="0">
      <alignment horizontal="right"/>
      <protection locked="0"/>
    </xf>
    <xf numFmtId="41" fontId="21" fillId="11" borderId="0" applyFont="0" applyBorder="0">
      <alignment horizontal="right"/>
      <protection locked="0"/>
    </xf>
    <xf numFmtId="9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1" fillId="3" borderId="0"/>
    <xf numFmtId="0" fontId="1" fillId="0" borderId="0"/>
    <xf numFmtId="0" fontId="1" fillId="0" borderId="0"/>
    <xf numFmtId="0" fontId="21" fillId="0" borderId="0" applyFill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52">
    <xf numFmtId="0" fontId="0" fillId="0" borderId="0" xfId="0"/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1" xfId="0" applyFont="1" applyFill="1" applyBorder="1"/>
    <xf numFmtId="164" fontId="5" fillId="3" borderId="0" xfId="0" applyNumberFormat="1" applyFont="1" applyFill="1"/>
    <xf numFmtId="164" fontId="6" fillId="0" borderId="0" xfId="0" applyNumberFormat="1" applyFont="1"/>
    <xf numFmtId="164" fontId="5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 applyAlignment="1" applyProtection="1"/>
    <xf numFmtId="0" fontId="5" fillId="6" borderId="0" xfId="0" applyFont="1" applyFill="1" applyBorder="1"/>
    <xf numFmtId="0" fontId="5" fillId="7" borderId="0" xfId="0" applyFont="1" applyFill="1" applyBorder="1"/>
    <xf numFmtId="164" fontId="11" fillId="0" borderId="0" xfId="0" applyNumberFormat="1" applyFont="1"/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 indent="1"/>
    </xf>
    <xf numFmtId="164" fontId="6" fillId="0" borderId="0" xfId="0" applyNumberFormat="1" applyFont="1" applyAlignment="1">
      <alignment horizontal="center"/>
    </xf>
    <xf numFmtId="164" fontId="0" fillId="0" borderId="0" xfId="0" applyNumberFormat="1"/>
    <xf numFmtId="43" fontId="11" fillId="0" borderId="6" xfId="0" applyNumberFormat="1" applyFont="1" applyBorder="1" applyAlignment="1">
      <alignment horizontal="center"/>
    </xf>
    <xf numFmtId="164" fontId="16" fillId="0" borderId="0" xfId="3" applyNumberFormat="1" applyFont="1" applyAlignment="1" applyProtection="1"/>
    <xf numFmtId="164" fontId="6" fillId="3" borderId="0" xfId="0" applyNumberFormat="1" applyFont="1" applyFill="1"/>
    <xf numFmtId="164" fontId="17" fillId="0" borderId="0" xfId="0" applyNumberFormat="1" applyFont="1" applyAlignment="1">
      <alignment horizontal="center"/>
    </xf>
    <xf numFmtId="169" fontId="14" fillId="0" borderId="0" xfId="5" applyNumberFormat="1" applyFont="1" applyFill="1" applyBorder="1" applyAlignment="1" applyProtection="1">
      <alignment horizontal="center" vertical="center"/>
    </xf>
    <xf numFmtId="170" fontId="11" fillId="0" borderId="0" xfId="5" applyNumberFormat="1" applyFont="1" applyFill="1" applyBorder="1" applyAlignment="1" applyProtection="1">
      <alignment horizontal="center" vertical="center"/>
    </xf>
    <xf numFmtId="170" fontId="19" fillId="0" borderId="0" xfId="5" applyNumberFormat="1" applyFont="1" applyFill="1" applyBorder="1" applyAlignment="1" applyProtection="1">
      <alignment horizontal="center" vertical="center"/>
    </xf>
    <xf numFmtId="171" fontId="5" fillId="0" borderId="0" xfId="0" applyNumberFormat="1" applyFont="1"/>
    <xf numFmtId="173" fontId="14" fillId="0" borderId="0" xfId="5" applyNumberFormat="1" applyFont="1" applyFill="1" applyBorder="1" applyAlignment="1" applyProtection="1">
      <alignment horizontal="center" vertical="center"/>
    </xf>
    <xf numFmtId="164" fontId="5" fillId="3" borderId="0" xfId="0" applyNumberFormat="1" applyFont="1" applyFill="1" applyProtection="1"/>
    <xf numFmtId="164" fontId="6" fillId="3" borderId="0" xfId="0" applyNumberFormat="1" applyFont="1" applyFill="1" applyAlignment="1" applyProtection="1">
      <alignment horizontal="center"/>
    </xf>
    <xf numFmtId="164" fontId="5" fillId="0" borderId="0" xfId="0" applyNumberFormat="1" applyFont="1" applyProtection="1"/>
    <xf numFmtId="164" fontId="6" fillId="0" borderId="0" xfId="0" applyNumberFormat="1" applyFont="1" applyAlignment="1" applyProtection="1">
      <alignment horizontal="center"/>
    </xf>
    <xf numFmtId="164" fontId="11" fillId="0" borderId="0" xfId="0" applyNumberFormat="1" applyFont="1" applyProtection="1"/>
    <xf numFmtId="164" fontId="17" fillId="0" borderId="0" xfId="0" applyNumberFormat="1" applyFont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164" fontId="16" fillId="0" borderId="0" xfId="3" applyNumberFormat="1" applyFont="1" applyAlignment="1" applyProtection="1">
      <alignment horizontal="center"/>
    </xf>
    <xf numFmtId="0" fontId="70" fillId="39" borderId="0" xfId="0" applyFont="1" applyFill="1" applyBorder="1" applyAlignment="1">
      <alignment horizontal="left" vertical="center"/>
    </xf>
    <xf numFmtId="0" fontId="70" fillId="39" borderId="0" xfId="0" applyFont="1" applyFill="1" applyBorder="1" applyAlignment="1">
      <alignment horizontal="left" indent="9"/>
    </xf>
    <xf numFmtId="0" fontId="71" fillId="39" borderId="0" xfId="0" applyFont="1" applyFill="1" applyBorder="1" applyAlignment="1" applyProtection="1"/>
    <xf numFmtId="0" fontId="0" fillId="39" borderId="0" xfId="0" applyFont="1" applyFill="1" applyBorder="1"/>
    <xf numFmtId="0" fontId="0" fillId="39" borderId="0" xfId="0" applyFont="1" applyFill="1" applyBorder="1" applyAlignment="1">
      <alignment horizontal="right"/>
    </xf>
    <xf numFmtId="43" fontId="22" fillId="39" borderId="0" xfId="0" applyNumberFormat="1" applyFont="1" applyFill="1" applyBorder="1" applyAlignment="1">
      <alignment horizontal="center"/>
    </xf>
    <xf numFmtId="0" fontId="72" fillId="39" borderId="1" xfId="0" applyFont="1" applyFill="1" applyBorder="1" applyAlignment="1">
      <alignment horizontal="left"/>
    </xf>
    <xf numFmtId="0" fontId="0" fillId="39" borderId="1" xfId="0" applyFont="1" applyFill="1" applyBorder="1"/>
    <xf numFmtId="0" fontId="0" fillId="40" borderId="4" xfId="0" applyFill="1" applyBorder="1"/>
    <xf numFmtId="0" fontId="23" fillId="40" borderId="4" xfId="0" applyFont="1" applyFill="1" applyBorder="1" applyAlignment="1">
      <alignment vertical="center"/>
    </xf>
    <xf numFmtId="0" fontId="0" fillId="40" borderId="4" xfId="0" applyFill="1" applyBorder="1" applyAlignment="1">
      <alignment wrapText="1"/>
    </xf>
    <xf numFmtId="44" fontId="23" fillId="40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2" fillId="40" borderId="4" xfId="0" applyFont="1" applyFill="1" applyBorder="1"/>
    <xf numFmtId="165" fontId="5" fillId="42" borderId="3" xfId="0" applyNumberFormat="1" applyFont="1" applyFill="1" applyBorder="1" applyAlignment="1" applyProtection="1">
      <alignment horizontal="center"/>
      <protection locked="0"/>
    </xf>
    <xf numFmtId="0" fontId="72" fillId="39" borderId="0" xfId="0" applyFont="1" applyFill="1" applyBorder="1" applyAlignment="1">
      <alignment horizontal="left"/>
    </xf>
    <xf numFmtId="0" fontId="72" fillId="39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5" fillId="41" borderId="0" xfId="0" applyFont="1" applyFill="1" applyBorder="1" applyAlignment="1">
      <alignment horizontal="center"/>
    </xf>
    <xf numFmtId="2" fontId="5" fillId="42" borderId="3" xfId="0" applyNumberFormat="1" applyFont="1" applyFill="1" applyBorder="1" applyAlignment="1" applyProtection="1">
      <alignment horizontal="center"/>
      <protection locked="0"/>
    </xf>
    <xf numFmtId="10" fontId="5" fillId="42" borderId="3" xfId="2" applyNumberFormat="1" applyFont="1" applyFill="1" applyBorder="1" applyAlignment="1" applyProtection="1">
      <alignment horizontal="center"/>
      <protection locked="0"/>
    </xf>
    <xf numFmtId="49" fontId="5" fillId="42" borderId="3" xfId="0" applyNumberFormat="1" applyFont="1" applyFill="1" applyBorder="1" applyAlignment="1" applyProtection="1">
      <alignment horizontal="left" indent="1"/>
      <protection locked="0"/>
    </xf>
    <xf numFmtId="1" fontId="5" fillId="42" borderId="3" xfId="2" applyNumberFormat="1" applyFont="1" applyFill="1" applyBorder="1" applyAlignment="1" applyProtection="1">
      <alignment horizontal="center"/>
      <protection locked="0"/>
    </xf>
    <xf numFmtId="194" fontId="5" fillId="42" borderId="3" xfId="2" applyNumberFormat="1" applyFont="1" applyFill="1" applyBorder="1" applyAlignment="1" applyProtection="1">
      <alignment horizontal="center"/>
      <protection locked="0"/>
    </xf>
    <xf numFmtId="164" fontId="17" fillId="0" borderId="0" xfId="0" applyNumberFormat="1" applyFont="1" applyAlignment="1" applyProtection="1">
      <alignment horizontal="center" wrapText="1"/>
    </xf>
    <xf numFmtId="191" fontId="5" fillId="42" borderId="3" xfId="0" applyNumberFormat="1" applyFont="1" applyFill="1" applyBorder="1" applyAlignment="1" applyProtection="1">
      <alignment horizontal="center"/>
      <protection locked="0"/>
    </xf>
    <xf numFmtId="195" fontId="5" fillId="0" borderId="0" xfId="0" applyNumberFormat="1" applyFont="1" applyAlignment="1" applyProtection="1">
      <alignment horizontal="left"/>
    </xf>
    <xf numFmtId="193" fontId="5" fillId="0" borderId="0" xfId="0" applyNumberFormat="1" applyFont="1" applyProtection="1"/>
    <xf numFmtId="164" fontId="6" fillId="0" borderId="0" xfId="0" applyNumberFormat="1" applyFont="1" applyAlignment="1" applyProtection="1">
      <alignment horizontal="center" wrapText="1"/>
    </xf>
    <xf numFmtId="164" fontId="7" fillId="0" borderId="0" xfId="0" applyNumberFormat="1" applyFont="1" applyProtection="1"/>
    <xf numFmtId="164" fontId="18" fillId="41" borderId="10" xfId="0" applyNumberFormat="1" applyFont="1" applyFill="1" applyBorder="1" applyAlignment="1" applyProtection="1">
      <alignment horizontal="center"/>
      <protection locked="0"/>
    </xf>
    <xf numFmtId="194" fontId="5" fillId="4" borderId="3" xfId="2" applyNumberFormat="1" applyFont="1" applyFill="1" applyBorder="1" applyAlignment="1" applyProtection="1">
      <alignment horizontal="center"/>
      <protection locked="0"/>
    </xf>
    <xf numFmtId="0" fontId="0" fillId="39" borderId="0" xfId="0" applyFont="1" applyFill="1" applyBorder="1" applyProtection="1"/>
    <xf numFmtId="0" fontId="70" fillId="39" borderId="0" xfId="0" applyFont="1" applyFill="1" applyBorder="1" applyAlignment="1" applyProtection="1">
      <alignment horizontal="left" vertical="center"/>
    </xf>
    <xf numFmtId="0" fontId="70" fillId="39" borderId="0" xfId="0" applyFont="1" applyFill="1" applyBorder="1" applyAlignment="1" applyProtection="1">
      <alignment horizontal="left" indent="9"/>
    </xf>
    <xf numFmtId="0" fontId="0" fillId="39" borderId="0" xfId="0" applyFont="1" applyFill="1" applyBorder="1" applyAlignment="1" applyProtection="1">
      <alignment horizontal="right"/>
    </xf>
    <xf numFmtId="0" fontId="5" fillId="41" borderId="0" xfId="0" applyFont="1" applyFill="1" applyBorder="1" applyAlignment="1" applyProtection="1">
      <alignment horizontal="center"/>
    </xf>
    <xf numFmtId="0" fontId="5" fillId="6" borderId="0" xfId="0" applyFont="1" applyFill="1" applyBorder="1" applyProtection="1"/>
    <xf numFmtId="0" fontId="5" fillId="7" borderId="0" xfId="0" applyFont="1" applyFill="1" applyBorder="1" applyProtection="1"/>
    <xf numFmtId="43" fontId="22" fillId="39" borderId="0" xfId="0" applyNumberFormat="1" applyFont="1" applyFill="1" applyBorder="1" applyAlignment="1" applyProtection="1">
      <alignment horizontal="center"/>
    </xf>
    <xf numFmtId="0" fontId="0" fillId="39" borderId="1" xfId="0" applyFont="1" applyFill="1" applyBorder="1" applyProtection="1"/>
    <xf numFmtId="0" fontId="72" fillId="39" borderId="1" xfId="0" applyFont="1" applyFill="1" applyBorder="1" applyAlignment="1" applyProtection="1">
      <alignment horizontal="left"/>
    </xf>
    <xf numFmtId="0" fontId="72" fillId="39" borderId="1" xfId="0" applyFont="1" applyFill="1" applyBorder="1" applyAlignment="1" applyProtection="1">
      <alignment horizontal="left" indent="9"/>
    </xf>
    <xf numFmtId="0" fontId="22" fillId="39" borderId="2" xfId="0" applyNumberFormat="1" applyFont="1" applyFill="1" applyBorder="1" applyProtection="1"/>
    <xf numFmtId="0" fontId="22" fillId="39" borderId="2" xfId="0" applyFont="1" applyFill="1" applyBorder="1" applyProtection="1"/>
    <xf numFmtId="0" fontId="73" fillId="39" borderId="2" xfId="0" applyNumberFormat="1" applyFont="1" applyFill="1" applyBorder="1" applyAlignment="1" applyProtection="1">
      <alignment horizontal="center"/>
    </xf>
    <xf numFmtId="0" fontId="73" fillId="39" borderId="2" xfId="0" applyNumberFormat="1" applyFont="1" applyFill="1" applyBorder="1" applyProtection="1"/>
    <xf numFmtId="0" fontId="73" fillId="40" borderId="4" xfId="0" applyFont="1" applyFill="1" applyBorder="1" applyProtection="1"/>
    <xf numFmtId="0" fontId="73" fillId="40" borderId="4" xfId="0" applyFont="1" applyFill="1" applyBorder="1" applyAlignment="1" applyProtection="1">
      <alignment horizontal="center"/>
    </xf>
    <xf numFmtId="0" fontId="18" fillId="40" borderId="4" xfId="0" applyFont="1" applyFill="1" applyBorder="1" applyAlignment="1" applyProtection="1">
      <alignment horizontal="center" vertical="center"/>
    </xf>
    <xf numFmtId="0" fontId="18" fillId="40" borderId="4" xfId="0" applyFont="1" applyFill="1" applyBorder="1" applyAlignment="1" applyProtection="1">
      <alignment vertical="center"/>
    </xf>
    <xf numFmtId="0" fontId="73" fillId="40" borderId="4" xfId="0" applyFont="1" applyFill="1" applyBorder="1" applyAlignment="1" applyProtection="1">
      <alignment wrapText="1"/>
    </xf>
    <xf numFmtId="44" fontId="18" fillId="40" borderId="4" xfId="0" applyNumberFormat="1" applyFont="1" applyFill="1" applyBorder="1" applyAlignment="1" applyProtection="1">
      <alignment horizontal="center" wrapText="1"/>
    </xf>
    <xf numFmtId="0" fontId="73" fillId="3" borderId="0" xfId="0" applyFont="1" applyFill="1" applyBorder="1" applyAlignment="1" applyProtection="1">
      <alignment wrapText="1"/>
    </xf>
    <xf numFmtId="0" fontId="73" fillId="3" borderId="0" xfId="0" applyFont="1" applyFill="1" applyAlignment="1" applyProtection="1">
      <alignment wrapText="1"/>
    </xf>
    <xf numFmtId="0" fontId="73" fillId="3" borderId="0" xfId="0" applyFont="1" applyFill="1" applyProtection="1"/>
    <xf numFmtId="0" fontId="73" fillId="0" borderId="0" xfId="0" applyFont="1" applyFill="1" applyProtection="1"/>
    <xf numFmtId="0" fontId="73" fillId="0" borderId="0" xfId="0" applyFont="1" applyProtection="1"/>
    <xf numFmtId="0" fontId="0" fillId="40" borderId="4" xfId="0" applyFill="1" applyBorder="1" applyProtection="1"/>
    <xf numFmtId="0" fontId="22" fillId="40" borderId="4" xfId="0" applyFont="1" applyFill="1" applyBorder="1" applyProtection="1"/>
    <xf numFmtId="0" fontId="23" fillId="40" borderId="4" xfId="0" applyFont="1" applyFill="1" applyBorder="1" applyAlignment="1" applyProtection="1">
      <alignment vertical="center"/>
    </xf>
    <xf numFmtId="0" fontId="0" fillId="40" borderId="4" xfId="0" applyFill="1" applyBorder="1" applyAlignment="1" applyProtection="1">
      <alignment wrapText="1"/>
    </xf>
    <xf numFmtId="44" fontId="23" fillId="40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7" fillId="0" borderId="0" xfId="0" applyNumberFormat="1" applyFont="1" applyFill="1" applyBorder="1" applyProtection="1"/>
    <xf numFmtId="164" fontId="6" fillId="0" borderId="0" xfId="0" applyNumberFormat="1" applyFont="1" applyFill="1" applyAlignment="1" applyProtection="1">
      <alignment horizontal="center"/>
    </xf>
    <xf numFmtId="164" fontId="7" fillId="0" borderId="7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left" indent="1"/>
    </xf>
    <xf numFmtId="164" fontId="5" fillId="0" borderId="0" xfId="0" applyNumberFormat="1" applyFont="1" applyAlignment="1" applyProtection="1">
      <alignment horizontal="center"/>
    </xf>
    <xf numFmtId="164" fontId="16" fillId="0" borderId="0" xfId="3" applyNumberFormat="1" applyFont="1" applyFill="1" applyAlignment="1" applyProtection="1">
      <alignment horizontal="center"/>
    </xf>
    <xf numFmtId="196" fontId="5" fillId="0" borderId="0" xfId="0" applyNumberFormat="1" applyFont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Alignment="1" applyProtection="1">
      <alignment horizontal="left" indent="1"/>
    </xf>
    <xf numFmtId="164" fontId="6" fillId="0" borderId="7" xfId="0" applyNumberFormat="1" applyFont="1" applyBorder="1" applyAlignment="1" applyProtection="1">
      <alignment horizontal="center"/>
    </xf>
    <xf numFmtId="164" fontId="5" fillId="0" borderId="7" xfId="0" applyNumberFormat="1" applyFont="1" applyBorder="1" applyAlignment="1" applyProtection="1">
      <alignment horizontal="center"/>
    </xf>
    <xf numFmtId="164" fontId="7" fillId="0" borderId="8" xfId="0" applyNumberFormat="1" applyFont="1" applyBorder="1" applyAlignment="1" applyProtection="1">
      <alignment horizontal="left" indent="1"/>
    </xf>
    <xf numFmtId="164" fontId="6" fillId="0" borderId="8" xfId="0" applyNumberFormat="1" applyFont="1" applyBorder="1" applyAlignment="1" applyProtection="1">
      <alignment horizontal="center"/>
    </xf>
    <xf numFmtId="196" fontId="7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10" fontId="5" fillId="0" borderId="0" xfId="2" applyNumberFormat="1" applyFont="1" applyAlignment="1" applyProtection="1">
      <alignment horizontal="center"/>
    </xf>
    <xf numFmtId="164" fontId="7" fillId="0" borderId="8" xfId="0" applyNumberFormat="1" applyFont="1" applyBorder="1" applyProtection="1"/>
    <xf numFmtId="172" fontId="5" fillId="0" borderId="0" xfId="0" applyNumberFormat="1" applyFont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Fill="1" applyAlignment="1" applyProtection="1">
      <alignment horizontal="left" indent="2"/>
    </xf>
    <xf numFmtId="164" fontId="17" fillId="0" borderId="8" xfId="0" applyNumberFormat="1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left" indent="1"/>
    </xf>
    <xf numFmtId="164" fontId="7" fillId="0" borderId="0" xfId="0" applyNumberFormat="1" applyFont="1" applyBorder="1" applyProtection="1"/>
    <xf numFmtId="193" fontId="7" fillId="0" borderId="0" xfId="0" applyNumberFormat="1" applyFont="1" applyBorder="1" applyAlignment="1" applyProtection="1">
      <alignment horizontal="center"/>
    </xf>
    <xf numFmtId="164" fontId="17" fillId="0" borderId="0" xfId="0" applyNumberFormat="1" applyFont="1" applyBorder="1" applyAlignment="1" applyProtection="1">
      <alignment horizontal="center"/>
    </xf>
    <xf numFmtId="199" fontId="5" fillId="0" borderId="0" xfId="0" applyNumberFormat="1" applyFont="1" applyAlignment="1" applyProtection="1">
      <alignment horizontal="center"/>
    </xf>
    <xf numFmtId="199" fontId="5" fillId="0" borderId="7" xfId="0" applyNumberFormat="1" applyFont="1" applyBorder="1" applyAlignment="1" applyProtection="1">
      <alignment horizontal="center"/>
    </xf>
    <xf numFmtId="199" fontId="7" fillId="0" borderId="0" xfId="0" applyNumberFormat="1" applyFont="1" applyAlignment="1" applyProtection="1">
      <alignment horizontal="center"/>
    </xf>
    <xf numFmtId="197" fontId="11" fillId="0" borderId="4" xfId="5" applyNumberFormat="1" applyFont="1" applyFill="1" applyBorder="1" applyAlignment="1" applyProtection="1">
      <alignment horizontal="center" vertical="center"/>
    </xf>
    <xf numFmtId="49" fontId="6" fillId="42" borderId="24" xfId="0" applyNumberFormat="1" applyFont="1" applyFill="1" applyBorder="1" applyAlignment="1" applyProtection="1">
      <alignment horizontal="center"/>
      <protection locked="0"/>
    </xf>
    <xf numFmtId="43" fontId="11" fillId="0" borderId="3" xfId="0" applyNumberFormat="1" applyFont="1" applyBorder="1" applyAlignment="1" applyProtection="1">
      <alignment horizontal="center"/>
    </xf>
    <xf numFmtId="43" fontId="11" fillId="0" borderId="0" xfId="0" applyNumberFormat="1" applyFont="1" applyBorder="1" applyAlignment="1" applyProtection="1">
      <alignment horizontal="center"/>
    </xf>
    <xf numFmtId="0" fontId="9" fillId="39" borderId="2" xfId="0" applyNumberFormat="1" applyFont="1" applyFill="1" applyBorder="1" applyProtection="1"/>
    <xf numFmtId="0" fontId="9" fillId="39" borderId="2" xfId="0" applyFont="1" applyFill="1" applyBorder="1" applyProtection="1"/>
    <xf numFmtId="0" fontId="10" fillId="39" borderId="2" xfId="0" applyNumberFormat="1" applyFont="1" applyFill="1" applyBorder="1" applyAlignment="1" applyProtection="1">
      <alignment horizontal="center"/>
    </xf>
    <xf numFmtId="0" fontId="10" fillId="39" borderId="2" xfId="0" applyNumberFormat="1" applyFont="1" applyFill="1" applyBorder="1" applyProtection="1"/>
    <xf numFmtId="164" fontId="7" fillId="0" borderId="7" xfId="0" applyNumberFormat="1" applyFont="1" applyBorder="1" applyProtection="1"/>
    <xf numFmtId="164" fontId="5" fillId="0" borderId="7" xfId="0" applyNumberFormat="1" applyFont="1" applyBorder="1" applyProtection="1"/>
    <xf numFmtId="164" fontId="7" fillId="0" borderId="4" xfId="0" applyNumberFormat="1" applyFont="1" applyBorder="1" applyAlignment="1" applyProtection="1">
      <alignment horizontal="left"/>
    </xf>
    <xf numFmtId="164" fontId="6" fillId="0" borderId="4" xfId="0" applyNumberFormat="1" applyFont="1" applyBorder="1" applyAlignment="1" applyProtection="1">
      <alignment horizontal="center"/>
    </xf>
    <xf numFmtId="43" fontId="5" fillId="0" borderId="0" xfId="0" applyNumberFormat="1" applyFont="1" applyProtection="1"/>
    <xf numFmtId="164" fontId="5" fillId="0" borderId="0" xfId="0" applyNumberFormat="1" applyFont="1" applyBorder="1" applyProtection="1"/>
    <xf numFmtId="0" fontId="73" fillId="40" borderId="4" xfId="0" applyFont="1" applyFill="1" applyBorder="1" applyAlignment="1" applyProtection="1">
      <alignment horizontal="center" wrapText="1"/>
    </xf>
    <xf numFmtId="10" fontId="5" fillId="0" borderId="0" xfId="2" applyNumberFormat="1" applyFont="1" applyBorder="1" applyAlignment="1" applyProtection="1">
      <alignment horizontal="center"/>
    </xf>
    <xf numFmtId="164" fontId="6" fillId="0" borderId="0" xfId="6" applyNumberFormat="1" applyFont="1" applyAlignment="1" applyProtection="1">
      <alignment horizontal="center"/>
    </xf>
    <xf numFmtId="168" fontId="14" fillId="0" borderId="0" xfId="2" applyNumberFormat="1" applyFont="1" applyFill="1" applyBorder="1" applyAlignment="1" applyProtection="1">
      <alignment horizontal="center" vertical="center"/>
    </xf>
    <xf numFmtId="172" fontId="5" fillId="0" borderId="0" xfId="0" applyNumberFormat="1" applyFont="1" applyProtection="1"/>
    <xf numFmtId="164" fontId="5" fillId="0" borderId="0" xfId="0" applyNumberFormat="1" applyFont="1" applyAlignment="1" applyProtection="1">
      <alignment horizontal="left"/>
    </xf>
    <xf numFmtId="192" fontId="5" fillId="9" borderId="3" xfId="0" applyNumberFormat="1" applyFont="1" applyFill="1" applyBorder="1" applyAlignment="1" applyProtection="1">
      <alignment horizontal="left" indent="1"/>
    </xf>
    <xf numFmtId="0" fontId="73" fillId="39" borderId="2" xfId="0" applyNumberFormat="1" applyFont="1" applyFill="1" applyBorder="1" applyAlignment="1" applyProtection="1">
      <alignment horizontal="center"/>
    </xf>
    <xf numFmtId="196" fontId="7" fillId="0" borderId="23" xfId="0" applyNumberFormat="1" applyFont="1" applyBorder="1" applyAlignment="1" applyProtection="1">
      <alignment horizontal="center"/>
    </xf>
    <xf numFmtId="194" fontId="6" fillId="42" borderId="3" xfId="2" applyNumberFormat="1" applyFont="1" applyFill="1" applyBorder="1" applyAlignment="1" applyProtection="1">
      <alignment horizontal="center"/>
      <protection locked="0"/>
    </xf>
    <xf numFmtId="198" fontId="7" fillId="0" borderId="0" xfId="0" applyNumberFormat="1" applyFont="1" applyBorder="1" applyAlignment="1" applyProtection="1">
      <alignment horizontal="center"/>
    </xf>
    <xf numFmtId="180" fontId="5" fillId="42" borderId="3" xfId="2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Protection="1">
      <protection locked="0"/>
    </xf>
    <xf numFmtId="193" fontId="5" fillId="0" borderId="0" xfId="0" applyNumberFormat="1" applyFont="1" applyProtection="1">
      <protection locked="0"/>
    </xf>
    <xf numFmtId="10" fontId="7" fillId="0" borderId="0" xfId="2" applyNumberFormat="1" applyFont="1" applyBorder="1" applyAlignment="1" applyProtection="1">
      <alignment horizontal="center"/>
    </xf>
    <xf numFmtId="201" fontId="7" fillId="0" borderId="0" xfId="0" applyNumberFormat="1" applyFont="1" applyAlignment="1" applyProtection="1">
      <alignment horizontal="center"/>
    </xf>
    <xf numFmtId="1" fontId="5" fillId="42" borderId="3" xfId="0" applyNumberFormat="1" applyFont="1" applyFill="1" applyBorder="1" applyAlignment="1" applyProtection="1">
      <alignment horizontal="center"/>
      <protection locked="0"/>
    </xf>
    <xf numFmtId="202" fontId="5" fillId="0" borderId="0" xfId="0" applyNumberFormat="1" applyFont="1" applyAlignment="1">
      <alignment horizontal="left"/>
    </xf>
    <xf numFmtId="202" fontId="7" fillId="0" borderId="7" xfId="0" applyNumberFormat="1" applyFont="1" applyBorder="1" applyAlignment="1" applyProtection="1">
      <alignment horizontal="center"/>
    </xf>
    <xf numFmtId="0" fontId="5" fillId="42" borderId="3" xfId="2" applyNumberFormat="1" applyFont="1" applyFill="1" applyBorder="1" applyAlignment="1" applyProtection="1">
      <alignment horizontal="center"/>
      <protection locked="0"/>
    </xf>
    <xf numFmtId="0" fontId="7" fillId="0" borderId="7" xfId="0" applyNumberFormat="1" applyFont="1" applyBorder="1" applyAlignment="1" applyProtection="1">
      <alignment horizontal="center"/>
    </xf>
    <xf numFmtId="0" fontId="73" fillId="40" borderId="4" xfId="0" applyNumberFormat="1" applyFont="1" applyFill="1" applyBorder="1" applyAlignment="1" applyProtection="1">
      <alignment horizontal="center" wrapText="1"/>
    </xf>
    <xf numFmtId="0" fontId="18" fillId="40" borderId="4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left" indent="1"/>
    </xf>
    <xf numFmtId="0" fontId="71" fillId="39" borderId="0" xfId="0" applyFont="1" applyFill="1" applyBorder="1" applyAlignment="1" applyProtection="1">
      <alignment horizontal="right"/>
    </xf>
    <xf numFmtId="0" fontId="6" fillId="0" borderId="24" xfId="0" applyNumberFormat="1" applyFont="1" applyBorder="1" applyAlignment="1" applyProtection="1">
      <alignment horizontal="center"/>
    </xf>
    <xf numFmtId="0" fontId="6" fillId="0" borderId="8" xfId="0" applyNumberFormat="1" applyFont="1" applyBorder="1" applyAlignment="1" applyProtection="1">
      <alignment horizontal="center"/>
    </xf>
    <xf numFmtId="2" fontId="5" fillId="51" borderId="3" xfId="0" applyNumberFormat="1" applyFont="1" applyFill="1" applyBorder="1" applyAlignment="1" applyProtection="1">
      <alignment horizontal="center"/>
      <protection locked="0"/>
    </xf>
    <xf numFmtId="49" fontId="5" fillId="42" borderId="3" xfId="0" applyNumberFormat="1" applyFont="1" applyFill="1" applyBorder="1" applyAlignment="1" applyProtection="1">
      <alignment horizontal="left" indent="1"/>
      <protection locked="0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 applyProtection="1">
      <alignment horizontal="center"/>
    </xf>
    <xf numFmtId="10" fontId="5" fillId="42" borderId="3" xfId="2" applyNumberFormat="1" applyFont="1" applyFill="1" applyBorder="1" applyAlignment="1" applyProtection="1">
      <alignment horizontal="center"/>
      <protection locked="0"/>
    </xf>
    <xf numFmtId="10" fontId="5" fillId="0" borderId="0" xfId="2" applyNumberFormat="1" applyFont="1" applyAlignment="1" applyProtection="1">
      <alignment horizontal="center"/>
    </xf>
    <xf numFmtId="0" fontId="6" fillId="0" borderId="0" xfId="0" applyNumberFormat="1" applyFont="1" applyAlignment="1" applyProtection="1">
      <alignment horizontal="center"/>
    </xf>
    <xf numFmtId="0" fontId="18" fillId="41" borderId="10" xfId="0" applyNumberFormat="1" applyFont="1" applyFill="1" applyBorder="1" applyAlignment="1" applyProtection="1">
      <alignment horizontal="center"/>
      <protection locked="0"/>
    </xf>
    <xf numFmtId="180" fontId="6" fillId="0" borderId="0" xfId="2" applyNumberFormat="1" applyFont="1" applyAlignment="1" applyProtection="1">
      <alignment horizontal="center"/>
    </xf>
    <xf numFmtId="10" fontId="5" fillId="42" borderId="3" xfId="2" applyNumberFormat="1" applyFont="1" applyFill="1" applyBorder="1" applyAlignment="1" applyProtection="1">
      <alignment horizontal="center"/>
      <protection locked="0"/>
    </xf>
    <xf numFmtId="49" fontId="5" fillId="42" borderId="3" xfId="0" applyNumberFormat="1" applyFont="1" applyFill="1" applyBorder="1" applyAlignment="1" applyProtection="1">
      <alignment horizontal="left" indent="1"/>
      <protection locked="0"/>
    </xf>
    <xf numFmtId="192" fontId="5" fillId="9" borderId="3" xfId="0" applyNumberFormat="1" applyFont="1" applyFill="1" applyBorder="1" applyAlignment="1" applyProtection="1">
      <alignment horizontal="left" indent="1"/>
    </xf>
    <xf numFmtId="0" fontId="5" fillId="42" borderId="3" xfId="0" applyNumberFormat="1" applyFont="1" applyFill="1" applyBorder="1" applyAlignment="1" applyProtection="1">
      <alignment horizontal="left" indent="1"/>
      <protection locked="0"/>
    </xf>
    <xf numFmtId="0" fontId="91" fillId="39" borderId="0" xfId="0" applyFont="1" applyFill="1" applyBorder="1" applyProtection="1"/>
    <xf numFmtId="0" fontId="92" fillId="39" borderId="0" xfId="0" applyFont="1" applyFill="1" applyBorder="1" applyAlignment="1" applyProtection="1">
      <alignment horizontal="left" vertical="center"/>
    </xf>
    <xf numFmtId="0" fontId="92" fillId="39" borderId="0" xfId="0" applyFont="1" applyFill="1" applyBorder="1" applyAlignment="1" applyProtection="1">
      <alignment horizontal="left" indent="9"/>
    </xf>
    <xf numFmtId="0" fontId="93" fillId="39" borderId="0" xfId="0" applyFont="1" applyFill="1" applyBorder="1" applyAlignment="1" applyProtection="1"/>
    <xf numFmtId="0" fontId="91" fillId="39" borderId="0" xfId="0" applyFont="1" applyFill="1" applyBorder="1" applyAlignment="1" applyProtection="1">
      <alignment horizontal="right"/>
    </xf>
    <xf numFmtId="0" fontId="94" fillId="41" borderId="0" xfId="0" applyFont="1" applyFill="1" applyBorder="1" applyAlignment="1" applyProtection="1">
      <alignment horizontal="center"/>
    </xf>
    <xf numFmtId="0" fontId="94" fillId="6" borderId="0" xfId="0" applyFont="1" applyFill="1" applyBorder="1" applyProtection="1"/>
    <xf numFmtId="0" fontId="94" fillId="7" borderId="0" xfId="0" applyFont="1" applyFill="1" applyBorder="1" applyProtection="1"/>
    <xf numFmtId="43" fontId="95" fillId="39" borderId="0" xfId="0" applyNumberFormat="1" applyFont="1" applyFill="1" applyBorder="1" applyAlignment="1" applyProtection="1">
      <alignment horizontal="center"/>
    </xf>
    <xf numFmtId="0" fontId="93" fillId="39" borderId="0" xfId="0" applyFont="1" applyFill="1" applyBorder="1" applyAlignment="1" applyProtection="1">
      <alignment horizontal="right"/>
    </xf>
    <xf numFmtId="0" fontId="91" fillId="39" borderId="1" xfId="0" applyFont="1" applyFill="1" applyBorder="1" applyProtection="1"/>
    <xf numFmtId="0" fontId="96" fillId="39" borderId="1" xfId="0" applyFont="1" applyFill="1" applyBorder="1" applyAlignment="1" applyProtection="1">
      <alignment horizontal="left"/>
    </xf>
    <xf numFmtId="0" fontId="96" fillId="39" borderId="1" xfId="0" applyFont="1" applyFill="1" applyBorder="1" applyAlignment="1" applyProtection="1">
      <alignment horizontal="left" indent="9"/>
    </xf>
    <xf numFmtId="0" fontId="95" fillId="39" borderId="2" xfId="0" applyNumberFormat="1" applyFont="1" applyFill="1" applyBorder="1" applyProtection="1"/>
    <xf numFmtId="0" fontId="95" fillId="39" borderId="2" xfId="0" applyFont="1" applyFill="1" applyBorder="1" applyProtection="1"/>
    <xf numFmtId="0" fontId="97" fillId="39" borderId="2" xfId="0" applyNumberFormat="1" applyFont="1" applyFill="1" applyBorder="1" applyAlignment="1" applyProtection="1">
      <alignment horizontal="center"/>
    </xf>
    <xf numFmtId="0" fontId="97" fillId="39" borderId="2" xfId="0" applyNumberFormat="1" applyFont="1" applyFill="1" applyBorder="1" applyProtection="1"/>
    <xf numFmtId="0" fontId="97" fillId="40" borderId="4" xfId="0" applyFont="1" applyFill="1" applyBorder="1" applyProtection="1"/>
    <xf numFmtId="0" fontId="97" fillId="40" borderId="4" xfId="0" applyFont="1" applyFill="1" applyBorder="1" applyAlignment="1" applyProtection="1">
      <alignment horizontal="center"/>
    </xf>
    <xf numFmtId="0" fontId="98" fillId="40" borderId="4" xfId="0" applyFont="1" applyFill="1" applyBorder="1" applyAlignment="1" applyProtection="1">
      <alignment horizontal="center" vertical="center"/>
    </xf>
    <xf numFmtId="0" fontId="98" fillId="40" borderId="4" xfId="0" applyFont="1" applyFill="1" applyBorder="1" applyAlignment="1" applyProtection="1">
      <alignment vertical="center"/>
    </xf>
    <xf numFmtId="0" fontId="97" fillId="40" borderId="4" xfId="0" applyFont="1" applyFill="1" applyBorder="1" applyAlignment="1" applyProtection="1">
      <alignment horizontal="center" wrapText="1"/>
    </xf>
    <xf numFmtId="0" fontId="97" fillId="40" borderId="4" xfId="0" applyFont="1" applyFill="1" applyBorder="1" applyAlignment="1" applyProtection="1">
      <alignment wrapText="1"/>
    </xf>
    <xf numFmtId="44" fontId="98" fillId="40" borderId="4" xfId="0" applyNumberFormat="1" applyFont="1" applyFill="1" applyBorder="1" applyAlignment="1" applyProtection="1">
      <alignment horizontal="center" wrapText="1"/>
    </xf>
    <xf numFmtId="0" fontId="97" fillId="3" borderId="0" xfId="0" applyFont="1" applyFill="1" applyBorder="1" applyAlignment="1" applyProtection="1">
      <alignment wrapText="1"/>
    </xf>
    <xf numFmtId="0" fontId="97" fillId="3" borderId="0" xfId="0" applyFont="1" applyFill="1" applyAlignment="1" applyProtection="1">
      <alignment wrapText="1"/>
    </xf>
    <xf numFmtId="0" fontId="97" fillId="3" borderId="0" xfId="0" applyFont="1" applyFill="1" applyProtection="1"/>
    <xf numFmtId="0" fontId="97" fillId="0" borderId="0" xfId="0" applyFont="1" applyFill="1" applyProtection="1"/>
    <xf numFmtId="0" fontId="97" fillId="0" borderId="0" xfId="0" applyFont="1" applyProtection="1"/>
    <xf numFmtId="164" fontId="94" fillId="3" borderId="0" xfId="0" applyNumberFormat="1" applyFont="1" applyFill="1" applyProtection="1"/>
    <xf numFmtId="164" fontId="99" fillId="3" borderId="0" xfId="0" applyNumberFormat="1" applyFont="1" applyFill="1" applyAlignment="1" applyProtection="1">
      <alignment horizontal="center"/>
    </xf>
    <xf numFmtId="0" fontId="91" fillId="40" borderId="4" xfId="0" applyFont="1" applyFill="1" applyBorder="1" applyProtection="1"/>
    <xf numFmtId="0" fontId="95" fillId="40" borderId="4" xfId="0" applyFont="1" applyFill="1" applyBorder="1" applyProtection="1"/>
    <xf numFmtId="164" fontId="98" fillId="41" borderId="10" xfId="0" applyNumberFormat="1" applyFont="1" applyFill="1" applyBorder="1" applyAlignment="1" applyProtection="1">
      <alignment horizontal="center"/>
      <protection locked="0"/>
    </xf>
    <xf numFmtId="0" fontId="98" fillId="41" borderId="10" xfId="0" applyNumberFormat="1" applyFont="1" applyFill="1" applyBorder="1" applyAlignment="1" applyProtection="1">
      <alignment horizontal="center"/>
      <protection locked="0"/>
    </xf>
    <xf numFmtId="0" fontId="100" fillId="40" borderId="4" xfId="0" applyFont="1" applyFill="1" applyBorder="1" applyAlignment="1" applyProtection="1">
      <alignment vertical="center"/>
    </xf>
    <xf numFmtId="0" fontId="101" fillId="40" borderId="4" xfId="0" applyFont="1" applyFill="1" applyBorder="1" applyAlignment="1" applyProtection="1"/>
    <xf numFmtId="44" fontId="100" fillId="40" borderId="4" xfId="0" applyNumberFormat="1" applyFont="1" applyFill="1" applyBorder="1" applyAlignment="1" applyProtection="1">
      <alignment horizontal="center" wrapText="1"/>
    </xf>
    <xf numFmtId="0" fontId="91" fillId="40" borderId="4" xfId="0" applyFont="1" applyFill="1" applyBorder="1" applyAlignment="1" applyProtection="1">
      <alignment wrapText="1"/>
    </xf>
    <xf numFmtId="0" fontId="91" fillId="0" borderId="0" xfId="0" applyFont="1" applyProtection="1"/>
    <xf numFmtId="164" fontId="94" fillId="0" borderId="0" xfId="0" applyNumberFormat="1" applyFont="1" applyProtection="1"/>
    <xf numFmtId="164" fontId="99" fillId="0" borderId="0" xfId="0" applyNumberFormat="1" applyFont="1" applyAlignment="1" applyProtection="1">
      <alignment horizontal="center"/>
    </xf>
    <xf numFmtId="164" fontId="94" fillId="0" borderId="0" xfId="0" applyNumberFormat="1" applyFont="1" applyAlignment="1" applyProtection="1">
      <alignment horizontal="center"/>
    </xf>
    <xf numFmtId="164" fontId="102" fillId="0" borderId="0" xfId="0" applyNumberFormat="1" applyFont="1" applyProtection="1"/>
    <xf numFmtId="164" fontId="103" fillId="0" borderId="0" xfId="0" applyNumberFormat="1" applyFont="1" applyAlignment="1" applyProtection="1">
      <alignment horizontal="center"/>
    </xf>
    <xf numFmtId="0" fontId="102" fillId="0" borderId="7" xfId="0" applyNumberFormat="1" applyFont="1" applyBorder="1" applyAlignment="1" applyProtection="1">
      <alignment horizontal="center"/>
    </xf>
    <xf numFmtId="164" fontId="102" fillId="0" borderId="7" xfId="0" applyNumberFormat="1" applyFont="1" applyBorder="1" applyProtection="1"/>
    <xf numFmtId="164" fontId="94" fillId="0" borderId="7" xfId="0" applyNumberFormat="1" applyFont="1" applyBorder="1" applyProtection="1"/>
    <xf numFmtId="164" fontId="94" fillId="0" borderId="0" xfId="0" applyNumberFormat="1" applyFont="1" applyAlignment="1" applyProtection="1">
      <alignment horizontal="left" indent="1"/>
    </xf>
    <xf numFmtId="164" fontId="104" fillId="0" borderId="0" xfId="3" applyNumberFormat="1" applyFont="1" applyAlignment="1" applyProtection="1">
      <alignment horizontal="center"/>
    </xf>
    <xf numFmtId="0" fontId="99" fillId="0" borderId="0" xfId="0" applyNumberFormat="1" applyFont="1" applyAlignment="1" applyProtection="1">
      <alignment horizontal="center"/>
    </xf>
    <xf numFmtId="194" fontId="94" fillId="9" borderId="3" xfId="2" applyNumberFormat="1" applyFont="1" applyFill="1" applyBorder="1" applyAlignment="1" applyProtection="1">
      <alignment horizontal="center"/>
    </xf>
    <xf numFmtId="164" fontId="94" fillId="0" borderId="0" xfId="0" applyNumberFormat="1" applyFont="1" applyProtection="1">
      <protection locked="0"/>
    </xf>
    <xf numFmtId="164" fontId="94" fillId="0" borderId="0" xfId="0" applyNumberFormat="1" applyFont="1" applyBorder="1" applyProtection="1"/>
    <xf numFmtId="197" fontId="105" fillId="0" borderId="9" xfId="5" applyNumberFormat="1" applyFont="1" applyFill="1" applyBorder="1" applyAlignment="1" applyProtection="1">
      <alignment horizontal="center" vertical="center"/>
    </xf>
    <xf numFmtId="172" fontId="94" fillId="0" borderId="0" xfId="0" applyNumberFormat="1" applyFont="1" applyProtection="1"/>
    <xf numFmtId="203" fontId="5" fillId="0" borderId="0" xfId="0" applyNumberFormat="1" applyFont="1" applyProtection="1"/>
    <xf numFmtId="204" fontId="5" fillId="0" borderId="0" xfId="0" applyNumberFormat="1" applyFont="1" applyProtection="1"/>
    <xf numFmtId="0" fontId="73" fillId="39" borderId="2" xfId="0" applyNumberFormat="1" applyFont="1" applyFill="1" applyBorder="1" applyAlignment="1" applyProtection="1">
      <alignment horizontal="center"/>
    </xf>
    <xf numFmtId="0" fontId="97" fillId="39" borderId="2" xfId="0" applyNumberFormat="1" applyFont="1" applyFill="1" applyBorder="1" applyAlignment="1" applyProtection="1">
      <alignment horizontal="center"/>
    </xf>
  </cellXfs>
  <cellStyles count="335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7" xr:uid="{00000000-0005-0000-0000-000039000000}"/>
    <cellStyle name="Blockout 3" xfId="266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4" xr:uid="{00000000-0005-0000-0000-000046000000}"/>
    <cellStyle name="Comma 11" xfId="296" xr:uid="{00000000-0005-0000-0000-000047000000}"/>
    <cellStyle name="Comma 12" xfId="303" xr:uid="{00000000-0005-0000-0000-000048000000}"/>
    <cellStyle name="Comma 13" xfId="304" xr:uid="{00000000-0005-0000-0000-000049000000}"/>
    <cellStyle name="Comma 2" xfId="8" xr:uid="{00000000-0005-0000-0000-00004A000000}"/>
    <cellStyle name="Comma 2 2" xfId="73" xr:uid="{00000000-0005-0000-0000-00004B000000}"/>
    <cellStyle name="Comma 2 2 2" xfId="268" xr:uid="{00000000-0005-0000-0000-00004C000000}"/>
    <cellStyle name="Comma 2 2 2 2" xfId="334" xr:uid="{00000000-0005-0000-0000-00004D000000}"/>
    <cellStyle name="Comma 2 2 3" xfId="306" xr:uid="{00000000-0005-0000-0000-00004E000000}"/>
    <cellStyle name="Comma 2 3" xfId="74" xr:uid="{00000000-0005-0000-0000-00004F000000}"/>
    <cellStyle name="Comma 2 3 2" xfId="75" xr:uid="{00000000-0005-0000-0000-000050000000}"/>
    <cellStyle name="Comma 2 3 2 2" xfId="270" xr:uid="{00000000-0005-0000-0000-000051000000}"/>
    <cellStyle name="Comma 2 3 2 3" xfId="308" xr:uid="{00000000-0005-0000-0000-000052000000}"/>
    <cellStyle name="Comma 2 3 3" xfId="269" xr:uid="{00000000-0005-0000-0000-000053000000}"/>
    <cellStyle name="Comma 2 3 4" xfId="307" xr:uid="{00000000-0005-0000-0000-000054000000}"/>
    <cellStyle name="Comma 2 4" xfId="76" xr:uid="{00000000-0005-0000-0000-000055000000}"/>
    <cellStyle name="Comma 2 4 2" xfId="271" xr:uid="{00000000-0005-0000-0000-000056000000}"/>
    <cellStyle name="Comma 2 4 3" xfId="309" xr:uid="{00000000-0005-0000-0000-000057000000}"/>
    <cellStyle name="Comma 2 5" xfId="77" xr:uid="{00000000-0005-0000-0000-000058000000}"/>
    <cellStyle name="Comma 2 5 2" xfId="272" xr:uid="{00000000-0005-0000-0000-000059000000}"/>
    <cellStyle name="Comma 2 6" xfId="265" xr:uid="{00000000-0005-0000-0000-00005A000000}"/>
    <cellStyle name="Comma 2 7" xfId="305" xr:uid="{00000000-0005-0000-0000-00005B000000}"/>
    <cellStyle name="Comma 3" xfId="78" xr:uid="{00000000-0005-0000-0000-00005C000000}"/>
    <cellStyle name="Comma 3 2" xfId="79" xr:uid="{00000000-0005-0000-0000-00005D000000}"/>
    <cellStyle name="Comma 3 3" xfId="80" xr:uid="{00000000-0005-0000-0000-00005E000000}"/>
    <cellStyle name="Comma 3 3 2" xfId="273" xr:uid="{00000000-0005-0000-0000-00005F000000}"/>
    <cellStyle name="Comma 4" xfId="81" xr:uid="{00000000-0005-0000-0000-000060000000}"/>
    <cellStyle name="Comma 4 2" xfId="274" xr:uid="{00000000-0005-0000-0000-000061000000}"/>
    <cellStyle name="Comma 5" xfId="82" xr:uid="{00000000-0005-0000-0000-000062000000}"/>
    <cellStyle name="Comma 5 2" xfId="275" xr:uid="{00000000-0005-0000-0000-000063000000}"/>
    <cellStyle name="Comma 6" xfId="83" xr:uid="{00000000-0005-0000-0000-000064000000}"/>
    <cellStyle name="Comma 6 2" xfId="276" xr:uid="{00000000-0005-0000-0000-000065000000}"/>
    <cellStyle name="Comma 6 2 2" xfId="333" xr:uid="{00000000-0005-0000-0000-000066000000}"/>
    <cellStyle name="Comma 7" xfId="84" xr:uid="{00000000-0005-0000-0000-000067000000}"/>
    <cellStyle name="Comma 7 2" xfId="277" xr:uid="{00000000-0005-0000-0000-000068000000}"/>
    <cellStyle name="Comma 7 3" xfId="310" xr:uid="{00000000-0005-0000-0000-000069000000}"/>
    <cellStyle name="Comma 8" xfId="85" xr:uid="{00000000-0005-0000-0000-00006A000000}"/>
    <cellStyle name="Comma 8 2" xfId="278" xr:uid="{00000000-0005-0000-0000-00006B000000}"/>
    <cellStyle name="Comma 8 3" xfId="311" xr:uid="{00000000-0005-0000-0000-00006C000000}"/>
    <cellStyle name="Comma 9" xfId="298" xr:uid="{00000000-0005-0000-0000-00006D000000}"/>
    <cellStyle name="Comma0" xfId="86" xr:uid="{00000000-0005-0000-0000-00006E000000}"/>
    <cellStyle name="Currency 11" xfId="87" xr:uid="{00000000-0005-0000-0000-00006F000000}"/>
    <cellStyle name="Currency 11 2" xfId="88" xr:uid="{00000000-0005-0000-0000-000070000000}"/>
    <cellStyle name="Currency 11 2 2" xfId="280" xr:uid="{00000000-0005-0000-0000-000071000000}"/>
    <cellStyle name="Currency 11 2 3" xfId="313" xr:uid="{00000000-0005-0000-0000-000072000000}"/>
    <cellStyle name="Currency 11 3" xfId="279" xr:uid="{00000000-0005-0000-0000-000073000000}"/>
    <cellStyle name="Currency 11 4" xfId="312" xr:uid="{00000000-0005-0000-0000-000074000000}"/>
    <cellStyle name="Currency 2" xfId="89" xr:uid="{00000000-0005-0000-0000-000075000000}"/>
    <cellStyle name="Currency 2 2" xfId="90" xr:uid="{00000000-0005-0000-0000-000076000000}"/>
    <cellStyle name="Currency 2 2 2" xfId="282" xr:uid="{00000000-0005-0000-0000-000077000000}"/>
    <cellStyle name="Currency 2 2 3" xfId="315" xr:uid="{00000000-0005-0000-0000-000078000000}"/>
    <cellStyle name="Currency 2 3" xfId="281" xr:uid="{00000000-0005-0000-0000-000079000000}"/>
    <cellStyle name="Currency 2 4" xfId="314" xr:uid="{00000000-0005-0000-0000-00007A000000}"/>
    <cellStyle name="Currency 3" xfId="91" xr:uid="{00000000-0005-0000-0000-00007B000000}"/>
    <cellStyle name="Currency 3 2" xfId="92" xr:uid="{00000000-0005-0000-0000-00007C000000}"/>
    <cellStyle name="Currency 3 2 2" xfId="284" xr:uid="{00000000-0005-0000-0000-00007D000000}"/>
    <cellStyle name="Currency 3 2 3" xfId="317" xr:uid="{00000000-0005-0000-0000-00007E000000}"/>
    <cellStyle name="Currency 3 3" xfId="283" xr:uid="{00000000-0005-0000-0000-00007F000000}"/>
    <cellStyle name="Currency 3 4" xfId="316" xr:uid="{00000000-0005-0000-0000-000080000000}"/>
    <cellStyle name="Currency 4" xfId="93" xr:uid="{00000000-0005-0000-0000-000081000000}"/>
    <cellStyle name="Currency 4 2" xfId="94" xr:uid="{00000000-0005-0000-0000-000082000000}"/>
    <cellStyle name="Currency 4 2 2" xfId="286" xr:uid="{00000000-0005-0000-0000-000083000000}"/>
    <cellStyle name="Currency 4 2 3" xfId="319" xr:uid="{00000000-0005-0000-0000-000084000000}"/>
    <cellStyle name="Currency 4 3" xfId="285" xr:uid="{00000000-0005-0000-0000-000085000000}"/>
    <cellStyle name="Currency 4 4" xfId="318" xr:uid="{00000000-0005-0000-0000-000086000000}"/>
    <cellStyle name="Currency 5" xfId="243" xr:uid="{00000000-0005-0000-0000-000087000000}"/>
    <cellStyle name="Currency 5 2" xfId="295" xr:uid="{00000000-0005-0000-0000-000088000000}"/>
    <cellStyle name="Currency 5 3" xfId="324" xr:uid="{00000000-0005-0000-0000-000089000000}"/>
    <cellStyle name="Currency 6" xfId="299" xr:uid="{00000000-0005-0000-0000-00008A000000}"/>
    <cellStyle name="D4_B8B1_005004B79812_.wvu.PrintTitlest" xfId="95" xr:uid="{00000000-0005-0000-0000-00008B000000}"/>
    <cellStyle name="Date" xfId="96" xr:uid="{00000000-0005-0000-0000-00008C000000}"/>
    <cellStyle name="Date 2" xfId="97" xr:uid="{00000000-0005-0000-0000-00008D000000}"/>
    <cellStyle name="Emphasis 1" xfId="98" xr:uid="{00000000-0005-0000-0000-00008E000000}"/>
    <cellStyle name="Emphasis 2" xfId="99" xr:uid="{00000000-0005-0000-0000-00008F000000}"/>
    <cellStyle name="Emphasis 3" xfId="100" xr:uid="{00000000-0005-0000-0000-000090000000}"/>
    <cellStyle name="Empty_Cell" xfId="247" xr:uid="{00000000-0005-0000-0000-000091000000}"/>
    <cellStyle name="Euro" xfId="101" xr:uid="{00000000-0005-0000-0000-000092000000}"/>
    <cellStyle name="Explanatory Text 2" xfId="102" xr:uid="{00000000-0005-0000-0000-000093000000}"/>
    <cellStyle name="Fixed" xfId="103" xr:uid="{00000000-0005-0000-0000-000094000000}"/>
    <cellStyle name="Fixed 2" xfId="104" xr:uid="{00000000-0005-0000-0000-000095000000}"/>
    <cellStyle name="Gilsans" xfId="105" xr:uid="{00000000-0005-0000-0000-000096000000}"/>
    <cellStyle name="Gilsansl" xfId="106" xr:uid="{00000000-0005-0000-0000-000097000000}"/>
    <cellStyle name="Good 2" xfId="107" xr:uid="{00000000-0005-0000-0000-000098000000}"/>
    <cellStyle name="Header1" xfId="248" xr:uid="{00000000-0005-0000-0000-000099000000}"/>
    <cellStyle name="Header2" xfId="249" xr:uid="{00000000-0005-0000-0000-00009A000000}"/>
    <cellStyle name="Header3" xfId="250" xr:uid="{00000000-0005-0000-0000-00009B000000}"/>
    <cellStyle name="Header4" xfId="251" xr:uid="{00000000-0005-0000-0000-00009C000000}"/>
    <cellStyle name="Header5" xfId="252" xr:uid="{00000000-0005-0000-0000-00009D000000}"/>
    <cellStyle name="Heading 1 2" xfId="108" xr:uid="{00000000-0005-0000-0000-00009E000000}"/>
    <cellStyle name="Heading 1 2 2" xfId="109" xr:uid="{00000000-0005-0000-0000-00009F000000}"/>
    <cellStyle name="Heading 1 3" xfId="110" xr:uid="{00000000-0005-0000-0000-0000A0000000}"/>
    <cellStyle name="Heading 2 2" xfId="111" xr:uid="{00000000-0005-0000-0000-0000A1000000}"/>
    <cellStyle name="Heading 2 2 2" xfId="112" xr:uid="{00000000-0005-0000-0000-0000A2000000}"/>
    <cellStyle name="Heading 2 3" xfId="113" xr:uid="{00000000-0005-0000-0000-0000A3000000}"/>
    <cellStyle name="Heading 3 2" xfId="114" xr:uid="{00000000-0005-0000-0000-0000A4000000}"/>
    <cellStyle name="Heading 3 2 2" xfId="115" xr:uid="{00000000-0005-0000-0000-0000A5000000}"/>
    <cellStyle name="Heading 3 3" xfId="116" xr:uid="{00000000-0005-0000-0000-0000A6000000}"/>
    <cellStyle name="Heading 4 2" xfId="117" xr:uid="{00000000-0005-0000-0000-0000A7000000}"/>
    <cellStyle name="Heading 4 2 2" xfId="118" xr:uid="{00000000-0005-0000-0000-0000A8000000}"/>
    <cellStyle name="Heading 4 3" xfId="119" xr:uid="{00000000-0005-0000-0000-0000A9000000}"/>
    <cellStyle name="Heading(4)" xfId="120" xr:uid="{00000000-0005-0000-0000-0000AA000000}"/>
    <cellStyle name="Hyperlink" xfId="3" builtinId="8"/>
    <cellStyle name="Hyperlink 2" xfId="121" xr:uid="{00000000-0005-0000-0000-0000AC000000}"/>
    <cellStyle name="Hyperlink Arrow" xfId="122" xr:uid="{00000000-0005-0000-0000-0000AD000000}"/>
    <cellStyle name="Hyperlink Text" xfId="123" xr:uid="{00000000-0005-0000-0000-0000AE000000}"/>
    <cellStyle name="Input 2" xfId="124" xr:uid="{00000000-0005-0000-0000-0000AF000000}"/>
    <cellStyle name="Input|Date" xfId="1" xr:uid="{00000000-0005-0000-0000-0000B0000000}"/>
    <cellStyle name="Input1" xfId="125" xr:uid="{00000000-0005-0000-0000-0000B1000000}"/>
    <cellStyle name="Input1 2" xfId="126" xr:uid="{00000000-0005-0000-0000-0000B2000000}"/>
    <cellStyle name="Input1 2 2" xfId="288" xr:uid="{00000000-0005-0000-0000-0000B3000000}"/>
    <cellStyle name="Input1 3" xfId="300" xr:uid="{00000000-0005-0000-0000-0000B4000000}"/>
    <cellStyle name="Input1 4" xfId="287" xr:uid="{00000000-0005-0000-0000-0000B5000000}"/>
    <cellStyle name="Input2" xfId="127" xr:uid="{00000000-0005-0000-0000-0000B6000000}"/>
    <cellStyle name="Input2 2" xfId="128" xr:uid="{00000000-0005-0000-0000-0000B7000000}"/>
    <cellStyle name="Input3" xfId="129" xr:uid="{00000000-0005-0000-0000-0000B8000000}"/>
    <cellStyle name="Input3 2" xfId="130" xr:uid="{00000000-0005-0000-0000-0000B9000000}"/>
    <cellStyle name="Input3 2 2" xfId="290" xr:uid="{00000000-0005-0000-0000-0000BA000000}"/>
    <cellStyle name="Input3 3" xfId="301" xr:uid="{00000000-0005-0000-0000-0000BB000000}"/>
    <cellStyle name="Input3 4" xfId="289" xr:uid="{00000000-0005-0000-0000-0000BC000000}"/>
    <cellStyle name="Inputs_Divider" xfId="253" xr:uid="{00000000-0005-0000-0000-0000BD000000}"/>
    <cellStyle name="InSheet" xfId="254" xr:uid="{00000000-0005-0000-0000-0000BE000000}"/>
    <cellStyle name="Lines" xfId="131" xr:uid="{00000000-0005-0000-0000-0000BF000000}"/>
    <cellStyle name="Linked Cell 2" xfId="132" xr:uid="{00000000-0005-0000-0000-0000C0000000}"/>
    <cellStyle name="Mine" xfId="133" xr:uid="{00000000-0005-0000-0000-0000C1000000}"/>
    <cellStyle name="Model Name" xfId="134" xr:uid="{00000000-0005-0000-0000-0000C2000000}"/>
    <cellStyle name="Neutral 2" xfId="135" xr:uid="{00000000-0005-0000-0000-0000C3000000}"/>
    <cellStyle name="Normal" xfId="0" builtinId="0"/>
    <cellStyle name="Normal - Style1" xfId="136" xr:uid="{00000000-0005-0000-0000-0000C5000000}"/>
    <cellStyle name="Normal 10" xfId="241" xr:uid="{00000000-0005-0000-0000-0000C6000000}"/>
    <cellStyle name="Normal 10 2" xfId="293" xr:uid="{00000000-0005-0000-0000-0000C7000000}"/>
    <cellStyle name="Normal 10 3" xfId="322" xr:uid="{00000000-0005-0000-0000-0000C8000000}"/>
    <cellStyle name="Normal 11" xfId="297" xr:uid="{00000000-0005-0000-0000-0000C9000000}"/>
    <cellStyle name="Normal 114" xfId="329" xr:uid="{00000000-0005-0000-0000-0000CA000000}"/>
    <cellStyle name="Normal 13" xfId="137" xr:uid="{00000000-0005-0000-0000-0000CB000000}"/>
    <cellStyle name="Normal 13 2" xfId="7" xr:uid="{00000000-0005-0000-0000-0000CC000000}"/>
    <cellStyle name="Normal 13_29(d) - Gas extensions -tariffs" xfId="138" xr:uid="{00000000-0005-0000-0000-0000CD000000}"/>
    <cellStyle name="Normal 15" xfId="139" xr:uid="{00000000-0005-0000-0000-0000CE000000}"/>
    <cellStyle name="Normal 16" xfId="140" xr:uid="{00000000-0005-0000-0000-0000CF000000}"/>
    <cellStyle name="Normal 2" xfId="141" xr:uid="{00000000-0005-0000-0000-0000D0000000}"/>
    <cellStyle name="Normal 2 2" xfId="142" xr:uid="{00000000-0005-0000-0000-0000D1000000}"/>
    <cellStyle name="Normal 2 2 2" xfId="143" xr:uid="{00000000-0005-0000-0000-0000D2000000}"/>
    <cellStyle name="Normal 2 3" xfId="144" xr:uid="{00000000-0005-0000-0000-0000D3000000}"/>
    <cellStyle name="Normal 2 3 2" xfId="145" xr:uid="{00000000-0005-0000-0000-0000D4000000}"/>
    <cellStyle name="Normal 2 3_29(d) - Gas extensions -tariffs" xfId="146" xr:uid="{00000000-0005-0000-0000-0000D5000000}"/>
    <cellStyle name="Normal 2 4" xfId="147" xr:uid="{00000000-0005-0000-0000-0000D6000000}"/>
    <cellStyle name="Normal 2 5" xfId="148" xr:uid="{00000000-0005-0000-0000-0000D7000000}"/>
    <cellStyle name="Normal 2 6" xfId="326" xr:uid="{00000000-0005-0000-0000-0000D8000000}"/>
    <cellStyle name="Normal 2_29(d) - Gas extensions -tariffs" xfId="149" xr:uid="{00000000-0005-0000-0000-0000D9000000}"/>
    <cellStyle name="Normal 3" xfId="150" xr:uid="{00000000-0005-0000-0000-0000DA000000}"/>
    <cellStyle name="Normal 3 2" xfId="151" xr:uid="{00000000-0005-0000-0000-0000DB000000}"/>
    <cellStyle name="Normal 3_29(d) - Gas extensions -tariffs" xfId="152" xr:uid="{00000000-0005-0000-0000-0000DC000000}"/>
    <cellStyle name="Normal 38" xfId="153" xr:uid="{00000000-0005-0000-0000-0000DD000000}"/>
    <cellStyle name="Normal 38 2" xfId="154" xr:uid="{00000000-0005-0000-0000-0000DE000000}"/>
    <cellStyle name="Normal 38_29(d) - Gas extensions -tariffs" xfId="155" xr:uid="{00000000-0005-0000-0000-0000DF000000}"/>
    <cellStyle name="Normal 4" xfId="156" xr:uid="{00000000-0005-0000-0000-0000E0000000}"/>
    <cellStyle name="Normal 4 2" xfId="157" xr:uid="{00000000-0005-0000-0000-0000E1000000}"/>
    <cellStyle name="Normal 4 2 2" xfId="330" xr:uid="{00000000-0005-0000-0000-0000E2000000}"/>
    <cellStyle name="Normal 4 3" xfId="158" xr:uid="{00000000-0005-0000-0000-0000E3000000}"/>
    <cellStyle name="Normal 4 3 2" xfId="291" xr:uid="{00000000-0005-0000-0000-0000E4000000}"/>
    <cellStyle name="Normal 4 3 2 2" xfId="328" xr:uid="{00000000-0005-0000-0000-0000E5000000}"/>
    <cellStyle name="Normal 4 3 3" xfId="320" xr:uid="{00000000-0005-0000-0000-0000E6000000}"/>
    <cellStyle name="Normal 4 4" xfId="325" xr:uid="{00000000-0005-0000-0000-0000E7000000}"/>
    <cellStyle name="Normal 4_29(d) - Gas extensions -tariffs" xfId="159" xr:uid="{00000000-0005-0000-0000-0000E8000000}"/>
    <cellStyle name="Normal 40" xfId="160" xr:uid="{00000000-0005-0000-0000-0000E9000000}"/>
    <cellStyle name="Normal 40 2" xfId="161" xr:uid="{00000000-0005-0000-0000-0000EA000000}"/>
    <cellStyle name="Normal 40_29(d) - Gas extensions -tariffs" xfId="162" xr:uid="{00000000-0005-0000-0000-0000EB000000}"/>
    <cellStyle name="Normal 5" xfId="163" xr:uid="{00000000-0005-0000-0000-0000EC000000}"/>
    <cellStyle name="Normal 5 2" xfId="164" xr:uid="{00000000-0005-0000-0000-0000ED000000}"/>
    <cellStyle name="Normal 6" xfId="165" xr:uid="{00000000-0005-0000-0000-0000EE000000}"/>
    <cellStyle name="Normal 6 2" xfId="166" xr:uid="{00000000-0005-0000-0000-0000EF000000}"/>
    <cellStyle name="Normal 7" xfId="9" xr:uid="{00000000-0005-0000-0000-0000F0000000}"/>
    <cellStyle name="Normal 7 2" xfId="167" xr:uid="{00000000-0005-0000-0000-0000F1000000}"/>
    <cellStyle name="Normal 7 2 2" xfId="292" xr:uid="{00000000-0005-0000-0000-0000F2000000}"/>
    <cellStyle name="Normal 7 2 2 2" xfId="327" xr:uid="{00000000-0005-0000-0000-0000F3000000}"/>
    <cellStyle name="Normal 7 2 3" xfId="321" xr:uid="{00000000-0005-0000-0000-0000F4000000}"/>
    <cellStyle name="Normal 7 3" xfId="331" xr:uid="{00000000-0005-0000-0000-0000F5000000}"/>
    <cellStyle name="Normal 8" xfId="168" xr:uid="{00000000-0005-0000-0000-0000F6000000}"/>
    <cellStyle name="Normal 8 2" xfId="332" xr:uid="{00000000-0005-0000-0000-0000F7000000}"/>
    <cellStyle name="Normal 9" xfId="169" xr:uid="{00000000-0005-0000-0000-0000F8000000}"/>
    <cellStyle name="Note 2" xfId="170" xr:uid="{00000000-0005-0000-0000-0000F9000000}"/>
    <cellStyle name="OffSheet" xfId="255" xr:uid="{00000000-0005-0000-0000-0000FA000000}"/>
    <cellStyle name="Output 2" xfId="171" xr:uid="{00000000-0005-0000-0000-0000FB000000}"/>
    <cellStyle name="Percent" xfId="2" builtinId="5"/>
    <cellStyle name="Percent [2]" xfId="172" xr:uid="{00000000-0005-0000-0000-0000FD000000}"/>
    <cellStyle name="Percent [2] 2" xfId="173" xr:uid="{00000000-0005-0000-0000-0000FE000000}"/>
    <cellStyle name="Percent [2]_29(d) - Gas extensions -tariffs" xfId="174" xr:uid="{00000000-0005-0000-0000-0000FF000000}"/>
    <cellStyle name="Percent 2" xfId="4" xr:uid="{00000000-0005-0000-0000-000000010000}"/>
    <cellStyle name="Percent 2 2" xfId="175" xr:uid="{00000000-0005-0000-0000-000001010000}"/>
    <cellStyle name="Percent 3" xfId="176" xr:uid="{00000000-0005-0000-0000-000002010000}"/>
    <cellStyle name="Percent 3 2" xfId="177" xr:uid="{00000000-0005-0000-0000-000003010000}"/>
    <cellStyle name="Percent 4" xfId="178" xr:uid="{00000000-0005-0000-0000-000004010000}"/>
    <cellStyle name="Percent 5" xfId="242" xr:uid="{00000000-0005-0000-0000-000005010000}"/>
    <cellStyle name="Percent 5 2" xfId="294" xr:uid="{00000000-0005-0000-0000-000006010000}"/>
    <cellStyle name="Percent 5 3" xfId="323" xr:uid="{00000000-0005-0000-0000-000007010000}"/>
    <cellStyle name="Percent 6" xfId="302" xr:uid="{00000000-0005-0000-0000-000008010000}"/>
    <cellStyle name="Percent 7" xfId="179" xr:uid="{00000000-0005-0000-0000-000009010000}"/>
    <cellStyle name="Percentage" xfId="180" xr:uid="{00000000-0005-0000-0000-00000A010000}"/>
    <cellStyle name="Period Title" xfId="181" xr:uid="{00000000-0005-0000-0000-00000B010000}"/>
    <cellStyle name="PSChar" xfId="182" xr:uid="{00000000-0005-0000-0000-00000C010000}"/>
    <cellStyle name="PSDate" xfId="183" xr:uid="{00000000-0005-0000-0000-00000D010000}"/>
    <cellStyle name="PSDec" xfId="184" xr:uid="{00000000-0005-0000-0000-00000E010000}"/>
    <cellStyle name="PSDetail" xfId="185" xr:uid="{00000000-0005-0000-0000-00000F010000}"/>
    <cellStyle name="PSHeading" xfId="186" xr:uid="{00000000-0005-0000-0000-000010010000}"/>
    <cellStyle name="PSInt" xfId="187" xr:uid="{00000000-0005-0000-0000-000011010000}"/>
    <cellStyle name="PSSpacer" xfId="188" xr:uid="{00000000-0005-0000-0000-000012010000}"/>
    <cellStyle name="Ratio" xfId="189" xr:uid="{00000000-0005-0000-0000-000013010000}"/>
    <cellStyle name="Ratio 2" xfId="190" xr:uid="{00000000-0005-0000-0000-000014010000}"/>
    <cellStyle name="Ratio_29(d) - Gas extensions -tariffs" xfId="191" xr:uid="{00000000-0005-0000-0000-000015010000}"/>
    <cellStyle name="Right Date" xfId="192" xr:uid="{00000000-0005-0000-0000-000016010000}"/>
    <cellStyle name="Right Number" xfId="193" xr:uid="{00000000-0005-0000-0000-000017010000}"/>
    <cellStyle name="Right Year" xfId="194" xr:uid="{00000000-0005-0000-0000-000018010000}"/>
    <cellStyle name="SAPError" xfId="195" xr:uid="{00000000-0005-0000-0000-000019010000}"/>
    <cellStyle name="SAPError 2" xfId="196" xr:uid="{00000000-0005-0000-0000-00001A010000}"/>
    <cellStyle name="SAPKey" xfId="197" xr:uid="{00000000-0005-0000-0000-00001B010000}"/>
    <cellStyle name="SAPKey 2" xfId="198" xr:uid="{00000000-0005-0000-0000-00001C010000}"/>
    <cellStyle name="SAPLocked" xfId="199" xr:uid="{00000000-0005-0000-0000-00001D010000}"/>
    <cellStyle name="SAPLocked 2" xfId="200" xr:uid="{00000000-0005-0000-0000-00001E010000}"/>
    <cellStyle name="SAPOutput" xfId="201" xr:uid="{00000000-0005-0000-0000-00001F010000}"/>
    <cellStyle name="SAPOutput 2" xfId="202" xr:uid="{00000000-0005-0000-0000-000020010000}"/>
    <cellStyle name="SAPSpace" xfId="203" xr:uid="{00000000-0005-0000-0000-000021010000}"/>
    <cellStyle name="SAPSpace 2" xfId="204" xr:uid="{00000000-0005-0000-0000-000022010000}"/>
    <cellStyle name="SAPText" xfId="205" xr:uid="{00000000-0005-0000-0000-000023010000}"/>
    <cellStyle name="SAPText 2" xfId="206" xr:uid="{00000000-0005-0000-0000-000024010000}"/>
    <cellStyle name="SAPUnLocked" xfId="207" xr:uid="{00000000-0005-0000-0000-000025010000}"/>
    <cellStyle name="SAPUnLocked 2" xfId="208" xr:uid="{00000000-0005-0000-0000-000026010000}"/>
    <cellStyle name="Sheet Title" xfId="209" xr:uid="{00000000-0005-0000-0000-000027010000}"/>
    <cellStyle name="SheetHeader1" xfId="256" xr:uid="{00000000-0005-0000-0000-000028010000}"/>
    <cellStyle name="SheetHeader2" xfId="257" xr:uid="{00000000-0005-0000-0000-000029010000}"/>
    <cellStyle name="SheetHeader3" xfId="258" xr:uid="{00000000-0005-0000-0000-00002A010000}"/>
    <cellStyle name="Style 1" xfId="210" xr:uid="{00000000-0005-0000-0000-00002B010000}"/>
    <cellStyle name="Style 1 2" xfId="211" xr:uid="{00000000-0005-0000-0000-00002C010000}"/>
    <cellStyle name="Style 1_29(d) - Gas extensions -tariffs" xfId="212" xr:uid="{00000000-0005-0000-0000-00002D010000}"/>
    <cellStyle name="Style2" xfId="213" xr:uid="{00000000-0005-0000-0000-00002E010000}"/>
    <cellStyle name="Style3" xfId="214" xr:uid="{00000000-0005-0000-0000-00002F010000}"/>
    <cellStyle name="Style4" xfId="215" xr:uid="{00000000-0005-0000-0000-000030010000}"/>
    <cellStyle name="Style4 2" xfId="216" xr:uid="{00000000-0005-0000-0000-000031010000}"/>
    <cellStyle name="Style4_29(d) - Gas extensions -tariffs" xfId="217" xr:uid="{00000000-0005-0000-0000-000032010000}"/>
    <cellStyle name="Style5" xfId="218" xr:uid="{00000000-0005-0000-0000-000033010000}"/>
    <cellStyle name="Style5 2" xfId="219" xr:uid="{00000000-0005-0000-0000-000034010000}"/>
    <cellStyle name="Style5_29(d) - Gas extensions -tariffs" xfId="220" xr:uid="{00000000-0005-0000-0000-000035010000}"/>
    <cellStyle name="Table Head Green" xfId="221" xr:uid="{00000000-0005-0000-0000-000036010000}"/>
    <cellStyle name="Table Head_pldt" xfId="222" xr:uid="{00000000-0005-0000-0000-000037010000}"/>
    <cellStyle name="Table Source" xfId="223" xr:uid="{00000000-0005-0000-0000-000038010000}"/>
    <cellStyle name="Table Units" xfId="224" xr:uid="{00000000-0005-0000-0000-000039010000}"/>
    <cellStyle name="Table_Heading" xfId="259" xr:uid="{00000000-0005-0000-0000-00003A010000}"/>
    <cellStyle name="Technical_Input" xfId="260" xr:uid="{00000000-0005-0000-0000-00003B010000}"/>
    <cellStyle name="Text" xfId="225" xr:uid="{00000000-0005-0000-0000-00003C010000}"/>
    <cellStyle name="Text 2" xfId="226" xr:uid="{00000000-0005-0000-0000-00003D010000}"/>
    <cellStyle name="Text 3" xfId="227" xr:uid="{00000000-0005-0000-0000-00003E010000}"/>
    <cellStyle name="Text Head 1" xfId="228" xr:uid="{00000000-0005-0000-0000-00003F010000}"/>
    <cellStyle name="Text Head 2" xfId="229" xr:uid="{00000000-0005-0000-0000-000040010000}"/>
    <cellStyle name="Text Indent 2" xfId="230" xr:uid="{00000000-0005-0000-0000-000041010000}"/>
    <cellStyle name="Theirs" xfId="231" xr:uid="{00000000-0005-0000-0000-000042010000}"/>
    <cellStyle name="Title 2" xfId="232" xr:uid="{00000000-0005-0000-0000-000043010000}"/>
    <cellStyle name="TOC 1" xfId="233" xr:uid="{00000000-0005-0000-0000-000044010000}"/>
    <cellStyle name="TOC 2" xfId="234" xr:uid="{00000000-0005-0000-0000-000045010000}"/>
    <cellStyle name="TOC 3" xfId="235" xr:uid="{00000000-0005-0000-0000-000046010000}"/>
    <cellStyle name="Total 2" xfId="236" xr:uid="{00000000-0005-0000-0000-000047010000}"/>
    <cellStyle name="Totals" xfId="261" xr:uid="{00000000-0005-0000-0000-000048010000}"/>
    <cellStyle name="unit" xfId="262" xr:uid="{00000000-0005-0000-0000-000049010000}"/>
    <cellStyle name="User_Input" xfId="263" xr:uid="{00000000-0005-0000-0000-00004A010000}"/>
    <cellStyle name="Warning Text 2" xfId="237" xr:uid="{00000000-0005-0000-0000-00004B010000}"/>
    <cellStyle name="year" xfId="238" xr:uid="{00000000-0005-0000-0000-00004C010000}"/>
    <cellStyle name="year 2" xfId="239" xr:uid="{00000000-0005-0000-0000-00004D010000}"/>
    <cellStyle name="year_29(d) - Gas extensions -tariffs" xfId="240" xr:uid="{00000000-0005-0000-0000-00004E010000}"/>
  </cellStyles>
  <dxfs count="10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  <color rgb="FFDAEEF3"/>
      <color rgb="FFC0C0C0"/>
      <color rgb="FF8DB4E2"/>
      <color rgb="FF00B2E4"/>
      <color rgb="FF0060AF"/>
      <color rgb="FFFF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WC12.4%20-%20SCS%20Opex%20Model%20-%2016%20Mar%2018%20-%20Publ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WC12.6%20-%20Step%20Changes%20Forecast%20Model%20-%2031%20Jan%2018%20-%20Publi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WC12.2%20-%20ACS%20Metering%20Post-tax%20Revenue%20Model%20-%2016%20Mar%2018%20-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/>
      <sheetData sheetId="1"/>
      <sheetData sheetId="2">
        <row r="51">
          <cell r="E51">
            <v>111.45</v>
          </cell>
          <cell r="F51" t="str">
            <v>Interpolated</v>
          </cell>
        </row>
        <row r="52">
          <cell r="E52">
            <v>112.2</v>
          </cell>
          <cell r="F52" t="str">
            <v>RBA statement of monetary policy November 2017</v>
          </cell>
        </row>
        <row r="53">
          <cell r="E53">
            <v>112.557</v>
          </cell>
          <cell r="F53" t="str">
            <v>Interpolated</v>
          </cell>
        </row>
        <row r="54">
          <cell r="E54">
            <v>112.914</v>
          </cell>
          <cell r="F54" t="str">
            <v>RBA statement of monetary policy November 2017</v>
          </cell>
        </row>
        <row r="55">
          <cell r="E55">
            <v>113.81925</v>
          </cell>
          <cell r="F55" t="str">
            <v>Interpolated</v>
          </cell>
        </row>
        <row r="56">
          <cell r="E56">
            <v>114.72449999999999</v>
          </cell>
          <cell r="F56" t="str">
            <v>RBA statement of monetary policy November 2017</v>
          </cell>
        </row>
        <row r="57">
          <cell r="E57">
            <v>115.08953249999999</v>
          </cell>
          <cell r="F57" t="str">
            <v>Interpolated</v>
          </cell>
        </row>
        <row r="58">
          <cell r="E58">
            <v>115.454565</v>
          </cell>
          <cell r="F58" t="str">
            <v>RBA statement of monetary policy November 2017</v>
          </cell>
        </row>
      </sheetData>
      <sheetData sheetId="3"/>
      <sheetData sheetId="4">
        <row r="36">
          <cell r="P36">
            <v>0.01</v>
          </cell>
          <cell r="Q36">
            <v>8.9999999999999993E-3</v>
          </cell>
          <cell r="R36">
            <v>8.9999999999999993E-3</v>
          </cell>
          <cell r="S36">
            <v>0.01</v>
          </cell>
          <cell r="T36">
            <v>9.4999999999999998E-3</v>
          </cell>
        </row>
        <row r="37">
          <cell r="P37">
            <v>8.0000000000000002E-3</v>
          </cell>
          <cell r="Q37">
            <v>1.0999999999999999E-2</v>
          </cell>
          <cell r="R37">
            <v>1.4999999999999999E-2</v>
          </cell>
          <cell r="S37">
            <v>1.6E-2</v>
          </cell>
          <cell r="T37">
            <v>1.2500000000000001E-2</v>
          </cell>
        </row>
        <row r="38">
          <cell r="P38">
            <v>9.0000000000000011E-3</v>
          </cell>
          <cell r="Q38">
            <v>9.9999999999999985E-3</v>
          </cell>
          <cell r="R38">
            <v>1.2E-2</v>
          </cell>
          <cell r="S38">
            <v>1.3000000000000001E-2</v>
          </cell>
          <cell r="T38">
            <v>1.0999999999999999E-2</v>
          </cell>
        </row>
        <row r="39">
          <cell r="P39"/>
          <cell r="Q39"/>
          <cell r="R39"/>
          <cell r="S39"/>
          <cell r="T39"/>
        </row>
        <row r="40">
          <cell r="P40"/>
          <cell r="Q40"/>
          <cell r="R40"/>
          <cell r="S40"/>
          <cell r="T40"/>
        </row>
        <row r="41">
          <cell r="P41"/>
          <cell r="Q41"/>
          <cell r="R41"/>
          <cell r="S41"/>
          <cell r="T41"/>
        </row>
        <row r="42">
          <cell r="P42"/>
          <cell r="Q42"/>
          <cell r="R42"/>
          <cell r="S42"/>
          <cell r="T42"/>
        </row>
        <row r="43"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7"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P49">
            <v>0.59699999999999998</v>
          </cell>
          <cell r="Q49">
            <v>0.59699999999999998</v>
          </cell>
          <cell r="R49">
            <v>0.59699999999999998</v>
          </cell>
          <cell r="S49">
            <v>0.59699999999999998</v>
          </cell>
          <cell r="T49">
            <v>0.59699999999999998</v>
          </cell>
        </row>
        <row r="50">
          <cell r="P50"/>
          <cell r="Q50"/>
          <cell r="R50"/>
          <cell r="S50"/>
          <cell r="T50"/>
        </row>
        <row r="51">
          <cell r="P51"/>
          <cell r="Q51"/>
          <cell r="R51"/>
          <cell r="S51"/>
          <cell r="T51"/>
        </row>
        <row r="52">
          <cell r="P52"/>
          <cell r="Q52"/>
          <cell r="R52"/>
          <cell r="S52"/>
          <cell r="T52"/>
        </row>
        <row r="53">
          <cell r="P53"/>
          <cell r="Q53"/>
          <cell r="R53"/>
          <cell r="S53"/>
          <cell r="T53"/>
        </row>
        <row r="54">
          <cell r="P54">
            <v>0.40300000000000002</v>
          </cell>
          <cell r="Q54">
            <v>0.40300000000000002</v>
          </cell>
          <cell r="R54">
            <v>0.40300000000000002</v>
          </cell>
          <cell r="S54">
            <v>0.40300000000000002</v>
          </cell>
          <cell r="T54">
            <v>0.40300000000000002</v>
          </cell>
        </row>
        <row r="62">
          <cell r="O62">
            <v>84420</v>
          </cell>
          <cell r="P62">
            <v>85072</v>
          </cell>
          <cell r="Q62">
            <v>85848</v>
          </cell>
          <cell r="R62">
            <v>86641</v>
          </cell>
          <cell r="S62">
            <v>87028</v>
          </cell>
          <cell r="T62">
            <v>87419</v>
          </cell>
        </row>
        <row r="63">
          <cell r="O63">
            <v>7123.0927471901159</v>
          </cell>
          <cell r="P63">
            <v>7175.8035088600409</v>
          </cell>
          <cell r="Q63">
            <v>7226.1258924276117</v>
          </cell>
          <cell r="R63">
            <v>7302.4494959799531</v>
          </cell>
          <cell r="S63">
            <v>7378.9215694574259</v>
          </cell>
          <cell r="T63">
            <v>7447.2669565348106</v>
          </cell>
        </row>
        <row r="64">
          <cell r="O64">
            <v>344.61873374300001</v>
          </cell>
          <cell r="P64">
            <v>344.61873374300001</v>
          </cell>
          <cell r="Q64">
            <v>344.61873374300001</v>
          </cell>
          <cell r="R64">
            <v>344.61873374300001</v>
          </cell>
          <cell r="S64">
            <v>344.61873374300001</v>
          </cell>
          <cell r="T64">
            <v>344.61873374300001</v>
          </cell>
        </row>
        <row r="80">
          <cell r="P80">
            <v>0.77131394182547641</v>
          </cell>
        </row>
        <row r="81">
          <cell r="P81">
            <v>9.7291875626880645E-2</v>
          </cell>
        </row>
        <row r="82">
          <cell r="P82">
            <v>0.13139418254764293</v>
          </cell>
        </row>
        <row r="83">
          <cell r="P83"/>
        </row>
        <row r="84">
          <cell r="P84"/>
        </row>
        <row r="85">
          <cell r="P85"/>
        </row>
        <row r="93"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alc|GSLs"/>
      <sheetName val="Calc|Step_Changes"/>
    </sheetNames>
    <sheetDataSet>
      <sheetData sheetId="0" refreshError="1"/>
      <sheetData sheetId="1" refreshError="1"/>
      <sheetData sheetId="2">
        <row r="13">
          <cell r="D13" t="str">
            <v>National connections process</v>
          </cell>
        </row>
        <row r="27">
          <cell r="D27" t="str">
            <v>Inspection and testing</v>
          </cell>
          <cell r="N27">
            <v>305544.24</v>
          </cell>
          <cell r="O27">
            <v>305544.24</v>
          </cell>
          <cell r="P27">
            <v>305544.24</v>
          </cell>
          <cell r="Q27">
            <v>305544.24</v>
          </cell>
          <cell r="R27">
            <v>305544.24</v>
          </cell>
        </row>
        <row r="28">
          <cell r="D28" t="str">
            <v>Metering Compliance Type 1-6</v>
          </cell>
          <cell r="N28">
            <v>38284.619999999995</v>
          </cell>
          <cell r="O28">
            <v>38284.619999999995</v>
          </cell>
          <cell r="P28">
            <v>38284.619999999995</v>
          </cell>
          <cell r="Q28">
            <v>38284.619999999995</v>
          </cell>
          <cell r="R28">
            <v>38284.619999999995</v>
          </cell>
        </row>
        <row r="29">
          <cell r="D29" t="str">
            <v>Souther Region metering technicians</v>
          </cell>
          <cell r="N29">
            <v>305544.24</v>
          </cell>
          <cell r="O29">
            <v>305544.24</v>
          </cell>
          <cell r="P29">
            <v>305544.24</v>
          </cell>
          <cell r="Q29">
            <v>305544.24</v>
          </cell>
          <cell r="R29">
            <v>305544.24</v>
          </cell>
        </row>
        <row r="30">
          <cell r="D30" t="str">
            <v>New and replacement meter policy</v>
          </cell>
          <cell r="N30">
            <v>-453666.79407002113</v>
          </cell>
          <cell r="O30">
            <v>-584378.3373576405</v>
          </cell>
          <cell r="P30">
            <v>-720093.63052515499</v>
          </cell>
          <cell r="Q30">
            <v>-851995.95956808317</v>
          </cell>
          <cell r="R30">
            <v>-977879.37597572245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Business &amp; other details"/>
      <sheetName val="Intro"/>
      <sheetName val="DMS input"/>
      <sheetName val="Starting prices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>
        <row r="186">
          <cell r="G186">
            <v>8.6157966088687647E-3</v>
          </cell>
          <cell r="H186">
            <v>1.1658097446656412E-2</v>
          </cell>
          <cell r="I186">
            <v>1.2793609940476547E-2</v>
          </cell>
          <cell r="J186">
            <v>1.3814966073065503E-2</v>
          </cell>
          <cell r="K186">
            <v>1.6658603205363609E-2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U34"/>
  <sheetViews>
    <sheetView showGridLines="0" tabSelected="1" workbookViewId="0"/>
  </sheetViews>
  <sheetFormatPr defaultColWidth="0" defaultRowHeight="10.199999999999999" zeroHeight="1"/>
  <cols>
    <col min="1" max="2" width="1.46484375" style="8" customWidth="1"/>
    <col min="3" max="3" width="30.796875" style="8" customWidth="1"/>
    <col min="4" max="4" width="189.6640625" style="8" bestFit="1" customWidth="1"/>
    <col min="5" max="5" width="6.46484375" style="8" customWidth="1"/>
    <col min="6" max="6" width="9.33203125" style="8" hidden="1" customWidth="1"/>
    <col min="7" max="14" width="9.796875" style="8" hidden="1" customWidth="1"/>
    <col min="15" max="15" width="1.46484375" style="8" hidden="1" customWidth="1"/>
    <col min="16" max="16" width="10.46484375" style="8" hidden="1" customWidth="1"/>
    <col min="17" max="17" width="1.46484375" style="8" hidden="1" customWidth="1"/>
    <col min="18" max="16384" width="10.46484375" style="8" hidden="1"/>
  </cols>
  <sheetData>
    <row r="1" spans="1:47" s="1" customFormat="1" ht="15.75" customHeight="1">
      <c r="A1" s="38"/>
      <c r="B1" s="35" t="s">
        <v>101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40</v>
      </c>
      <c r="C2" s="41"/>
      <c r="D2" s="42"/>
      <c r="E2" s="42"/>
    </row>
    <row r="3" spans="1:47" s="6" customFormat="1" ht="3" customHeight="1"/>
    <row r="4" spans="1:47" customFormat="1" ht="12.3">
      <c r="A4" s="43"/>
      <c r="B4" s="51" t="s">
        <v>68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 ht="10.5">
      <c r="C6" s="9" t="s">
        <v>0</v>
      </c>
      <c r="D6" s="9" t="s">
        <v>1</v>
      </c>
    </row>
    <row r="7" spans="1:47">
      <c r="C7" s="19" t="s">
        <v>66</v>
      </c>
      <c r="D7" s="7" t="s">
        <v>67</v>
      </c>
    </row>
    <row r="8" spans="1:47">
      <c r="C8" s="19" t="s">
        <v>34</v>
      </c>
      <c r="D8" s="7" t="s">
        <v>103</v>
      </c>
    </row>
    <row r="9" spans="1:47">
      <c r="C9" s="19" t="s">
        <v>61</v>
      </c>
      <c r="D9" s="7" t="s">
        <v>62</v>
      </c>
    </row>
    <row r="10" spans="1:47">
      <c r="C10" s="19" t="s">
        <v>60</v>
      </c>
      <c r="D10" s="7" t="s">
        <v>50</v>
      </c>
    </row>
    <row r="11" spans="1:47">
      <c r="C11" s="19" t="s">
        <v>65</v>
      </c>
      <c r="D11" s="7" t="s">
        <v>51</v>
      </c>
    </row>
    <row r="12" spans="1:47">
      <c r="C12" s="19" t="s">
        <v>55</v>
      </c>
      <c r="D12" s="7" t="s">
        <v>129</v>
      </c>
    </row>
    <row r="13" spans="1:47">
      <c r="C13" s="19" t="s">
        <v>54</v>
      </c>
      <c r="D13" s="7" t="s">
        <v>63</v>
      </c>
    </row>
    <row r="14" spans="1:47">
      <c r="C14" s="19" t="s">
        <v>53</v>
      </c>
      <c r="D14" s="7" t="s">
        <v>64</v>
      </c>
    </row>
    <row r="15" spans="1:47">
      <c r="C15" s="19" t="s">
        <v>25</v>
      </c>
      <c r="D15" s="7" t="s">
        <v>52</v>
      </c>
    </row>
    <row r="16" spans="1:47" ht="12.9">
      <c r="C16" s="10"/>
      <c r="D16" s="7"/>
    </row>
    <row r="17" spans="1:47" customFormat="1" ht="12.3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9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 xr:uid="{00000000-0004-0000-0000-000000000000}"/>
    <hyperlink ref="C13" location="'Output|Models'!A1" display="Output | Models" xr:uid="{00000000-0004-0000-0000-000001000000}"/>
    <hyperlink ref="C14" location="'Lookup|Tables'!A1" display="Lookup | Tables" xr:uid="{00000000-0004-0000-0000-000002000000}"/>
    <hyperlink ref="C15" location="'Check|List'!A1" display="Check | List" xr:uid="{00000000-0004-0000-0000-000003000000}"/>
    <hyperlink ref="C7" location="'Input|General'!A1" display="Input | General" xr:uid="{00000000-0004-0000-0000-000004000000}"/>
    <hyperlink ref="C9" location="'Input|Reported opex'!A1" display="Input | Reported opex" xr:uid="{00000000-0004-0000-0000-000005000000}"/>
    <hyperlink ref="C10" location="'Input|Rate of change'!A1" display="Input | Rate of change" xr:uid="{00000000-0004-0000-0000-000006000000}"/>
    <hyperlink ref="C11" location="'Input|Step changes'!A1" display="Input | Step changes" xr:uid="{00000000-0004-0000-0000-000007000000}"/>
    <hyperlink ref="C8" location="'Input|Inflation'!A1" display="Input | Inflation" xr:uid="{00000000-0004-0000-0000-000008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AU24"/>
  <sheetViews>
    <sheetView showGridLines="0" workbookViewId="0"/>
  </sheetViews>
  <sheetFormatPr defaultColWidth="0" defaultRowHeight="10.199999999999999" zeroHeight="1"/>
  <cols>
    <col min="1" max="2" width="1.46484375" style="29" customWidth="1"/>
    <col min="3" max="3" width="42" style="29" customWidth="1"/>
    <col min="4" max="4" width="27.6640625" style="30" customWidth="1"/>
    <col min="5" max="5" width="15.796875" style="30" customWidth="1"/>
    <col min="6" max="6" width="10.6640625" style="30" customWidth="1"/>
    <col min="7" max="7" width="16.1328125" style="30" bestFit="1" customWidth="1"/>
    <col min="8" max="9" width="3.33203125" style="30" customWidth="1"/>
    <col min="10" max="23" width="10.796875" style="29" customWidth="1"/>
    <col min="24" max="38" width="10.46484375" style="29" hidden="1" customWidth="1"/>
    <col min="39" max="16384" width="10.46484375" style="29" hidden="1"/>
  </cols>
  <sheetData>
    <row r="1" spans="1:47" s="73" customFormat="1" ht="1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87</v>
      </c>
      <c r="S1" s="80" t="str">
        <f>IF(COUNTA($S$5:$S$13)=COUNTIF($S5:$S14,"OK"),"OK","Check")</f>
        <v>OK</v>
      </c>
      <c r="U1" s="176" t="s">
        <v>24</v>
      </c>
      <c r="V1" s="80" t="str">
        <f>'Check|List'!$S$1</f>
        <v>Ok</v>
      </c>
    </row>
    <row r="2" spans="1:47" s="81" customFormat="1" ht="12.9" thickBot="1">
      <c r="B2" s="82" t="str">
        <f>Index!$C$7</f>
        <v>Input | General</v>
      </c>
      <c r="C2" s="82"/>
      <c r="D2" s="82"/>
      <c r="E2" s="82"/>
      <c r="F2" s="83"/>
      <c r="G2" s="83"/>
      <c r="H2" s="83"/>
      <c r="I2" s="83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8" customFormat="1" ht="12.3">
      <c r="A4" s="99"/>
      <c r="B4" s="100" t="s">
        <v>99</v>
      </c>
      <c r="C4" s="99"/>
      <c r="D4" s="99"/>
      <c r="E4" s="99"/>
      <c r="F4" s="101"/>
      <c r="G4" s="101"/>
      <c r="H4" s="101"/>
      <c r="I4" s="101"/>
      <c r="J4" s="102"/>
      <c r="K4" s="103"/>
      <c r="L4" s="102"/>
      <c r="M4" s="103"/>
      <c r="N4" s="102"/>
      <c r="O4" s="102"/>
      <c r="P4" s="102"/>
      <c r="Q4" s="102"/>
      <c r="R4" s="102"/>
      <c r="S4" s="102"/>
      <c r="T4" s="102"/>
      <c r="U4" s="102"/>
      <c r="V4" s="103"/>
      <c r="W4" s="103"/>
      <c r="X4" s="104"/>
      <c r="Y4" s="104"/>
      <c r="Z4" s="104"/>
      <c r="AA4" s="104"/>
      <c r="AB4" s="105"/>
      <c r="AC4" s="106"/>
      <c r="AD4" s="106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</row>
    <row r="5" spans="1:47"/>
    <row r="6" spans="1:47" ht="10.5">
      <c r="C6" s="31" t="s">
        <v>100</v>
      </c>
      <c r="D6" s="32" t="s">
        <v>7</v>
      </c>
      <c r="E6" s="32"/>
      <c r="F6" s="33"/>
      <c r="G6" s="33" t="s">
        <v>74</v>
      </c>
      <c r="H6" s="33"/>
      <c r="I6" s="29"/>
    </row>
    <row r="7" spans="1:47" ht="10.5">
      <c r="C7" s="29" t="s">
        <v>69</v>
      </c>
      <c r="D7" s="30" t="s">
        <v>124</v>
      </c>
      <c r="E7" s="29"/>
      <c r="F7" s="29"/>
      <c r="G7" s="52" t="s">
        <v>124</v>
      </c>
      <c r="H7" s="29"/>
      <c r="I7" s="29"/>
      <c r="S7" s="139" t="str">
        <f t="shared" ref="S7:S12" si="0">IF(COUNTBLANK($G7),"Check","Ok")</f>
        <v>Ok</v>
      </c>
    </row>
    <row r="8" spans="1:47" ht="10.5">
      <c r="C8" s="29" t="s">
        <v>70</v>
      </c>
      <c r="D8" s="182" t="s">
        <v>124</v>
      </c>
      <c r="E8" s="29"/>
      <c r="F8" s="29"/>
      <c r="G8" s="167">
        <v>2015</v>
      </c>
      <c r="H8" s="29"/>
      <c r="I8" s="29"/>
      <c r="S8" s="139" t="str">
        <f t="shared" si="0"/>
        <v>Ok</v>
      </c>
    </row>
    <row r="9" spans="1:47" ht="10.5">
      <c r="C9" s="29" t="s">
        <v>77</v>
      </c>
      <c r="D9" s="182" t="s">
        <v>124</v>
      </c>
      <c r="E9" s="29"/>
      <c r="F9" s="29"/>
      <c r="G9" s="167">
        <v>2018</v>
      </c>
      <c r="H9" s="29"/>
      <c r="I9" s="29"/>
      <c r="S9" s="139" t="str">
        <f t="shared" si="0"/>
        <v>Ok</v>
      </c>
    </row>
    <row r="10" spans="1:47" ht="10.5">
      <c r="C10" s="29" t="s">
        <v>71</v>
      </c>
      <c r="D10" s="182" t="s">
        <v>124</v>
      </c>
      <c r="E10" s="29"/>
      <c r="F10" s="29"/>
      <c r="G10" s="167">
        <v>2019</v>
      </c>
      <c r="H10" s="29"/>
      <c r="I10" s="29"/>
      <c r="S10" s="139" t="str">
        <f t="shared" si="0"/>
        <v>Ok</v>
      </c>
    </row>
    <row r="11" spans="1:47" ht="10.5">
      <c r="C11" s="29" t="s">
        <v>72</v>
      </c>
      <c r="D11" s="182" t="s">
        <v>124</v>
      </c>
      <c r="E11" s="29"/>
      <c r="F11" s="29"/>
      <c r="G11" s="167">
        <v>2020</v>
      </c>
      <c r="H11" s="29"/>
      <c r="I11" s="29"/>
      <c r="S11" s="139" t="str">
        <f t="shared" si="0"/>
        <v>Ok</v>
      </c>
    </row>
    <row r="12" spans="1:47" ht="10.5">
      <c r="C12" s="29" t="s">
        <v>73</v>
      </c>
      <c r="D12" s="182" t="s">
        <v>124</v>
      </c>
      <c r="E12" s="29"/>
      <c r="F12" s="29"/>
      <c r="G12" s="167">
        <v>2024</v>
      </c>
      <c r="H12" s="29"/>
      <c r="I12" s="29"/>
      <c r="S12" s="139" t="str">
        <f t="shared" si="0"/>
        <v>Ok</v>
      </c>
    </row>
    <row r="13" spans="1:47">
      <c r="D13" s="29"/>
      <c r="E13" s="29"/>
      <c r="F13" s="29"/>
      <c r="G13" s="29"/>
      <c r="H13" s="29"/>
      <c r="I13" s="29"/>
    </row>
    <row r="14" spans="1:47" s="108" customFormat="1" ht="12.3">
      <c r="A14" s="99"/>
      <c r="B14" s="100" t="s">
        <v>21</v>
      </c>
      <c r="C14" s="99"/>
      <c r="D14" s="99"/>
      <c r="E14" s="99"/>
      <c r="F14" s="101"/>
      <c r="G14" s="101"/>
      <c r="H14" s="101"/>
      <c r="I14" s="101"/>
      <c r="J14" s="102"/>
      <c r="K14" s="103"/>
      <c r="L14" s="102"/>
      <c r="M14" s="103"/>
      <c r="N14" s="102"/>
      <c r="O14" s="102"/>
      <c r="P14" s="102"/>
      <c r="Q14" s="102"/>
      <c r="R14" s="102"/>
      <c r="S14" s="102"/>
      <c r="T14" s="102"/>
      <c r="U14" s="102"/>
      <c r="V14" s="103"/>
      <c r="W14" s="103"/>
      <c r="X14" s="104"/>
      <c r="Y14" s="104"/>
      <c r="Z14" s="104"/>
      <c r="AA14" s="104"/>
      <c r="AB14" s="105"/>
      <c r="AC14" s="106"/>
      <c r="AD14" s="106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</row>
    <row r="15" spans="1:47" hidden="1">
      <c r="G15" s="32"/>
      <c r="H15" s="32"/>
    </row>
    <row r="16" spans="1:47" hidden="1">
      <c r="G16" s="32"/>
      <c r="H16" s="3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</sheetData>
  <conditionalFormatting sqref="W12:W13">
    <cfRule type="cellIs" dxfId="104" priority="13" operator="equal">
      <formula>"Check"</formula>
    </cfRule>
    <cfRule type="cellIs" dxfId="103" priority="14" operator="equal">
      <formula>"Ok"</formula>
    </cfRule>
  </conditionalFormatting>
  <conditionalFormatting sqref="V1">
    <cfRule type="cellIs" dxfId="102" priority="3" operator="equal">
      <formula>"Check"</formula>
    </cfRule>
    <cfRule type="cellIs" dxfId="101" priority="4" operator="equal">
      <formula>"Ok"</formula>
    </cfRule>
  </conditionalFormatting>
  <conditionalFormatting sqref="S7:S12">
    <cfRule type="cellIs" dxfId="100" priority="5" operator="equal">
      <formula>"Check"</formula>
    </cfRule>
    <cfRule type="cellIs" dxfId="99" priority="6" operator="equal">
      <formula>"Ok"</formula>
    </cfRule>
  </conditionalFormatting>
  <conditionalFormatting sqref="S1">
    <cfRule type="cellIs" dxfId="98" priority="1" operator="equal">
      <formula>"Check"</formula>
    </cfRule>
    <cfRule type="cellIs" dxfId="97" priority="2" operator="equal">
      <formula>"Ok"</formula>
    </cfRule>
  </conditionalFormatting>
  <dataValidations count="3">
    <dataValidation type="list" allowBlank="1" showInputMessage="1" showErrorMessage="1" sqref="F10:F11" xr:uid="{00000000-0002-0000-0100-000000000000}">
      <formula1>#REF!</formula1>
    </dataValidation>
    <dataValidation type="list" allowBlank="1" showInputMessage="1" showErrorMessage="1" sqref="F12:F13" xr:uid="{00000000-0002-0000-0100-000001000000}">
      <formula1>"Real 2010,Real 2011,Real 2012,Real 2013,Real 2014,Real 2015,Nominal"</formula1>
    </dataValidation>
    <dataValidation type="list" allowBlank="1" showInputMessage="1" showErrorMessage="1" sqref="I10:I13" xr:uid="{00000000-0002-0000-0100-000002000000}">
      <formula1>#REF!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'Lookup|Tables'!$G$28:$G$42</xm:f>
          </x14:formula1>
          <xm:sqref>G8:G12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U70"/>
  <sheetViews>
    <sheetView showGridLines="0" workbookViewId="0"/>
  </sheetViews>
  <sheetFormatPr defaultColWidth="0" defaultRowHeight="11.25" customHeight="1" zeroHeight="1"/>
  <cols>
    <col min="1" max="2" width="1.46484375" style="29" customWidth="1"/>
    <col min="3" max="3" width="11.6640625" style="29" bestFit="1" customWidth="1"/>
    <col min="4" max="4" width="21.46484375" style="30" bestFit="1" customWidth="1"/>
    <col min="5" max="8" width="15" style="30" customWidth="1"/>
    <col min="9" max="9" width="3.33203125" style="30" customWidth="1"/>
    <col min="10" max="23" width="10.796875" style="29" customWidth="1"/>
    <col min="24" max="38" width="10.46484375" style="29" hidden="1" customWidth="1"/>
    <col min="39" max="16384" width="10.46484375" style="29" hidden="1"/>
  </cols>
  <sheetData>
    <row r="1" spans="1:47" s="73" customFormat="1" ht="1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87</v>
      </c>
      <c r="S1" s="80" t="str">
        <f>IF(COUNTA($S$5:$S$60)=COUNTIF($S5:$S60,"OK"),"OK","Check")</f>
        <v>OK</v>
      </c>
      <c r="U1" s="176" t="s">
        <v>24</v>
      </c>
      <c r="V1" s="80" t="str">
        <f>'Check|List'!$S$1</f>
        <v>Ok</v>
      </c>
    </row>
    <row r="2" spans="1:47" s="81" customFormat="1" ht="12.9" thickBot="1">
      <c r="B2" s="82" t="str">
        <f>Index!$C$7</f>
        <v>Input | General</v>
      </c>
      <c r="C2" s="82"/>
      <c r="D2" s="82"/>
      <c r="E2" s="82"/>
      <c r="F2" s="83"/>
      <c r="G2" s="83"/>
      <c r="H2" s="83"/>
      <c r="I2" s="83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8" customFormat="1" ht="12.3">
      <c r="A4" s="99"/>
      <c r="B4" s="100" t="s">
        <v>99</v>
      </c>
      <c r="C4" s="99"/>
      <c r="D4" s="99"/>
      <c r="E4" s="99"/>
      <c r="F4" s="101"/>
      <c r="G4" s="101"/>
      <c r="H4" s="101"/>
      <c r="I4" s="101"/>
      <c r="J4" s="102"/>
      <c r="K4" s="103"/>
      <c r="L4" s="102"/>
      <c r="M4" s="103"/>
      <c r="N4" s="102"/>
      <c r="O4" s="102"/>
      <c r="P4" s="102"/>
      <c r="Q4" s="102"/>
      <c r="R4" s="102"/>
      <c r="S4" s="102"/>
      <c r="T4" s="102"/>
      <c r="U4" s="102"/>
      <c r="V4" s="103"/>
      <c r="W4" s="103"/>
      <c r="X4" s="104"/>
      <c r="Y4" s="104"/>
      <c r="Z4" s="104"/>
      <c r="AA4" s="104"/>
      <c r="AB4" s="105"/>
      <c r="AC4" s="106"/>
      <c r="AD4" s="106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</row>
    <row r="5" spans="1:47" ht="11.25" customHeight="1"/>
    <row r="6" spans="1:47" ht="20.399999999999999">
      <c r="D6" s="65" t="s">
        <v>104</v>
      </c>
      <c r="E6" s="65" t="s">
        <v>105</v>
      </c>
      <c r="F6" s="65"/>
      <c r="G6" s="65"/>
      <c r="H6" s="29"/>
      <c r="I6" s="29"/>
    </row>
    <row r="7" spans="1:47" ht="10.5">
      <c r="C7" s="70" t="s">
        <v>7</v>
      </c>
      <c r="D7" s="69" t="s">
        <v>102</v>
      </c>
      <c r="E7" s="69" t="s">
        <v>102</v>
      </c>
      <c r="F7" s="69"/>
      <c r="G7" s="69"/>
      <c r="H7" s="29"/>
      <c r="I7" s="29"/>
    </row>
    <row r="8" spans="1:47" ht="10.5">
      <c r="C8" s="70" t="s">
        <v>8</v>
      </c>
      <c r="D8" s="69" t="s">
        <v>88</v>
      </c>
      <c r="E8" s="69" t="s">
        <v>88</v>
      </c>
      <c r="F8" s="69"/>
      <c r="G8" s="69"/>
      <c r="H8" s="29"/>
      <c r="I8" s="29"/>
    </row>
    <row r="9" spans="1:47" ht="10.5">
      <c r="C9" s="67">
        <v>39172</v>
      </c>
      <c r="D9" s="66">
        <v>155.6</v>
      </c>
      <c r="E9" s="29"/>
      <c r="F9" s="29"/>
      <c r="G9" s="29"/>
      <c r="H9" s="29"/>
      <c r="I9" s="29"/>
      <c r="S9" s="139" t="str">
        <f t="shared" ref="S9:S20" si="0">IF(COUNTBLANK($D9),"Check","Ok")</f>
        <v>Ok</v>
      </c>
    </row>
    <row r="10" spans="1:47" ht="10.5">
      <c r="C10" s="67">
        <v>39263</v>
      </c>
      <c r="D10" s="66">
        <v>157.5</v>
      </c>
      <c r="E10" s="29"/>
      <c r="F10" s="29"/>
      <c r="G10" s="29"/>
      <c r="H10" s="29"/>
      <c r="I10" s="29"/>
      <c r="S10" s="139" t="str">
        <f t="shared" si="0"/>
        <v>Ok</v>
      </c>
    </row>
    <row r="11" spans="1:47" ht="10.5">
      <c r="C11" s="67">
        <v>39355</v>
      </c>
      <c r="D11" s="66">
        <v>158.6</v>
      </c>
      <c r="E11" s="29"/>
      <c r="F11" s="29"/>
      <c r="G11" s="29"/>
      <c r="H11" s="29"/>
      <c r="I11" s="29"/>
      <c r="S11" s="139" t="str">
        <f t="shared" si="0"/>
        <v>Ok</v>
      </c>
    </row>
    <row r="12" spans="1:47" ht="10.5">
      <c r="C12" s="67">
        <v>39447</v>
      </c>
      <c r="D12" s="66">
        <v>160.1</v>
      </c>
      <c r="E12" s="29"/>
      <c r="F12" s="68"/>
      <c r="G12" s="29"/>
      <c r="H12" s="29"/>
      <c r="I12" s="29"/>
      <c r="S12" s="139" t="str">
        <f t="shared" si="0"/>
        <v>Ok</v>
      </c>
    </row>
    <row r="13" spans="1:47" ht="10.5">
      <c r="C13" s="67">
        <v>39538</v>
      </c>
      <c r="D13" s="66">
        <v>162.19999999999999</v>
      </c>
      <c r="E13" s="29"/>
      <c r="F13" s="68"/>
      <c r="G13" s="29"/>
      <c r="H13" s="29"/>
      <c r="I13" s="29"/>
      <c r="S13" s="139" t="str">
        <f t="shared" si="0"/>
        <v>Ok</v>
      </c>
    </row>
    <row r="14" spans="1:47" ht="10.5">
      <c r="C14" s="67">
        <v>39629</v>
      </c>
      <c r="D14" s="66">
        <v>164.6</v>
      </c>
      <c r="E14" s="29"/>
      <c r="F14" s="68"/>
      <c r="G14" s="29"/>
      <c r="H14" s="29"/>
      <c r="I14" s="29"/>
      <c r="S14" s="139" t="str">
        <f t="shared" si="0"/>
        <v>Ok</v>
      </c>
    </row>
    <row r="15" spans="1:47" ht="10.5">
      <c r="C15" s="67">
        <v>39721</v>
      </c>
      <c r="D15" s="66">
        <v>166.5</v>
      </c>
      <c r="E15" s="29"/>
      <c r="F15" s="68"/>
      <c r="G15" s="29"/>
      <c r="H15" s="29"/>
      <c r="I15" s="29"/>
      <c r="S15" s="139" t="str">
        <f t="shared" si="0"/>
        <v>Ok</v>
      </c>
    </row>
    <row r="16" spans="1:47" ht="10.5">
      <c r="C16" s="67">
        <v>39813</v>
      </c>
      <c r="D16" s="66">
        <v>166</v>
      </c>
      <c r="E16" s="29"/>
      <c r="F16" s="68"/>
      <c r="G16" s="29"/>
      <c r="H16" s="29"/>
      <c r="I16" s="29"/>
      <c r="S16" s="139" t="str">
        <f t="shared" si="0"/>
        <v>Ok</v>
      </c>
    </row>
    <row r="17" spans="3:19" ht="10.5">
      <c r="C17" s="67">
        <v>39903</v>
      </c>
      <c r="D17" s="66">
        <v>166.2</v>
      </c>
      <c r="E17" s="29"/>
      <c r="F17" s="68"/>
      <c r="G17" s="29"/>
      <c r="H17" s="29"/>
      <c r="I17" s="29"/>
      <c r="S17" s="139" t="str">
        <f t="shared" si="0"/>
        <v>Ok</v>
      </c>
    </row>
    <row r="18" spans="3:19" ht="10.5">
      <c r="C18" s="67">
        <v>39994</v>
      </c>
      <c r="D18" s="66">
        <v>167</v>
      </c>
      <c r="E18" s="29"/>
      <c r="F18" s="68"/>
      <c r="G18" s="29"/>
      <c r="H18" s="29"/>
      <c r="I18" s="29"/>
      <c r="S18" s="139" t="str">
        <f t="shared" si="0"/>
        <v>Ok</v>
      </c>
    </row>
    <row r="19" spans="3:19" ht="10.5">
      <c r="C19" s="67">
        <v>40086</v>
      </c>
      <c r="D19" s="66">
        <v>168.6</v>
      </c>
      <c r="E19" s="29"/>
      <c r="F19" s="68"/>
      <c r="G19" s="29"/>
      <c r="H19" s="29"/>
      <c r="I19" s="29"/>
      <c r="S19" s="139" t="str">
        <f t="shared" si="0"/>
        <v>Ok</v>
      </c>
    </row>
    <row r="20" spans="3:19" ht="10.5">
      <c r="C20" s="67">
        <v>40178</v>
      </c>
      <c r="D20" s="66">
        <v>169.5</v>
      </c>
      <c r="E20" s="29"/>
      <c r="F20" s="68"/>
      <c r="G20" s="29"/>
      <c r="H20" s="29"/>
      <c r="I20" s="29"/>
      <c r="S20" s="139" t="str">
        <f t="shared" si="0"/>
        <v>Ok</v>
      </c>
    </row>
    <row r="21" spans="3:19" ht="10.5">
      <c r="C21" s="67">
        <v>40268</v>
      </c>
      <c r="D21" s="66">
        <v>171</v>
      </c>
      <c r="E21" s="66">
        <v>95.2</v>
      </c>
      <c r="F21" s="68"/>
      <c r="G21" s="68"/>
      <c r="H21" s="29"/>
      <c r="I21" s="29"/>
      <c r="S21" s="139" t="str">
        <f t="shared" ref="S21:S28" si="1">IF(COUNTBLANK($D21:$E21),"Check","Ok")</f>
        <v>Ok</v>
      </c>
    </row>
    <row r="22" spans="3:19" ht="10.5">
      <c r="C22" s="67">
        <v>40359</v>
      </c>
      <c r="D22" s="66">
        <v>172.1</v>
      </c>
      <c r="E22" s="66">
        <v>95.8</v>
      </c>
      <c r="F22" s="68"/>
      <c r="G22" s="68"/>
      <c r="H22" s="29"/>
      <c r="I22" s="29"/>
      <c r="S22" s="139" t="str">
        <f t="shared" si="1"/>
        <v>Ok</v>
      </c>
    </row>
    <row r="23" spans="3:19" ht="10.5">
      <c r="C23" s="67">
        <v>40451</v>
      </c>
      <c r="D23" s="66">
        <v>173.3</v>
      </c>
      <c r="E23" s="66">
        <v>96.5</v>
      </c>
      <c r="F23" s="68"/>
      <c r="G23" s="68"/>
      <c r="H23" s="29"/>
      <c r="I23" s="29"/>
      <c r="S23" s="139" t="str">
        <f t="shared" si="1"/>
        <v>Ok</v>
      </c>
    </row>
    <row r="24" spans="3:19" ht="10.5">
      <c r="C24" s="67">
        <v>40543</v>
      </c>
      <c r="D24" s="66">
        <v>174</v>
      </c>
      <c r="E24" s="66">
        <v>96.9</v>
      </c>
      <c r="F24" s="68"/>
      <c r="G24" s="68"/>
      <c r="H24" s="29"/>
      <c r="I24" s="29"/>
      <c r="S24" s="139" t="str">
        <f t="shared" si="1"/>
        <v>Ok</v>
      </c>
    </row>
    <row r="25" spans="3:19" ht="10.5">
      <c r="C25" s="67">
        <v>40633</v>
      </c>
      <c r="D25" s="66">
        <v>176.7</v>
      </c>
      <c r="E25" s="66">
        <v>98.3</v>
      </c>
      <c r="F25" s="68"/>
      <c r="G25" s="68"/>
      <c r="H25" s="29"/>
      <c r="I25" s="29"/>
      <c r="S25" s="139" t="str">
        <f t="shared" si="1"/>
        <v>Ok</v>
      </c>
    </row>
    <row r="26" spans="3:19" ht="10.5">
      <c r="C26" s="67">
        <v>40724</v>
      </c>
      <c r="D26" s="66">
        <v>178.3</v>
      </c>
      <c r="E26" s="66">
        <v>99.2</v>
      </c>
      <c r="F26" s="68"/>
      <c r="G26" s="68"/>
      <c r="H26" s="29"/>
      <c r="I26" s="29"/>
      <c r="S26" s="139" t="str">
        <f t="shared" si="1"/>
        <v>Ok</v>
      </c>
    </row>
    <row r="27" spans="3:19" ht="10.5">
      <c r="C27" s="67">
        <v>40816</v>
      </c>
      <c r="D27" s="66">
        <v>179.4</v>
      </c>
      <c r="E27" s="66">
        <v>99.8</v>
      </c>
      <c r="F27" s="68"/>
      <c r="G27" s="68"/>
      <c r="H27" s="29"/>
      <c r="I27" s="29"/>
      <c r="S27" s="139" t="str">
        <f t="shared" si="1"/>
        <v>Ok</v>
      </c>
    </row>
    <row r="28" spans="3:19" ht="10.5">
      <c r="C28" s="67">
        <v>40908</v>
      </c>
      <c r="D28" s="66">
        <v>179.4</v>
      </c>
      <c r="E28" s="66">
        <v>99.8</v>
      </c>
      <c r="F28" s="68"/>
      <c r="G28" s="68"/>
      <c r="H28" s="29"/>
      <c r="I28" s="29"/>
      <c r="S28" s="139" t="str">
        <f t="shared" si="1"/>
        <v>Ok</v>
      </c>
    </row>
    <row r="29" spans="3:19" ht="10.5">
      <c r="C29" s="67">
        <v>40999</v>
      </c>
      <c r="D29" s="66">
        <v>179.5</v>
      </c>
      <c r="E29" s="66">
        <v>99.9</v>
      </c>
      <c r="F29" s="68"/>
      <c r="G29" s="68"/>
      <c r="H29" s="29"/>
      <c r="I29" s="29"/>
      <c r="S29" s="139" t="str">
        <f>IF(COUNTBLANK($E29),"Check","Ok")</f>
        <v>Ok</v>
      </c>
    </row>
    <row r="30" spans="3:19" ht="10.5">
      <c r="C30" s="67">
        <v>41090</v>
      </c>
      <c r="D30" s="29"/>
      <c r="E30" s="66">
        <v>100.4</v>
      </c>
      <c r="F30" s="68"/>
      <c r="G30" s="68"/>
      <c r="H30" s="29"/>
      <c r="I30" s="29"/>
      <c r="S30" s="139" t="str">
        <f>IF(COUNTBLANK($E30),"Check","Ok")</f>
        <v>Ok</v>
      </c>
    </row>
    <row r="31" spans="3:19" ht="10.5">
      <c r="C31" s="67">
        <v>41182</v>
      </c>
      <c r="D31" s="29"/>
      <c r="E31" s="66">
        <v>101.8</v>
      </c>
      <c r="F31" s="68"/>
      <c r="G31" s="68"/>
      <c r="H31" s="29"/>
      <c r="I31" s="29"/>
      <c r="S31" s="139" t="str">
        <f>IF(COUNTBLANK($E31),"Check","Ok")</f>
        <v>Ok</v>
      </c>
    </row>
    <row r="32" spans="3:19" ht="10.5">
      <c r="C32" s="67">
        <v>41274</v>
      </c>
      <c r="D32" s="29"/>
      <c r="E32" s="66">
        <v>102</v>
      </c>
      <c r="F32" s="68"/>
      <c r="G32" s="68"/>
      <c r="H32" s="29"/>
      <c r="I32" s="29"/>
      <c r="S32" s="139" t="str">
        <f>IF(COUNTBLANK($E32),"Check","Ok")</f>
        <v>Ok</v>
      </c>
    </row>
    <row r="33" spans="3:19" ht="10.5">
      <c r="C33" s="67">
        <v>41364</v>
      </c>
      <c r="D33" s="29"/>
      <c r="E33" s="66">
        <v>102.4</v>
      </c>
      <c r="F33" s="68"/>
      <c r="G33" s="68"/>
      <c r="H33" s="29"/>
      <c r="I33" s="29"/>
      <c r="S33" s="139" t="str">
        <f t="shared" ref="S33:S58" si="2">IF(COUNTBLANK($E33),"Check","Ok")</f>
        <v>Ok</v>
      </c>
    </row>
    <row r="34" spans="3:19" ht="10.5">
      <c r="C34" s="67">
        <v>41455</v>
      </c>
      <c r="D34" s="29"/>
      <c r="E34" s="66">
        <v>102.8</v>
      </c>
      <c r="F34" s="68"/>
      <c r="G34" s="68"/>
      <c r="H34" s="29"/>
      <c r="I34" s="29"/>
      <c r="S34" s="139" t="str">
        <f t="shared" si="2"/>
        <v>Ok</v>
      </c>
    </row>
    <row r="35" spans="3:19" ht="10.5">
      <c r="C35" s="67">
        <v>41547</v>
      </c>
      <c r="D35" s="29"/>
      <c r="E35" s="66">
        <v>104</v>
      </c>
      <c r="F35" s="68"/>
      <c r="G35" s="68"/>
      <c r="H35" s="29"/>
      <c r="I35" s="29"/>
      <c r="S35" s="139" t="str">
        <f t="shared" si="2"/>
        <v>Ok</v>
      </c>
    </row>
    <row r="36" spans="3:19" ht="10.5">
      <c r="C36" s="67">
        <v>41639</v>
      </c>
      <c r="D36" s="29"/>
      <c r="E36" s="66">
        <v>104.8</v>
      </c>
      <c r="F36" s="68"/>
      <c r="G36" s="68"/>
      <c r="H36" s="29"/>
      <c r="I36" s="29"/>
      <c r="S36" s="139" t="str">
        <f t="shared" si="2"/>
        <v>Ok</v>
      </c>
    </row>
    <row r="37" spans="3:19" ht="10.5">
      <c r="C37" s="67">
        <v>41729</v>
      </c>
      <c r="D37" s="29"/>
      <c r="E37" s="66">
        <v>105.4</v>
      </c>
      <c r="F37" s="68"/>
      <c r="G37" s="68"/>
      <c r="H37" s="29"/>
      <c r="I37" s="29"/>
      <c r="S37" s="139" t="str">
        <f t="shared" si="2"/>
        <v>Ok</v>
      </c>
    </row>
    <row r="38" spans="3:19" ht="10.5">
      <c r="C38" s="67">
        <v>41820</v>
      </c>
      <c r="D38" s="29"/>
      <c r="E38" s="66">
        <v>105.9</v>
      </c>
      <c r="F38" s="68"/>
      <c r="G38" s="68"/>
      <c r="H38" s="29"/>
      <c r="I38" s="29"/>
      <c r="S38" s="139" t="str">
        <f t="shared" si="2"/>
        <v>Ok</v>
      </c>
    </row>
    <row r="39" spans="3:19" ht="10.5">
      <c r="C39" s="67">
        <v>41912</v>
      </c>
      <c r="D39" s="29"/>
      <c r="E39" s="66">
        <v>106.4</v>
      </c>
      <c r="F39" s="68"/>
      <c r="G39" s="68"/>
      <c r="H39" s="29"/>
      <c r="I39" s="29"/>
      <c r="S39" s="139" t="str">
        <f t="shared" si="2"/>
        <v>Ok</v>
      </c>
    </row>
    <row r="40" spans="3:19" ht="10.5">
      <c r="C40" s="67">
        <v>42004</v>
      </c>
      <c r="D40" s="29"/>
      <c r="E40" s="66">
        <v>106.6</v>
      </c>
      <c r="F40" s="68"/>
      <c r="G40" s="68"/>
      <c r="H40" s="29"/>
      <c r="I40" s="29"/>
      <c r="S40" s="139" t="str">
        <f t="shared" si="2"/>
        <v>Ok</v>
      </c>
    </row>
    <row r="41" spans="3:19" ht="10.5">
      <c r="C41" s="67">
        <v>42094</v>
      </c>
      <c r="D41" s="29"/>
      <c r="E41" s="66">
        <v>106.8</v>
      </c>
      <c r="F41" s="68"/>
      <c r="G41" s="68"/>
      <c r="H41" s="29"/>
      <c r="I41" s="29"/>
      <c r="S41" s="139" t="str">
        <f t="shared" si="2"/>
        <v>Ok</v>
      </c>
    </row>
    <row r="42" spans="3:19" ht="10.5">
      <c r="C42" s="67">
        <v>42185</v>
      </c>
      <c r="D42" s="29"/>
      <c r="E42" s="66">
        <v>107.5</v>
      </c>
      <c r="F42" s="68"/>
      <c r="G42" s="68"/>
      <c r="H42" s="29"/>
      <c r="I42" s="29"/>
      <c r="S42" s="139" t="str">
        <f t="shared" si="2"/>
        <v>Ok</v>
      </c>
    </row>
    <row r="43" spans="3:19" ht="10.5">
      <c r="C43" s="67">
        <v>42277</v>
      </c>
      <c r="D43" s="29"/>
      <c r="E43" s="66">
        <v>108</v>
      </c>
      <c r="F43" s="68"/>
      <c r="G43" s="68"/>
      <c r="H43" s="29"/>
      <c r="I43" s="29"/>
      <c r="S43" s="139" t="str">
        <f t="shared" si="2"/>
        <v>Ok</v>
      </c>
    </row>
    <row r="44" spans="3:19" ht="10.5">
      <c r="C44" s="67">
        <v>42369</v>
      </c>
      <c r="D44" s="29"/>
      <c r="E44" s="66">
        <v>108.4</v>
      </c>
      <c r="F44" s="68"/>
      <c r="G44" s="68"/>
      <c r="H44" s="29"/>
      <c r="I44" s="29"/>
      <c r="S44" s="139" t="str">
        <f t="shared" si="2"/>
        <v>Ok</v>
      </c>
    </row>
    <row r="45" spans="3:19" ht="10.5">
      <c r="C45" s="67">
        <v>42460</v>
      </c>
      <c r="D45" s="29"/>
      <c r="E45" s="66">
        <v>108.2</v>
      </c>
      <c r="F45" s="68"/>
      <c r="G45" s="68"/>
      <c r="H45" s="29"/>
      <c r="I45" s="29"/>
      <c r="S45" s="139" t="str">
        <f t="shared" si="2"/>
        <v>Ok</v>
      </c>
    </row>
    <row r="46" spans="3:19" ht="10.5">
      <c r="C46" s="67">
        <v>42551</v>
      </c>
      <c r="D46" s="29"/>
      <c r="E46" s="66">
        <v>108.6</v>
      </c>
      <c r="F46" s="164"/>
      <c r="G46" s="68"/>
      <c r="H46" s="29"/>
      <c r="I46" s="29"/>
      <c r="S46" s="139" t="str">
        <f t="shared" si="2"/>
        <v>Ok</v>
      </c>
    </row>
    <row r="47" spans="3:19" ht="10.5">
      <c r="C47" s="67">
        <v>42643</v>
      </c>
      <c r="D47" s="29"/>
      <c r="E47" s="66">
        <v>109.4</v>
      </c>
      <c r="F47" s="164"/>
      <c r="G47" s="68"/>
      <c r="H47" s="29"/>
      <c r="I47" s="29"/>
      <c r="S47" s="139" t="str">
        <f t="shared" si="2"/>
        <v>Ok</v>
      </c>
    </row>
    <row r="48" spans="3:19" ht="10.5">
      <c r="C48" s="67">
        <v>42735</v>
      </c>
      <c r="D48" s="29"/>
      <c r="E48" s="66">
        <v>110</v>
      </c>
      <c r="F48" s="164"/>
      <c r="G48" s="68"/>
      <c r="H48" s="29"/>
      <c r="I48" s="29"/>
      <c r="S48" s="139" t="str">
        <f t="shared" si="2"/>
        <v>Ok</v>
      </c>
    </row>
    <row r="49" spans="1:47" ht="10.5">
      <c r="C49" s="67">
        <v>42825</v>
      </c>
      <c r="D49" s="29"/>
      <c r="E49" s="66">
        <v>110.5</v>
      </c>
      <c r="F49" s="164"/>
      <c r="G49" s="68"/>
      <c r="H49" s="29"/>
      <c r="I49" s="29"/>
      <c r="S49" s="139" t="str">
        <f t="shared" si="2"/>
        <v>Ok</v>
      </c>
    </row>
    <row r="50" spans="1:47" ht="10.5">
      <c r="C50" s="67">
        <v>42916</v>
      </c>
      <c r="D50" s="29"/>
      <c r="E50" s="66">
        <v>110.7</v>
      </c>
      <c r="F50" s="164"/>
      <c r="G50" s="68"/>
      <c r="H50" s="29"/>
      <c r="I50" s="29"/>
      <c r="S50" s="139" t="str">
        <f t="shared" si="2"/>
        <v>Ok</v>
      </c>
    </row>
    <row r="51" spans="1:47" ht="10.5">
      <c r="C51" s="67">
        <v>43008</v>
      </c>
      <c r="D51" s="29"/>
      <c r="E51" s="66">
        <f>'[1]Input|Inflation'!E51</f>
        <v>111.45</v>
      </c>
      <c r="F51" s="164" t="str">
        <f>'[1]Input|Inflation'!F51</f>
        <v>Interpolated</v>
      </c>
      <c r="G51" s="68"/>
      <c r="H51" s="29"/>
      <c r="I51" s="29"/>
      <c r="S51" s="139" t="str">
        <f t="shared" si="2"/>
        <v>Ok</v>
      </c>
    </row>
    <row r="52" spans="1:47" ht="10.5">
      <c r="C52" s="67">
        <v>43100</v>
      </c>
      <c r="D52" s="29"/>
      <c r="E52" s="66">
        <f>'[1]Input|Inflation'!E52</f>
        <v>112.2</v>
      </c>
      <c r="F52" s="164" t="str">
        <f>'[1]Input|Inflation'!F52</f>
        <v>RBA statement of monetary policy November 2017</v>
      </c>
      <c r="G52" s="68"/>
      <c r="H52" s="29"/>
      <c r="I52" s="29"/>
      <c r="S52" s="139" t="str">
        <f t="shared" si="2"/>
        <v>Ok</v>
      </c>
    </row>
    <row r="53" spans="1:47" ht="10.5">
      <c r="C53" s="67">
        <v>43190</v>
      </c>
      <c r="D53" s="29"/>
      <c r="E53" s="66">
        <f>'[1]Input|Inflation'!E53</f>
        <v>112.557</v>
      </c>
      <c r="F53" s="164" t="str">
        <f>'[1]Input|Inflation'!F53</f>
        <v>Interpolated</v>
      </c>
      <c r="G53" s="68"/>
      <c r="H53" s="29"/>
      <c r="I53" s="29"/>
      <c r="S53" s="139" t="str">
        <f t="shared" si="2"/>
        <v>Ok</v>
      </c>
    </row>
    <row r="54" spans="1:47" ht="10.5">
      <c r="C54" s="67">
        <v>43281</v>
      </c>
      <c r="D54" s="29"/>
      <c r="E54" s="66">
        <f>'[1]Input|Inflation'!E54</f>
        <v>112.914</v>
      </c>
      <c r="F54" s="164" t="str">
        <f>'[1]Input|Inflation'!F54</f>
        <v>RBA statement of monetary policy November 2017</v>
      </c>
      <c r="G54" s="68"/>
      <c r="H54" s="29"/>
      <c r="I54" s="29"/>
      <c r="S54" s="139" t="str">
        <f t="shared" si="2"/>
        <v>Ok</v>
      </c>
    </row>
    <row r="55" spans="1:47" ht="10.5">
      <c r="C55" s="67">
        <v>43373</v>
      </c>
      <c r="E55" s="66">
        <f>'[1]Input|Inflation'!E55</f>
        <v>113.81925</v>
      </c>
      <c r="F55" s="164" t="str">
        <f>'[1]Input|Inflation'!F55</f>
        <v>Interpolated</v>
      </c>
      <c r="G55" s="29"/>
      <c r="H55" s="29"/>
      <c r="I55" s="29"/>
      <c r="S55" s="139" t="str">
        <f t="shared" si="2"/>
        <v>Ok</v>
      </c>
    </row>
    <row r="56" spans="1:47" ht="10.5">
      <c r="C56" s="67">
        <v>43465</v>
      </c>
      <c r="E56" s="66">
        <f>'[1]Input|Inflation'!E56</f>
        <v>114.72449999999999</v>
      </c>
      <c r="F56" s="164" t="str">
        <f>'[1]Input|Inflation'!F56</f>
        <v>RBA statement of monetary policy November 2017</v>
      </c>
      <c r="G56" s="29"/>
      <c r="H56" s="29"/>
      <c r="I56" s="29"/>
      <c r="S56" s="139" t="str">
        <f t="shared" si="2"/>
        <v>Ok</v>
      </c>
    </row>
    <row r="57" spans="1:47" ht="10.5">
      <c r="C57" s="67">
        <v>43555</v>
      </c>
      <c r="E57" s="66">
        <f>'[1]Input|Inflation'!E57</f>
        <v>115.08953249999999</v>
      </c>
      <c r="F57" s="164" t="str">
        <f>'[1]Input|Inflation'!F57</f>
        <v>Interpolated</v>
      </c>
      <c r="G57" s="29"/>
      <c r="H57" s="29"/>
      <c r="I57" s="29"/>
      <c r="S57" s="139" t="str">
        <f t="shared" si="2"/>
        <v>Ok</v>
      </c>
    </row>
    <row r="58" spans="1:47" ht="10.5">
      <c r="C58" s="67">
        <v>43646</v>
      </c>
      <c r="E58" s="66">
        <f>'[1]Input|Inflation'!E58</f>
        <v>115.454565</v>
      </c>
      <c r="F58" s="164" t="str">
        <f>'[1]Input|Inflation'!F58</f>
        <v>RBA statement of monetary policy November 2017</v>
      </c>
      <c r="G58" s="29"/>
      <c r="H58" s="29"/>
      <c r="I58" s="29"/>
      <c r="S58" s="139" t="str">
        <f t="shared" si="2"/>
        <v>Ok</v>
      </c>
    </row>
    <row r="59" spans="1:47" ht="10.5">
      <c r="E59" s="29"/>
      <c r="F59" s="29"/>
      <c r="G59" s="29"/>
      <c r="H59" s="29"/>
      <c r="I59" s="29"/>
      <c r="S59" s="140"/>
    </row>
    <row r="60" spans="1:47" s="108" customFormat="1" ht="12.3">
      <c r="A60" s="99"/>
      <c r="B60" s="100" t="s">
        <v>21</v>
      </c>
      <c r="C60" s="99"/>
      <c r="D60" s="99"/>
      <c r="E60" s="99"/>
      <c r="F60" s="101"/>
      <c r="G60" s="101"/>
      <c r="H60" s="101"/>
      <c r="I60" s="101"/>
      <c r="J60" s="102"/>
      <c r="K60" s="103"/>
      <c r="L60" s="102"/>
      <c r="M60" s="103"/>
      <c r="N60" s="102"/>
      <c r="O60" s="102"/>
      <c r="P60" s="102"/>
      <c r="Q60" s="102"/>
      <c r="R60" s="102"/>
      <c r="S60" s="102"/>
      <c r="T60" s="102"/>
      <c r="U60" s="102"/>
      <c r="V60" s="103"/>
      <c r="W60" s="103"/>
      <c r="X60" s="104"/>
      <c r="Y60" s="104"/>
      <c r="Z60" s="104"/>
      <c r="AA60" s="104"/>
      <c r="AB60" s="105"/>
      <c r="AC60" s="106"/>
      <c r="AD60" s="106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</row>
    <row r="61" spans="1:47" s="30" customFormat="1" ht="10.199999999999999" hidden="1">
      <c r="A61" s="29"/>
      <c r="B61" s="29"/>
      <c r="C61" s="29"/>
      <c r="G61" s="32"/>
      <c r="H61" s="32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</row>
    <row r="62" spans="1:47" s="30" customFormat="1" ht="10.199999999999999" hidden="1">
      <c r="A62" s="29"/>
      <c r="B62" s="29"/>
      <c r="C62" s="29"/>
      <c r="G62" s="32"/>
      <c r="H62" s="32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</row>
    <row r="63" spans="1:47" ht="11.25" hidden="1" customHeight="1"/>
    <row r="64" spans="1:47" ht="11.25" hidden="1" customHeight="1"/>
    <row r="65" ht="11.25" hidden="1" customHeight="1"/>
    <row r="66" ht="11.25" hidden="1" customHeight="1"/>
    <row r="67" ht="11.25" hidden="1" customHeight="1"/>
    <row r="68" ht="11.25" hidden="1" customHeight="1"/>
    <row r="69" ht="11.25" hidden="1" customHeight="1"/>
    <row r="70" ht="11.25" hidden="1" customHeight="1"/>
  </sheetData>
  <conditionalFormatting sqref="W14:W59 S9:S59">
    <cfRule type="cellIs" dxfId="96" priority="7" operator="equal">
      <formula>"Check"</formula>
    </cfRule>
    <cfRule type="cellIs" dxfId="95" priority="8" operator="equal">
      <formula>"Ok"</formula>
    </cfRule>
  </conditionalFormatting>
  <conditionalFormatting sqref="V1">
    <cfRule type="cellIs" dxfId="94" priority="3" operator="equal">
      <formula>"Check"</formula>
    </cfRule>
    <cfRule type="cellIs" dxfId="93" priority="4" operator="equal">
      <formula>"Ok"</formula>
    </cfRule>
  </conditionalFormatting>
  <conditionalFormatting sqref="S1">
    <cfRule type="cellIs" dxfId="92" priority="1" operator="equal">
      <formula>"Check"</formula>
    </cfRule>
    <cfRule type="cellIs" dxfId="91" priority="2" operator="equal">
      <formula>"Ok"</formula>
    </cfRule>
  </conditionalFormatting>
  <dataValidations count="2">
    <dataValidation type="list" allowBlank="1" showInputMessage="1" showErrorMessage="1" sqref="F59" xr:uid="{00000000-0002-0000-0200-000000000000}">
      <formula1>"Real 2010,Real 2011,Real 2012,Real 2013,Real 2014,Real 2015,Nominal"</formula1>
    </dataValidation>
    <dataValidation type="list" allowBlank="1" showInputMessage="1" showErrorMessage="1" sqref="I12:I59" xr:uid="{00000000-0002-0000-0200-000001000000}">
      <formula1>#REF!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W58"/>
  <sheetViews>
    <sheetView workbookViewId="0"/>
  </sheetViews>
  <sheetFormatPr defaultColWidth="0" defaultRowHeight="10.199999999999999" zeroHeight="1"/>
  <cols>
    <col min="1" max="2" width="1.46484375" customWidth="1"/>
    <col min="3" max="3" width="65" customWidth="1"/>
    <col min="4" max="4" width="27.6640625" customWidth="1"/>
    <col min="5" max="5" width="15.796875" customWidth="1"/>
    <col min="6" max="6" width="10.6640625" customWidth="1"/>
    <col min="7" max="9" width="3.33203125" customWidth="1"/>
    <col min="10" max="23" width="10.796875" customWidth="1"/>
    <col min="24" max="16384" width="9.33203125" hidden="1"/>
  </cols>
  <sheetData>
    <row r="1" spans="1:23" ht="15">
      <c r="A1" s="73"/>
      <c r="B1" s="74"/>
      <c r="C1" s="74" t="str">
        <f>Index!$B$1</f>
        <v>AER opex model</v>
      </c>
      <c r="D1" s="74"/>
      <c r="E1" s="74"/>
      <c r="F1" s="75"/>
      <c r="G1" s="75"/>
      <c r="H1" s="75"/>
      <c r="I1" s="75"/>
      <c r="J1" s="37" t="s">
        <v>2</v>
      </c>
      <c r="K1" s="73"/>
      <c r="L1" s="76" t="s">
        <v>3</v>
      </c>
      <c r="M1" s="77" t="s">
        <v>4</v>
      </c>
      <c r="N1" s="78" t="s">
        <v>5</v>
      </c>
      <c r="O1" s="79" t="s">
        <v>6</v>
      </c>
      <c r="P1" s="73"/>
      <c r="Q1" s="73"/>
      <c r="R1" s="76" t="s">
        <v>87</v>
      </c>
      <c r="S1" s="80" t="str">
        <f>IF(COUNTA($W$32:$W$251)=COUNTIF($W$32:$W$251,"OK"),"OK","Check")</f>
        <v>OK</v>
      </c>
      <c r="T1" s="73"/>
      <c r="U1" s="176" t="s">
        <v>24</v>
      </c>
      <c r="V1" s="80" t="str">
        <f>'Check|List'!$S$1</f>
        <v>Ok</v>
      </c>
      <c r="W1" s="73"/>
    </row>
    <row r="2" spans="1:23" ht="12.9" thickBot="1">
      <c r="A2" s="81"/>
      <c r="B2" s="82"/>
      <c r="C2" s="82" t="str">
        <f>Index!$C$9</f>
        <v>Input | Reported opex</v>
      </c>
      <c r="D2" s="82"/>
      <c r="E2" s="82"/>
      <c r="F2" s="83"/>
      <c r="G2" s="83"/>
      <c r="H2" s="83"/>
      <c r="I2" s="83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3" ht="10.5">
      <c r="A3" s="141"/>
      <c r="B3" s="141"/>
      <c r="C3" s="142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4"/>
      <c r="U3" s="144"/>
      <c r="V3" s="144"/>
      <c r="W3" s="144"/>
    </row>
    <row r="4" spans="1:23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151">
        <f>'Input|General'!$G$8</f>
        <v>2015</v>
      </c>
      <c r="K4" s="151">
        <f ca="1">IF(OFFSET('Lookup|Tables'!$G$26:$G$43,MATCH('Input|General'!$G$8,'Lookup|Tables'!$G$26:$G$42,0),0,1,1)&lt;='Input|General'!$G$12,OFFSET('Lookup|Tables'!$G$26:$G$43,MATCH('Input|General'!$G$8,'Lookup|Tables'!$G$26:$G$42,0),0,1,1),"")</f>
        <v>2016</v>
      </c>
      <c r="L4" s="151">
        <f ca="1">IF(OFFSET('Lookup|Tables'!$G$28:$G$43,MATCH('Input|General'!$G$8,'Lookup|Tables'!$G$28:$G$42,0)+1,0,1,1)&lt;='Input|General'!$G$12,OFFSET('Lookup|Tables'!$G$28:$G$43,MATCH('Input|General'!$G$8,'Lookup|Tables'!$G$28:$G$42,0)+1,0,1,1),"")</f>
        <v>2017</v>
      </c>
      <c r="M4" s="151">
        <f ca="1">IF(OFFSET('Lookup|Tables'!$G$28:$G$43,MATCH('Input|General'!$G$8,'Lookup|Tables'!$G$28:$G$42,0)+2,0,1,1)&lt;='Input|General'!$G$12,OFFSET('Lookup|Tables'!$G$28:$G$43,MATCH('Input|General'!$G$8,'Lookup|Tables'!$G$28:$G$42,0)+2,0,1,1),"")</f>
        <v>2018</v>
      </c>
      <c r="N4" s="151">
        <f ca="1">IF(OFFSET('Lookup|Tables'!$G$28:$G$43,MATCH('Input|General'!$G$8,'Lookup|Tables'!$G$28:$G$42,0)+3,0,1,1)&lt;='Input|General'!$G$12,OFFSET('Lookup|Tables'!$G$28:$G$43,MATCH('Input|General'!$G$8,'Lookup|Tables'!$G$28:$G$42,0)+3,0,1,1),"")</f>
        <v>2019</v>
      </c>
      <c r="O4" s="151">
        <f ca="1">IF(OFFSET('Lookup|Tables'!$G$28:$G$43,MATCH('Input|General'!$G$8,'Lookup|Tables'!$G$28:$G$42,0)+4,0,1,1)&lt;='Input|General'!$G$12,OFFSET('Lookup|Tables'!$G$28:$G$43,MATCH('Input|General'!$G$8,'Lookup|Tables'!$G$28:$G$42,0)+4,0,1,1),"")</f>
        <v>2020</v>
      </c>
      <c r="P4" s="151">
        <f ca="1">IF(OFFSET('Lookup|Tables'!$G$28:$G$43,MATCH('Input|General'!$G$8,'Lookup|Tables'!$G$28:$G$42,0)+5,0,1,1)&lt;='Input|General'!$G$12,OFFSET('Lookup|Tables'!$G$28:$G$43,MATCH('Input|General'!$G$8,'Lookup|Tables'!$G$28:$G$42,0)+5,0,1,1),"")</f>
        <v>2021</v>
      </c>
      <c r="Q4" s="151">
        <f ca="1">IF(OFFSET('Lookup|Tables'!$G$28:$G$43,MATCH('Input|General'!$G$8,'Lookup|Tables'!$G$28:$G$42,0)+6,0,1,1)&lt;='Input|General'!$G$12,OFFSET('Lookup|Tables'!$G$28:$G$43,MATCH('Input|General'!$G$8,'Lookup|Tables'!$G$28:$G$42,0)+6,0,1,1),"")</f>
        <v>2022</v>
      </c>
      <c r="R4" s="151">
        <f ca="1">IF(OFFSET('Lookup|Tables'!$G$28:$G$43,MATCH('Input|General'!$G$8,'Lookup|Tables'!$G$28:$G$42,0)+7,0,1,1)&lt;='Input|General'!$G$12,OFFSET('Lookup|Tables'!$G$28:$G$43,MATCH('Input|General'!$G$8,'Lookup|Tables'!$G$28:$G$42,0)+7,0,1,1),"")</f>
        <v>2023</v>
      </c>
      <c r="S4" s="151">
        <f ca="1">IF(OFFSET('Lookup|Tables'!$G$28:$G$43,MATCH('Input|General'!$G$8,'Lookup|Tables'!$G$28:$G$42,0)+8,0,1,1)&lt;='Input|General'!$G$12,OFFSET('Lookup|Tables'!$G$28:$G$43,MATCH('Input|General'!$G$8,'Lookup|Tables'!$G$28:$G$42,0)+8,0,1,1),"")</f>
        <v>2024</v>
      </c>
      <c r="T4" s="92"/>
      <c r="U4" s="92"/>
      <c r="V4" s="93"/>
      <c r="W4" s="93"/>
    </row>
    <row r="5" spans="1:23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3">
      <c r="A8" s="99"/>
      <c r="B8" s="100" t="s">
        <v>44</v>
      </c>
      <c r="C8" s="99"/>
      <c r="D8" s="99"/>
      <c r="E8" s="99"/>
      <c r="F8" s="101"/>
      <c r="G8" s="101"/>
      <c r="H8" s="101"/>
      <c r="I8" s="101"/>
      <c r="J8" s="102"/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ht="10.5">
      <c r="A10" s="29"/>
      <c r="B10" s="29"/>
      <c r="C10" s="70" t="s">
        <v>81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69">
        <f>IF(RIGHT(J$4,2)&lt;=RIGHT('Input|General'!$G$10,2),'Input|Reported opex'!J$4,"")</f>
        <v>2015</v>
      </c>
      <c r="K10" s="169">
        <f ca="1">IF(RIGHT(K$4,2)&lt;=RIGHT('Input|General'!$G$10,2),'Input|Reported opex'!K$4,"")</f>
        <v>2016</v>
      </c>
      <c r="L10" s="169">
        <f ca="1">IF(RIGHT(L$4,2)&lt;=RIGHT('Input|General'!$G$10,2),'Input|Reported opex'!L$4,"")</f>
        <v>2017</v>
      </c>
      <c r="M10" s="169">
        <f ca="1">IF(RIGHT(M$4,2)&lt;=RIGHT('Input|General'!$G$10,2),'Input|Reported opex'!M$4,"")</f>
        <v>2018</v>
      </c>
      <c r="N10" s="169">
        <f ca="1">IF(RIGHT(N$4,2)&lt;=RIGHT('Input|General'!$G$10,2),'Input|Reported opex'!N$4,"")</f>
        <v>2019</v>
      </c>
      <c r="O10" s="111" t="str">
        <f ca="1">IF(RIGHT(O$4,2)&lt;=RIGHT('Input|General'!$G$10,2),'Input|Reported opex'!O$4,"")</f>
        <v/>
      </c>
      <c r="P10" s="111" t="str">
        <f ca="1">IF(RIGHT(P$4,2)&lt;=RIGHT('Input|General'!$G$10,2),'Input|Reported opex'!P$4,"")</f>
        <v/>
      </c>
      <c r="Q10" s="111" t="str">
        <f ca="1">IF(RIGHT(Q$4,2)&lt;=RIGHT('Input|General'!$G$10,2),'Input|Reported opex'!Q$4,"")</f>
        <v/>
      </c>
      <c r="R10" s="111" t="str">
        <f ca="1">IF(RIGHT(R$4,2)&lt;=RIGHT('Input|General'!$G$10,2),'Input|Reported opex'!R$4,"")</f>
        <v/>
      </c>
      <c r="S10" s="111" t="str">
        <f ca="1">IF(RIGHT(S$4,2)&lt;=RIGHT('Input|General'!$G$10,2),'Input|Reported opex'!S$4,"")</f>
        <v/>
      </c>
      <c r="T10" s="145" t="s">
        <v>56</v>
      </c>
      <c r="U10" s="146"/>
      <c r="V10" s="146"/>
      <c r="W10" s="29"/>
    </row>
    <row r="11" spans="1:23" ht="10.5">
      <c r="A11" s="29"/>
      <c r="B11" s="29"/>
      <c r="C11" s="117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 ht="10.5">
      <c r="A12" s="29"/>
      <c r="B12" s="29"/>
      <c r="C12" s="117"/>
      <c r="D12" s="30"/>
      <c r="E12" s="3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2" t="s">
        <v>139</v>
      </c>
      <c r="D13" s="30" t="s">
        <v>125</v>
      </c>
      <c r="E13" s="30" t="str">
        <f>$E$24</f>
        <v>$millions</v>
      </c>
      <c r="F13" s="185">
        <v>2014</v>
      </c>
      <c r="G13" s="32"/>
      <c r="H13" s="32"/>
      <c r="I13" s="30"/>
      <c r="J13" s="60"/>
      <c r="K13" s="60"/>
      <c r="L13" s="60"/>
      <c r="M13" s="60"/>
      <c r="N13" s="60"/>
      <c r="O13" s="29"/>
      <c r="P13" s="29"/>
      <c r="Q13" s="29"/>
      <c r="R13" s="29"/>
      <c r="S13" s="29"/>
      <c r="T13" s="163"/>
      <c r="U13" s="29"/>
      <c r="V13" s="29"/>
      <c r="W13" s="29"/>
    </row>
    <row r="14" spans="1:23">
      <c r="A14" s="29"/>
      <c r="B14" s="29"/>
      <c r="C14" s="62" t="s">
        <v>115</v>
      </c>
      <c r="D14" s="30" t="s">
        <v>125</v>
      </c>
      <c r="E14" s="30" t="str">
        <f t="shared" ref="E14:E22" si="0">$E$24</f>
        <v>$millions</v>
      </c>
      <c r="F14" s="185">
        <v>2014</v>
      </c>
      <c r="G14" s="32"/>
      <c r="H14" s="32"/>
      <c r="I14" s="30"/>
      <c r="J14" s="60"/>
      <c r="K14" s="60"/>
      <c r="L14" s="60"/>
      <c r="M14" s="60"/>
      <c r="N14" s="60"/>
      <c r="O14" s="29"/>
      <c r="P14" s="29"/>
      <c r="Q14" s="29"/>
      <c r="R14" s="29"/>
      <c r="S14" s="29"/>
      <c r="T14" s="163"/>
      <c r="U14" s="29"/>
      <c r="V14" s="29"/>
      <c r="W14" s="29"/>
    </row>
    <row r="15" spans="1:23">
      <c r="A15" s="29"/>
      <c r="B15" s="29"/>
      <c r="C15" s="62"/>
      <c r="D15" s="30" t="s">
        <v>125</v>
      </c>
      <c r="E15" s="30" t="str">
        <f t="shared" si="0"/>
        <v>$millions</v>
      </c>
      <c r="F15" s="185">
        <v>2014</v>
      </c>
      <c r="G15" s="32"/>
      <c r="H15" s="32"/>
      <c r="I15" s="30"/>
      <c r="J15" s="60"/>
      <c r="K15" s="60"/>
      <c r="L15" s="60"/>
      <c r="M15" s="60"/>
      <c r="N15" s="60"/>
      <c r="O15" s="29"/>
      <c r="P15" s="29"/>
      <c r="Q15" s="29"/>
      <c r="R15" s="29"/>
      <c r="S15" s="29"/>
      <c r="T15" s="163"/>
      <c r="U15" s="29"/>
      <c r="V15" s="29"/>
      <c r="W15" s="29"/>
    </row>
    <row r="16" spans="1:23">
      <c r="A16" s="29"/>
      <c r="B16" s="29"/>
      <c r="C16" s="62"/>
      <c r="D16" s="30" t="s">
        <v>125</v>
      </c>
      <c r="E16" s="30" t="str">
        <f t="shared" si="0"/>
        <v>$millions</v>
      </c>
      <c r="F16" s="185">
        <v>2014</v>
      </c>
      <c r="G16" s="32"/>
      <c r="H16" s="32"/>
      <c r="I16" s="30"/>
      <c r="J16" s="60"/>
      <c r="K16" s="60"/>
      <c r="L16" s="60"/>
      <c r="M16" s="60"/>
      <c r="N16" s="60"/>
      <c r="O16" s="29"/>
      <c r="P16" s="29"/>
      <c r="Q16" s="29"/>
      <c r="R16" s="29"/>
      <c r="S16" s="29"/>
      <c r="T16" s="163"/>
      <c r="U16" s="29"/>
      <c r="V16" s="29"/>
      <c r="W16" s="29"/>
    </row>
    <row r="17" spans="1:23">
      <c r="A17" s="29"/>
      <c r="B17" s="29"/>
      <c r="C17" s="62"/>
      <c r="D17" s="30" t="s">
        <v>125</v>
      </c>
      <c r="E17" s="30" t="str">
        <f t="shared" si="0"/>
        <v>$millions</v>
      </c>
      <c r="F17" s="185">
        <v>2014</v>
      </c>
      <c r="G17" s="32"/>
      <c r="H17" s="32"/>
      <c r="I17" s="30"/>
      <c r="J17" s="60"/>
      <c r="K17" s="60"/>
      <c r="L17" s="60"/>
      <c r="M17" s="60"/>
      <c r="N17" s="60"/>
      <c r="O17" s="29"/>
      <c r="P17" s="29"/>
      <c r="Q17" s="29"/>
      <c r="R17" s="29"/>
      <c r="S17" s="29"/>
      <c r="T17" s="163"/>
      <c r="U17" s="29"/>
      <c r="V17" s="29"/>
      <c r="W17" s="29"/>
    </row>
    <row r="18" spans="1:23">
      <c r="A18" s="29"/>
      <c r="B18" s="29"/>
      <c r="C18" s="62"/>
      <c r="D18" s="30" t="s">
        <v>125</v>
      </c>
      <c r="E18" s="30" t="str">
        <f t="shared" si="0"/>
        <v>$millions</v>
      </c>
      <c r="F18" s="185">
        <v>2014</v>
      </c>
      <c r="G18" s="32"/>
      <c r="H18" s="32"/>
      <c r="I18" s="30"/>
      <c r="J18" s="60"/>
      <c r="K18" s="60"/>
      <c r="L18" s="60"/>
      <c r="M18" s="60"/>
      <c r="N18" s="60"/>
      <c r="O18" s="29"/>
      <c r="P18" s="29"/>
      <c r="Q18" s="29"/>
      <c r="R18" s="29"/>
      <c r="S18" s="29"/>
      <c r="T18" s="163"/>
      <c r="U18" s="29"/>
      <c r="V18" s="29"/>
      <c r="W18" s="29"/>
    </row>
    <row r="19" spans="1:23">
      <c r="A19" s="29"/>
      <c r="B19" s="29"/>
      <c r="C19" s="62"/>
      <c r="D19" s="30" t="s">
        <v>125</v>
      </c>
      <c r="E19" s="30" t="str">
        <f t="shared" si="0"/>
        <v>$millions</v>
      </c>
      <c r="F19" s="185">
        <v>2014</v>
      </c>
      <c r="G19" s="32"/>
      <c r="H19" s="32"/>
      <c r="I19" s="30"/>
      <c r="J19" s="60"/>
      <c r="K19" s="60"/>
      <c r="L19" s="60"/>
      <c r="M19" s="60"/>
      <c r="N19" s="60"/>
      <c r="O19" s="29"/>
      <c r="P19" s="29"/>
      <c r="Q19" s="29"/>
      <c r="R19" s="29"/>
      <c r="S19" s="29"/>
      <c r="T19" s="163"/>
      <c r="U19" s="29"/>
      <c r="V19" s="29"/>
      <c r="W19" s="29"/>
    </row>
    <row r="20" spans="1:23">
      <c r="A20" s="29"/>
      <c r="B20" s="29"/>
      <c r="C20" s="62"/>
      <c r="D20" s="30" t="s">
        <v>125</v>
      </c>
      <c r="E20" s="30" t="str">
        <f t="shared" si="0"/>
        <v>$millions</v>
      </c>
      <c r="F20" s="185">
        <v>2014</v>
      </c>
      <c r="G20" s="32"/>
      <c r="H20" s="32"/>
      <c r="I20" s="30"/>
      <c r="J20" s="60"/>
      <c r="K20" s="60"/>
      <c r="L20" s="60"/>
      <c r="M20" s="60"/>
      <c r="N20" s="60"/>
      <c r="O20" s="29"/>
      <c r="P20" s="29"/>
      <c r="Q20" s="29"/>
      <c r="R20" s="29"/>
      <c r="S20" s="29"/>
      <c r="T20" s="163"/>
      <c r="U20" s="29"/>
      <c r="V20" s="29"/>
      <c r="W20" s="29"/>
    </row>
    <row r="21" spans="1:23">
      <c r="A21" s="29"/>
      <c r="B21" s="29"/>
      <c r="C21" s="62"/>
      <c r="D21" s="30" t="s">
        <v>125</v>
      </c>
      <c r="E21" s="30" t="str">
        <f t="shared" si="0"/>
        <v>$millions</v>
      </c>
      <c r="F21" s="185">
        <v>2014</v>
      </c>
      <c r="G21" s="32"/>
      <c r="H21" s="32"/>
      <c r="I21" s="30"/>
      <c r="J21" s="60"/>
      <c r="K21" s="60"/>
      <c r="L21" s="60"/>
      <c r="M21" s="60"/>
      <c r="N21" s="60"/>
      <c r="O21" s="29"/>
      <c r="P21" s="29"/>
      <c r="Q21" s="29"/>
      <c r="R21" s="29"/>
      <c r="S21" s="29"/>
      <c r="T21" s="163"/>
      <c r="U21" s="29"/>
      <c r="V21" s="29"/>
      <c r="W21" s="29"/>
    </row>
    <row r="22" spans="1:23">
      <c r="A22" s="29"/>
      <c r="B22" s="29"/>
      <c r="C22" s="62"/>
      <c r="D22" s="30" t="s">
        <v>125</v>
      </c>
      <c r="E22" s="30" t="str">
        <f t="shared" si="0"/>
        <v>$millions</v>
      </c>
      <c r="F22" s="185">
        <v>2014</v>
      </c>
      <c r="G22" s="32"/>
      <c r="H22" s="32"/>
      <c r="I22" s="30"/>
      <c r="J22" s="60"/>
      <c r="K22" s="60"/>
      <c r="L22" s="60"/>
      <c r="M22" s="60"/>
      <c r="N22" s="60"/>
      <c r="O22" s="29"/>
      <c r="P22" s="29"/>
      <c r="Q22" s="29"/>
      <c r="R22" s="29"/>
      <c r="S22" s="29"/>
      <c r="T22" s="163"/>
      <c r="U22" s="29"/>
      <c r="V22" s="29"/>
      <c r="W22" s="29"/>
    </row>
    <row r="23" spans="1:23" ht="10.5">
      <c r="A23" s="29"/>
      <c r="B23" s="29"/>
      <c r="C23" s="117"/>
      <c r="D23" s="30"/>
      <c r="E23" s="30"/>
      <c r="F23" s="185"/>
      <c r="G23" s="32"/>
      <c r="H23" s="32"/>
      <c r="I23" s="30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9"/>
      <c r="U23" s="29"/>
      <c r="V23" s="29"/>
      <c r="W23" s="29"/>
    </row>
    <row r="24" spans="1:23" ht="10.5">
      <c r="A24" s="29"/>
      <c r="B24" s="29"/>
      <c r="C24" s="147" t="s">
        <v>79</v>
      </c>
      <c r="D24" s="148" t="s">
        <v>30</v>
      </c>
      <c r="E24" s="138" t="s">
        <v>15</v>
      </c>
      <c r="F24" s="177">
        <v>2014</v>
      </c>
      <c r="G24" s="32"/>
      <c r="H24" s="32"/>
      <c r="I24" s="30"/>
      <c r="J24" s="137">
        <f t="shared" ref="J24:S24" si="1">SUM(J13:J22)</f>
        <v>0</v>
      </c>
      <c r="K24" s="137">
        <f t="shared" si="1"/>
        <v>0</v>
      </c>
      <c r="L24" s="137">
        <f t="shared" si="1"/>
        <v>0</v>
      </c>
      <c r="M24" s="137">
        <f t="shared" si="1"/>
        <v>0</v>
      </c>
      <c r="N24" s="137">
        <f t="shared" si="1"/>
        <v>0</v>
      </c>
      <c r="O24" s="137">
        <f t="shared" si="1"/>
        <v>0</v>
      </c>
      <c r="P24" s="137">
        <f t="shared" si="1"/>
        <v>0</v>
      </c>
      <c r="Q24" s="137">
        <f t="shared" si="1"/>
        <v>0</v>
      </c>
      <c r="R24" s="137">
        <f t="shared" si="1"/>
        <v>0</v>
      </c>
      <c r="S24" s="137">
        <f t="shared" si="1"/>
        <v>0</v>
      </c>
      <c r="T24" s="29"/>
      <c r="U24" s="29"/>
      <c r="V24" s="29"/>
      <c r="W24" s="29"/>
    </row>
    <row r="25" spans="1:23">
      <c r="A25" s="29"/>
      <c r="B25" s="29"/>
      <c r="C25" s="29"/>
      <c r="D25" s="30"/>
      <c r="E25" s="30"/>
      <c r="F25" s="30"/>
      <c r="G25" s="32"/>
      <c r="H25" s="32"/>
      <c r="I25" s="30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ht="12.3">
      <c r="A26" s="99"/>
      <c r="B26" s="100" t="s">
        <v>61</v>
      </c>
      <c r="C26" s="99"/>
      <c r="D26" s="99"/>
      <c r="E26" s="99"/>
      <c r="F26" s="101"/>
      <c r="G26" s="101"/>
      <c r="H26" s="101"/>
      <c r="I26" s="101"/>
      <c r="J26" s="102"/>
      <c r="K26" s="103"/>
      <c r="L26" s="102"/>
      <c r="M26" s="103"/>
      <c r="N26" s="102"/>
      <c r="O26" s="102"/>
      <c r="P26" s="102"/>
      <c r="Q26" s="102"/>
      <c r="R26" s="102"/>
      <c r="S26" s="102"/>
      <c r="T26" s="102"/>
      <c r="U26" s="102"/>
      <c r="V26" s="103"/>
      <c r="W26" s="103"/>
    </row>
    <row r="27" spans="1:23">
      <c r="A27" s="29"/>
      <c r="B27" s="29"/>
      <c r="C27" s="29"/>
      <c r="D27" s="30"/>
      <c r="E27" s="30"/>
      <c r="F27" s="30"/>
      <c r="G27" s="30"/>
      <c r="H27" s="30"/>
      <c r="I27" s="30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>
      <c r="A28" s="29"/>
      <c r="B28" s="29"/>
      <c r="C28" s="29"/>
      <c r="D28" s="30"/>
      <c r="E28" s="30"/>
      <c r="F28" s="30"/>
      <c r="G28" s="30"/>
      <c r="H28" s="30"/>
      <c r="I28" s="30"/>
      <c r="J28" s="52" t="s">
        <v>23</v>
      </c>
      <c r="K28" s="52" t="s">
        <v>23</v>
      </c>
      <c r="L28" s="52" t="s">
        <v>23</v>
      </c>
      <c r="M28" s="52" t="s">
        <v>80</v>
      </c>
      <c r="N28" s="52" t="s">
        <v>80</v>
      </c>
      <c r="O28" s="29"/>
      <c r="P28" s="29"/>
      <c r="Q28" s="29"/>
      <c r="R28" s="29"/>
      <c r="S28" s="29"/>
      <c r="T28" s="29"/>
      <c r="U28" s="29"/>
      <c r="V28" s="29"/>
      <c r="W28" s="29"/>
    </row>
    <row r="29" spans="1:23" ht="10.5">
      <c r="A29" s="29"/>
      <c r="B29" s="29"/>
      <c r="C29" s="70" t="s">
        <v>81</v>
      </c>
      <c r="D29" s="32" t="s">
        <v>7</v>
      </c>
      <c r="E29" s="32" t="s">
        <v>8</v>
      </c>
      <c r="F29" s="32" t="s">
        <v>22</v>
      </c>
      <c r="G29" s="32"/>
      <c r="H29" s="32"/>
      <c r="I29" s="32"/>
      <c r="J29" s="169">
        <f>IF(RIGHT(J4,2)&lt;=RIGHT('Input|General'!$G$10,2),'Input|Reported opex'!J4,"")</f>
        <v>2015</v>
      </c>
      <c r="K29" s="169">
        <f ca="1">IF(RIGHT(K4,2)&lt;=RIGHT('Input|General'!$G$10,2),'Input|Reported opex'!K4,"")</f>
        <v>2016</v>
      </c>
      <c r="L29" s="169">
        <f ca="1">IF(RIGHT(L4,2)&lt;=RIGHT('Input|General'!$G$10,2),'Input|Reported opex'!L4,"")</f>
        <v>2017</v>
      </c>
      <c r="M29" s="169">
        <f ca="1">IF(RIGHT(M4,2)&lt;=RIGHT('Input|General'!$G$10,2),'Input|Reported opex'!M4,"")</f>
        <v>2018</v>
      </c>
      <c r="N29" s="169">
        <f ca="1">IF(RIGHT(N4,2)&lt;=RIGHT('Input|General'!$G$10,2),'Input|Reported opex'!N4,"")</f>
        <v>2019</v>
      </c>
      <c r="O29" s="111" t="str">
        <f ca="1">IF(RIGHT(O$4,2)&lt;=RIGHT('Input|General'!$G$10,2),'Input|Reported opex'!O$4,"")</f>
        <v/>
      </c>
      <c r="P29" s="111" t="str">
        <f ca="1">IF(RIGHT(P$4,2)&lt;=RIGHT('Input|General'!$G$10,2),'Input|Reported opex'!P$4,"")</f>
        <v/>
      </c>
      <c r="Q29" s="111" t="str">
        <f ca="1">IF(RIGHT(Q$4,2)&lt;=RIGHT('Input|General'!$G$10,2),'Input|Reported opex'!Q$4,"")</f>
        <v/>
      </c>
      <c r="R29" s="111" t="str">
        <f ca="1">IF(RIGHT(R$4,2)&lt;=RIGHT('Input|General'!$G$10,2),'Input|Reported opex'!R$4,"")</f>
        <v/>
      </c>
      <c r="S29" s="111" t="str">
        <f ca="1">IF(RIGHT(S$4,2)&lt;=RIGHT('Input|General'!$G$10,2),'Input|Reported opex'!S$4,"")</f>
        <v/>
      </c>
      <c r="T29" s="145" t="s">
        <v>56</v>
      </c>
      <c r="U29" s="146"/>
      <c r="V29" s="146"/>
      <c r="W29" s="29"/>
    </row>
    <row r="30" spans="1:23">
      <c r="A30" s="29"/>
      <c r="B30" s="29"/>
      <c r="C30" s="117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>
      <c r="A31" s="29"/>
      <c r="B31" s="29"/>
      <c r="C31" s="117"/>
      <c r="D31" s="30"/>
      <c r="E31" s="30"/>
      <c r="F31" s="30"/>
      <c r="G31" s="32"/>
      <c r="H31" s="32"/>
      <c r="I31" s="30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163"/>
      <c r="U31" s="29"/>
      <c r="V31" s="29"/>
      <c r="W31" s="29"/>
    </row>
    <row r="32" spans="1:23">
      <c r="A32" s="29"/>
      <c r="B32" s="29"/>
      <c r="C32" s="62" t="s">
        <v>138</v>
      </c>
      <c r="D32" s="30" t="s">
        <v>128</v>
      </c>
      <c r="E32" s="30" t="str">
        <f t="shared" ref="E32:E37" si="2">$E$46</f>
        <v>$millions</v>
      </c>
      <c r="F32" s="185" t="str">
        <f t="shared" ref="F32:F37" si="3">$F$46</f>
        <v>nominal</v>
      </c>
      <c r="G32" s="32"/>
      <c r="H32" s="32"/>
      <c r="I32" s="30"/>
      <c r="J32" s="60"/>
      <c r="K32" s="60"/>
      <c r="L32" s="60">
        <v>4.6136060857584171</v>
      </c>
      <c r="M32" s="179">
        <f>L32*(1+'Input|Rate of change'!N12)</f>
        <v>4.7058782074735852</v>
      </c>
      <c r="N32" s="60"/>
      <c r="O32" s="29"/>
      <c r="P32" s="29"/>
      <c r="Q32" s="29"/>
      <c r="R32" s="29"/>
      <c r="S32" s="29"/>
      <c r="T32" s="163"/>
      <c r="U32" s="29"/>
      <c r="V32" s="29"/>
      <c r="W32" s="29"/>
    </row>
    <row r="33" spans="1:23">
      <c r="A33" s="29"/>
      <c r="B33" s="29"/>
      <c r="C33" s="62"/>
      <c r="D33" s="30"/>
      <c r="E33" s="30" t="str">
        <f t="shared" si="2"/>
        <v>$millions</v>
      </c>
      <c r="F33" s="185" t="str">
        <f t="shared" si="3"/>
        <v>nominal</v>
      </c>
      <c r="G33" s="32"/>
      <c r="H33" s="32"/>
      <c r="I33" s="30"/>
      <c r="J33" s="60"/>
      <c r="K33" s="60"/>
      <c r="L33" s="60"/>
      <c r="M33" s="60"/>
      <c r="N33" s="60"/>
      <c r="O33" s="29"/>
      <c r="P33" s="29"/>
      <c r="Q33" s="29"/>
      <c r="R33" s="29"/>
      <c r="S33" s="29"/>
      <c r="T33" s="163"/>
      <c r="U33" s="29"/>
      <c r="V33" s="29"/>
      <c r="W33" s="29"/>
    </row>
    <row r="34" spans="1:23">
      <c r="A34" s="29"/>
      <c r="B34" s="29"/>
      <c r="C34" s="62"/>
      <c r="D34" s="30"/>
      <c r="E34" s="30" t="str">
        <f t="shared" si="2"/>
        <v>$millions</v>
      </c>
      <c r="F34" s="185" t="str">
        <f t="shared" si="3"/>
        <v>nominal</v>
      </c>
      <c r="G34" s="32"/>
      <c r="H34" s="32"/>
      <c r="I34" s="30"/>
      <c r="J34" s="60"/>
      <c r="K34" s="60"/>
      <c r="L34" s="60"/>
      <c r="M34" s="60"/>
      <c r="N34" s="60"/>
      <c r="O34" s="29"/>
      <c r="P34" s="29"/>
      <c r="Q34" s="29"/>
      <c r="R34" s="29"/>
      <c r="S34" s="29"/>
      <c r="T34" s="163"/>
      <c r="U34" s="29"/>
      <c r="V34" s="29"/>
      <c r="W34" s="29"/>
    </row>
    <row r="35" spans="1:23">
      <c r="A35" s="29"/>
      <c r="B35" s="29"/>
      <c r="C35" s="62"/>
      <c r="D35" s="30"/>
      <c r="E35" s="30" t="str">
        <f t="shared" si="2"/>
        <v>$millions</v>
      </c>
      <c r="F35" s="185" t="str">
        <f t="shared" si="3"/>
        <v>nominal</v>
      </c>
      <c r="G35" s="32"/>
      <c r="H35" s="32"/>
      <c r="I35" s="30"/>
      <c r="J35" s="60"/>
      <c r="K35" s="60"/>
      <c r="L35" s="60"/>
      <c r="M35" s="60"/>
      <c r="N35" s="60"/>
      <c r="O35" s="29"/>
      <c r="P35" s="29"/>
      <c r="Q35" s="29"/>
      <c r="R35" s="29"/>
      <c r="S35" s="29"/>
      <c r="T35" s="163"/>
      <c r="U35" s="29"/>
      <c r="V35" s="29"/>
      <c r="W35" s="29"/>
    </row>
    <row r="36" spans="1:23">
      <c r="A36" s="29"/>
      <c r="B36" s="29"/>
      <c r="C36" s="62"/>
      <c r="D36" s="30"/>
      <c r="E36" s="30" t="str">
        <f t="shared" si="2"/>
        <v>$millions</v>
      </c>
      <c r="F36" s="185" t="str">
        <f t="shared" si="3"/>
        <v>nominal</v>
      </c>
      <c r="G36" s="32"/>
      <c r="H36" s="32"/>
      <c r="I36" s="30"/>
      <c r="J36" s="60"/>
      <c r="K36" s="60"/>
      <c r="L36" s="60"/>
      <c r="M36" s="60"/>
      <c r="N36" s="60"/>
      <c r="O36" s="29"/>
      <c r="P36" s="29"/>
      <c r="Q36" s="29"/>
      <c r="R36" s="29"/>
      <c r="S36" s="29"/>
      <c r="T36" s="163"/>
      <c r="U36" s="29"/>
      <c r="V36" s="29"/>
      <c r="W36" s="29"/>
    </row>
    <row r="37" spans="1:23">
      <c r="A37" s="29"/>
      <c r="B37" s="29"/>
      <c r="C37" s="62" t="s">
        <v>119</v>
      </c>
      <c r="D37" s="182" t="s">
        <v>128</v>
      </c>
      <c r="E37" s="30" t="str">
        <f t="shared" si="2"/>
        <v>$millions</v>
      </c>
      <c r="F37" s="185" t="str">
        <f t="shared" si="3"/>
        <v>nominal</v>
      </c>
      <c r="G37" s="32"/>
      <c r="H37" s="32"/>
      <c r="I37" s="30"/>
      <c r="J37" s="60"/>
      <c r="K37" s="60"/>
      <c r="L37" s="60"/>
      <c r="M37" s="60">
        <v>0</v>
      </c>
      <c r="N37" s="60"/>
      <c r="O37" s="29"/>
      <c r="P37" s="29"/>
      <c r="Q37" s="29"/>
      <c r="R37" s="29"/>
      <c r="S37" s="29"/>
      <c r="T37" s="163"/>
      <c r="U37" s="29"/>
      <c r="V37" s="29"/>
      <c r="W37" s="29"/>
    </row>
    <row r="38" spans="1:23">
      <c r="A38" s="29"/>
      <c r="B38" s="29"/>
      <c r="C38" s="29"/>
      <c r="D38" s="30"/>
      <c r="E38" s="30"/>
      <c r="F38" s="30"/>
      <c r="G38" s="30"/>
      <c r="H38" s="30"/>
      <c r="I38" s="30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63"/>
      <c r="U38" s="29"/>
      <c r="V38" s="29"/>
      <c r="W38" s="29"/>
    </row>
    <row r="39" spans="1:23" ht="10.5">
      <c r="A39" s="29"/>
      <c r="B39" s="29"/>
      <c r="C39" s="70" t="s">
        <v>120</v>
      </c>
      <c r="D39" s="30"/>
      <c r="E39" s="30"/>
      <c r="F39" s="30"/>
      <c r="G39" s="30"/>
      <c r="H39" s="30"/>
      <c r="I39" s="30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163"/>
      <c r="U39" s="29"/>
      <c r="V39" s="29"/>
      <c r="W39" s="29"/>
    </row>
    <row r="40" spans="1:23">
      <c r="A40" s="29"/>
      <c r="B40" s="29"/>
      <c r="C40" s="29"/>
      <c r="D40" s="30"/>
      <c r="E40" s="30"/>
      <c r="F40" s="30"/>
      <c r="G40" s="30"/>
      <c r="H40" s="30"/>
      <c r="I40" s="30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163"/>
      <c r="U40" s="29"/>
      <c r="V40" s="29"/>
      <c r="W40" s="29"/>
    </row>
    <row r="41" spans="1:23">
      <c r="A41" s="29"/>
      <c r="B41" s="29"/>
      <c r="C41" s="62" t="s">
        <v>115</v>
      </c>
      <c r="D41" s="182" t="s">
        <v>128</v>
      </c>
      <c r="E41" s="30" t="str">
        <f>$E$46</f>
        <v>$millions</v>
      </c>
      <c r="F41" s="185" t="str">
        <f>$F$46</f>
        <v>nominal</v>
      </c>
      <c r="G41" s="32"/>
      <c r="H41" s="32"/>
      <c r="I41" s="30"/>
      <c r="J41" s="60"/>
      <c r="K41" s="60"/>
      <c r="L41" s="60"/>
      <c r="M41" s="60">
        <v>0</v>
      </c>
      <c r="N41" s="60"/>
      <c r="O41" s="29"/>
      <c r="P41" s="29"/>
      <c r="Q41" s="29"/>
      <c r="R41" s="29"/>
      <c r="S41" s="29"/>
      <c r="T41" s="163"/>
      <c r="U41" s="29"/>
      <c r="V41" s="29"/>
      <c r="W41" s="29"/>
    </row>
    <row r="42" spans="1:23">
      <c r="A42" s="29"/>
      <c r="B42" s="29"/>
      <c r="C42" s="62"/>
      <c r="D42" s="30"/>
      <c r="E42" s="30" t="str">
        <f>$E$46</f>
        <v>$millions</v>
      </c>
      <c r="F42" s="185" t="str">
        <f>$F$46</f>
        <v>nominal</v>
      </c>
      <c r="G42" s="32"/>
      <c r="H42" s="32"/>
      <c r="I42" s="30"/>
      <c r="J42" s="60"/>
      <c r="K42" s="60"/>
      <c r="L42" s="60"/>
      <c r="M42" s="60"/>
      <c r="N42" s="60"/>
      <c r="O42" s="29"/>
      <c r="P42" s="29"/>
      <c r="Q42" s="29"/>
      <c r="R42" s="29"/>
      <c r="S42" s="29"/>
      <c r="T42" s="163"/>
      <c r="U42" s="29"/>
      <c r="V42" s="29"/>
      <c r="W42" s="29"/>
    </row>
    <row r="43" spans="1:23">
      <c r="A43" s="29"/>
      <c r="B43" s="29"/>
      <c r="C43" s="62"/>
      <c r="D43" s="30"/>
      <c r="E43" s="30" t="str">
        <f>$E$46</f>
        <v>$millions</v>
      </c>
      <c r="F43" s="185" t="str">
        <f>$F$46</f>
        <v>nominal</v>
      </c>
      <c r="G43" s="32"/>
      <c r="H43" s="32"/>
      <c r="I43" s="30"/>
      <c r="J43" s="60"/>
      <c r="K43" s="60"/>
      <c r="L43" s="60"/>
      <c r="M43" s="60"/>
      <c r="N43" s="60"/>
      <c r="O43" s="29"/>
      <c r="P43" s="29"/>
      <c r="Q43" s="29"/>
      <c r="R43" s="29"/>
      <c r="S43" s="29"/>
      <c r="T43" s="163"/>
      <c r="U43" s="29"/>
      <c r="V43" s="29"/>
      <c r="W43" s="29"/>
    </row>
    <row r="44" spans="1:23">
      <c r="A44" s="29"/>
      <c r="B44" s="29"/>
      <c r="C44" s="62"/>
      <c r="D44" s="30"/>
      <c r="E44" s="30" t="str">
        <f>$E$46</f>
        <v>$millions</v>
      </c>
      <c r="F44" s="185" t="str">
        <f>$F$46</f>
        <v>nominal</v>
      </c>
      <c r="G44" s="32"/>
      <c r="H44" s="32"/>
      <c r="I44" s="30"/>
      <c r="J44" s="60"/>
      <c r="K44" s="60"/>
      <c r="L44" s="60"/>
      <c r="M44" s="60"/>
      <c r="N44" s="60"/>
      <c r="O44" s="29"/>
      <c r="P44" s="29"/>
      <c r="Q44" s="29"/>
      <c r="R44" s="29"/>
      <c r="S44" s="29"/>
      <c r="T44" s="163"/>
      <c r="U44" s="29"/>
      <c r="V44" s="29"/>
      <c r="W44" s="29"/>
    </row>
    <row r="45" spans="1:23">
      <c r="A45" s="29"/>
      <c r="B45" s="29"/>
      <c r="C45" s="117"/>
      <c r="D45" s="30"/>
      <c r="E45" s="30"/>
      <c r="F45" s="30"/>
      <c r="G45" s="32"/>
      <c r="H45" s="32"/>
      <c r="I45" s="30"/>
      <c r="J45" s="29"/>
      <c r="K45" s="29"/>
      <c r="L45" s="29"/>
      <c r="M45" s="29"/>
      <c r="N45" s="149"/>
      <c r="O45" s="29"/>
      <c r="P45" s="29"/>
      <c r="Q45" s="29"/>
      <c r="R45" s="29"/>
      <c r="S45" s="29"/>
      <c r="T45" s="29"/>
      <c r="U45" s="29"/>
      <c r="V45" s="29"/>
      <c r="W45" s="29"/>
    </row>
    <row r="46" spans="1:23" ht="10.5">
      <c r="A46" s="29"/>
      <c r="B46" s="29"/>
      <c r="C46" s="147" t="s">
        <v>79</v>
      </c>
      <c r="D46" s="148" t="s">
        <v>30</v>
      </c>
      <c r="E46" s="138" t="s">
        <v>15</v>
      </c>
      <c r="F46" s="177" t="s">
        <v>108</v>
      </c>
      <c r="G46" s="32"/>
      <c r="H46" s="32"/>
      <c r="I46" s="30"/>
      <c r="J46" s="137">
        <f>SUM(J32:J44)</f>
        <v>0</v>
      </c>
      <c r="K46" s="137">
        <f t="shared" ref="K46:S46" si="4">SUM(K32:K44)</f>
        <v>0</v>
      </c>
      <c r="L46" s="137">
        <f t="shared" si="4"/>
        <v>4.6136060857584171</v>
      </c>
      <c r="M46" s="137">
        <f t="shared" si="4"/>
        <v>4.7058782074735852</v>
      </c>
      <c r="N46" s="137">
        <f t="shared" si="4"/>
        <v>0</v>
      </c>
      <c r="O46" s="137">
        <f t="shared" si="4"/>
        <v>0</v>
      </c>
      <c r="P46" s="137">
        <f t="shared" si="4"/>
        <v>0</v>
      </c>
      <c r="Q46" s="137">
        <f t="shared" si="4"/>
        <v>0</v>
      </c>
      <c r="R46" s="137">
        <f t="shared" si="4"/>
        <v>0</v>
      </c>
      <c r="S46" s="137">
        <f t="shared" si="4"/>
        <v>0</v>
      </c>
      <c r="T46" s="29"/>
      <c r="U46" s="29"/>
      <c r="V46" s="29"/>
      <c r="W46" s="29"/>
    </row>
    <row r="47" spans="1:23">
      <c r="A47" s="29"/>
      <c r="B47" s="29"/>
      <c r="C47" s="29"/>
      <c r="D47" s="30"/>
      <c r="E47" s="30"/>
      <c r="F47" s="30"/>
      <c r="G47" s="32"/>
      <c r="H47" s="32"/>
      <c r="I47" s="30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1:23" ht="12.3">
      <c r="A48" s="99"/>
      <c r="B48" s="100" t="s">
        <v>121</v>
      </c>
      <c r="C48" s="99"/>
      <c r="D48" s="99"/>
      <c r="E48" s="99"/>
      <c r="F48" s="101"/>
      <c r="G48" s="101"/>
      <c r="H48" s="101"/>
      <c r="I48" s="101"/>
      <c r="J48" s="102"/>
      <c r="K48" s="103"/>
      <c r="L48" s="102"/>
      <c r="M48" s="103"/>
      <c r="N48" s="102"/>
      <c r="O48" s="102"/>
      <c r="P48" s="102"/>
      <c r="Q48" s="102"/>
      <c r="R48" s="102"/>
      <c r="S48" s="102"/>
      <c r="T48" s="102"/>
      <c r="U48" s="102"/>
      <c r="V48" s="103"/>
      <c r="W48" s="103"/>
    </row>
    <row r="49" spans="1:23">
      <c r="A49" s="29"/>
      <c r="B49" s="29"/>
      <c r="C49" s="29"/>
      <c r="D49" s="30"/>
      <c r="E49" s="30"/>
      <c r="F49" s="30"/>
      <c r="G49" s="30"/>
      <c r="H49" s="30"/>
      <c r="I49" s="30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23" ht="10.5">
      <c r="A50" s="29"/>
      <c r="B50" s="29"/>
      <c r="C50" s="70" t="s">
        <v>122</v>
      </c>
      <c r="D50" s="32" t="s">
        <v>7</v>
      </c>
      <c r="E50" s="32" t="s">
        <v>8</v>
      </c>
      <c r="F50" s="32" t="s">
        <v>22</v>
      </c>
      <c r="G50" s="32"/>
      <c r="H50" s="32"/>
      <c r="I50" s="32"/>
      <c r="J50" s="111" t="str">
        <f>IF(RIGHT(J4,2)=RIGHT('Input|General'!$G$10,2),'Input|Reported opex'!J4,"")</f>
        <v/>
      </c>
      <c r="K50" s="111" t="str">
        <f ca="1">IF(RIGHT(K4,2)=RIGHT('Input|General'!$G$10,2),'Input|Reported opex'!K4,"")</f>
        <v/>
      </c>
      <c r="L50" s="111" t="str">
        <f ca="1">IF(RIGHT(L4,2)=RIGHT('Input|General'!$G$10,2),'Input|Reported opex'!L4,"")</f>
        <v/>
      </c>
      <c r="M50" s="111" t="str">
        <f ca="1">IF(RIGHT(M4,2)=RIGHT('Input|General'!$G$10,2),'Input|Reported opex'!M4,"")</f>
        <v/>
      </c>
      <c r="N50" s="169">
        <f ca="1">IF(RIGHT(N$4,2)=RIGHT('Input|General'!$G$10,2),N$4,"")</f>
        <v>2019</v>
      </c>
      <c r="O50" s="111" t="str">
        <f ca="1">IF(RIGHT(O$4,2)&lt;=RIGHT('Input|General'!$G$10,2),'Input|Reported opex'!O$4,"")</f>
        <v/>
      </c>
      <c r="P50" s="111" t="str">
        <f ca="1">IF(RIGHT(P$4,2)&lt;=RIGHT('Input|General'!$G$10,2),'Input|Reported opex'!P$4,"")</f>
        <v/>
      </c>
      <c r="Q50" s="111" t="str">
        <f ca="1">IF(RIGHT(Q$4,2)&lt;=RIGHT('Input|General'!$G$10,2),'Input|Reported opex'!Q$4,"")</f>
        <v/>
      </c>
      <c r="R50" s="111" t="str">
        <f ca="1">IF(RIGHT(R$4,2)&lt;=RIGHT('Input|General'!$G$10,2),'Input|Reported opex'!R$4,"")</f>
        <v/>
      </c>
      <c r="S50" s="111" t="str">
        <f ca="1">IF(RIGHT(S$4,2)&lt;=RIGHT('Input|General'!$G$10,2),'Input|Reported opex'!S$4,"")</f>
        <v/>
      </c>
      <c r="T50" s="145" t="s">
        <v>56</v>
      </c>
      <c r="U50" s="146"/>
      <c r="V50" s="146"/>
      <c r="W50" s="29"/>
    </row>
    <row r="51" spans="1:23" ht="10.5">
      <c r="A51" s="29"/>
      <c r="B51" s="29"/>
      <c r="C51" s="62" t="s">
        <v>130</v>
      </c>
      <c r="D51" s="30" t="s">
        <v>124</v>
      </c>
      <c r="E51" s="30" t="str">
        <f>$E$46</f>
        <v>$millions</v>
      </c>
      <c r="F51" s="185">
        <v>2017</v>
      </c>
      <c r="G51" s="32"/>
      <c r="H51" s="32"/>
      <c r="I51" s="32"/>
      <c r="J51" s="127"/>
      <c r="K51" s="127"/>
      <c r="L51" s="127"/>
      <c r="M51" s="127"/>
      <c r="N51" s="60"/>
      <c r="O51" s="127"/>
      <c r="P51" s="127"/>
      <c r="Q51" s="127"/>
      <c r="R51" s="127"/>
      <c r="S51" s="127"/>
      <c r="T51" s="131"/>
      <c r="U51" s="150"/>
      <c r="V51" s="150"/>
      <c r="W51" s="29"/>
    </row>
    <row r="52" spans="1:23" ht="10.5">
      <c r="A52" s="29"/>
      <c r="B52" s="29"/>
      <c r="C52" s="62" t="s">
        <v>131</v>
      </c>
      <c r="D52" s="182" t="s">
        <v>124</v>
      </c>
      <c r="E52" s="30" t="str">
        <f>$E$46</f>
        <v>$millions</v>
      </c>
      <c r="F52" s="185">
        <v>2017</v>
      </c>
      <c r="G52" s="32"/>
      <c r="H52" s="32"/>
      <c r="I52" s="32"/>
      <c r="J52" s="127"/>
      <c r="K52" s="127"/>
      <c r="L52" s="127"/>
      <c r="M52" s="127"/>
      <c r="N52" s="60">
        <v>-0.13328844044014879</v>
      </c>
      <c r="O52" s="127"/>
      <c r="P52" s="127"/>
      <c r="Q52" s="127"/>
      <c r="R52" s="127"/>
      <c r="S52" s="127"/>
      <c r="T52" s="131"/>
      <c r="U52" s="150"/>
      <c r="V52" s="150"/>
      <c r="W52" s="29"/>
    </row>
    <row r="53" spans="1:23" ht="10.5">
      <c r="A53" s="29"/>
      <c r="B53" s="29"/>
      <c r="C53" s="62" t="s">
        <v>132</v>
      </c>
      <c r="D53" s="182" t="s">
        <v>124</v>
      </c>
      <c r="E53" s="30" t="str">
        <f>$E$46</f>
        <v>$millions</v>
      </c>
      <c r="F53" s="185">
        <v>2017</v>
      </c>
      <c r="G53" s="32"/>
      <c r="H53" s="32"/>
      <c r="I53" s="32"/>
      <c r="J53" s="127"/>
      <c r="K53" s="127"/>
      <c r="L53" s="127"/>
      <c r="M53" s="127"/>
      <c r="N53" s="60"/>
      <c r="O53" s="127"/>
      <c r="P53" s="127"/>
      <c r="Q53" s="127"/>
      <c r="R53" s="127"/>
      <c r="S53" s="127"/>
      <c r="T53" s="131"/>
      <c r="U53" s="150"/>
      <c r="V53" s="150"/>
      <c r="W53" s="29"/>
    </row>
    <row r="54" spans="1:23" ht="10.5">
      <c r="A54" s="29"/>
      <c r="B54" s="29"/>
      <c r="C54" s="62" t="s">
        <v>133</v>
      </c>
      <c r="D54" s="182" t="s">
        <v>124</v>
      </c>
      <c r="E54" s="30" t="str">
        <f>$E$46</f>
        <v>$millions</v>
      </c>
      <c r="F54" s="185">
        <v>2017</v>
      </c>
      <c r="G54" s="32"/>
      <c r="H54" s="32"/>
      <c r="I54" s="32"/>
      <c r="J54" s="127"/>
      <c r="K54" s="127"/>
      <c r="L54" s="127"/>
      <c r="M54" s="127"/>
      <c r="N54" s="60"/>
      <c r="O54" s="127"/>
      <c r="P54" s="127"/>
      <c r="Q54" s="127"/>
      <c r="R54" s="127"/>
      <c r="S54" s="127"/>
      <c r="T54" s="131"/>
      <c r="U54" s="150"/>
      <c r="V54" s="150"/>
      <c r="W54" s="29"/>
    </row>
    <row r="55" spans="1:23" ht="10.5">
      <c r="A55" s="29"/>
      <c r="B55" s="29"/>
      <c r="C55" s="62" t="s">
        <v>123</v>
      </c>
      <c r="D55" s="182" t="s">
        <v>124</v>
      </c>
      <c r="E55" s="30" t="str">
        <f>$E$46</f>
        <v>$millions</v>
      </c>
      <c r="F55" s="185">
        <v>2017</v>
      </c>
      <c r="G55" s="32"/>
      <c r="H55" s="32"/>
      <c r="I55" s="32"/>
      <c r="J55" s="127"/>
      <c r="K55" s="127"/>
      <c r="L55" s="127"/>
      <c r="M55" s="127"/>
      <c r="N55" s="60"/>
      <c r="O55" s="127"/>
      <c r="P55" s="127"/>
      <c r="Q55" s="127"/>
      <c r="R55" s="127"/>
      <c r="S55" s="127"/>
      <c r="T55" s="131"/>
      <c r="U55" s="150"/>
      <c r="V55" s="150"/>
      <c r="W55" s="29"/>
    </row>
    <row r="56" spans="1:23" ht="10.5">
      <c r="A56" s="29"/>
      <c r="B56" s="29"/>
      <c r="C56" s="62" t="s">
        <v>94</v>
      </c>
      <c r="D56" s="182" t="s">
        <v>124</v>
      </c>
      <c r="E56" s="30" t="s">
        <v>31</v>
      </c>
      <c r="F56" s="32"/>
      <c r="G56" s="32"/>
      <c r="H56" s="32"/>
      <c r="I56" s="32"/>
      <c r="J56" s="29"/>
      <c r="K56" s="127"/>
      <c r="L56" s="127"/>
      <c r="M56" s="127"/>
      <c r="N56" s="162">
        <v>0</v>
      </c>
      <c r="O56" s="165"/>
      <c r="P56" s="127"/>
      <c r="Q56" s="127"/>
      <c r="R56" s="127"/>
      <c r="S56" s="127"/>
      <c r="T56" s="131"/>
      <c r="U56" s="150"/>
      <c r="V56" s="150"/>
      <c r="W56" s="29"/>
    </row>
    <row r="57" spans="1:23">
      <c r="A57" s="29"/>
      <c r="B57" s="29"/>
      <c r="C57" s="117"/>
      <c r="D57" s="30"/>
      <c r="E57" s="30"/>
      <c r="F57" s="30"/>
      <c r="G57" s="32"/>
      <c r="H57" s="32"/>
      <c r="I57" s="30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ht="12.3">
      <c r="A58" s="99"/>
      <c r="B58" s="100" t="s">
        <v>21</v>
      </c>
      <c r="C58" s="99"/>
      <c r="D58" s="99"/>
      <c r="E58" s="99"/>
      <c r="F58" s="101"/>
      <c r="G58" s="101"/>
      <c r="H58" s="101"/>
      <c r="I58" s="101"/>
      <c r="J58" s="102"/>
      <c r="K58" s="103"/>
      <c r="L58" s="102"/>
      <c r="M58" s="103"/>
      <c r="N58" s="102"/>
      <c r="O58" s="102"/>
      <c r="P58" s="102"/>
      <c r="Q58" s="102"/>
      <c r="R58" s="102"/>
      <c r="S58" s="102"/>
      <c r="T58" s="102"/>
      <c r="U58" s="102"/>
      <c r="V58" s="103"/>
      <c r="W58" s="103"/>
    </row>
  </sheetData>
  <conditionalFormatting sqref="W32:W37 W41:W44">
    <cfRule type="cellIs" dxfId="90" priority="13" operator="equal">
      <formula>"Check"</formula>
    </cfRule>
    <cfRule type="cellIs" dxfId="89" priority="14" operator="equal">
      <formula>"Ok"</formula>
    </cfRule>
  </conditionalFormatting>
  <conditionalFormatting sqref="W46">
    <cfRule type="cellIs" dxfId="88" priority="11" operator="equal">
      <formula>"Check"</formula>
    </cfRule>
    <cfRule type="cellIs" dxfId="87" priority="12" operator="equal">
      <formula>"Ok"</formula>
    </cfRule>
  </conditionalFormatting>
  <conditionalFormatting sqref="W24">
    <cfRule type="cellIs" dxfId="86" priority="9" operator="equal">
      <formula>"Check"</formula>
    </cfRule>
    <cfRule type="cellIs" dxfId="85" priority="10" operator="equal">
      <formula>"Ok"</formula>
    </cfRule>
  </conditionalFormatting>
  <conditionalFormatting sqref="V1">
    <cfRule type="cellIs" dxfId="84" priority="7" operator="equal">
      <formula>"Check"</formula>
    </cfRule>
    <cfRule type="cellIs" dxfId="83" priority="8" operator="equal">
      <formula>"Ok"</formula>
    </cfRule>
  </conditionalFormatting>
  <conditionalFormatting sqref="S1">
    <cfRule type="cellIs" dxfId="82" priority="5" operator="equal">
      <formula>"Check"</formula>
    </cfRule>
    <cfRule type="cellIs" dxfId="81" priority="6" operator="equal">
      <formula>"Ok"</formula>
    </cfRule>
  </conditionalFormatting>
  <conditionalFormatting sqref="J24:S24">
    <cfRule type="cellIs" dxfId="80" priority="4" operator="equal">
      <formula>0</formula>
    </cfRule>
  </conditionalFormatting>
  <conditionalFormatting sqref="J46:S46">
    <cfRule type="cellIs" dxfId="79" priority="3" operator="equal">
      <formula>0</formula>
    </cfRule>
  </conditionalFormatting>
  <conditionalFormatting sqref="W38:W40">
    <cfRule type="cellIs" dxfId="78" priority="1" operator="equal">
      <formula>"Check"</formula>
    </cfRule>
    <cfRule type="cellIs" dxfId="77" priority="2" operator="equal">
      <formula>"Ok"</formula>
    </cfRule>
  </conditionalFormatting>
  <hyperlinks>
    <hyperlink ref="J1" location="Index!A1" display="Back to Index" xr:uid="{00000000-0004-0000-0300-000000000000}"/>
    <hyperlink ref="U1" location="'Check|List'!A1" display="Overall Check:" xr:uid="{00000000-0004-0000-0300-000001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AX157"/>
  <sheetViews>
    <sheetView showGridLines="0" workbookViewId="0"/>
  </sheetViews>
  <sheetFormatPr defaultColWidth="0" defaultRowHeight="10.199999999999999" zeroHeight="1" outlineLevelRow="1"/>
  <cols>
    <col min="1" max="2" width="1.46484375" style="29" customWidth="1"/>
    <col min="3" max="3" width="57.46484375" style="29" bestFit="1" customWidth="1"/>
    <col min="4" max="4" width="27.6640625" style="30" customWidth="1"/>
    <col min="5" max="5" width="15.796875" style="30" customWidth="1"/>
    <col min="6" max="6" width="10.6640625" style="30" customWidth="1"/>
    <col min="7" max="9" width="3.33203125" style="30" customWidth="1"/>
    <col min="10" max="10" width="10.796875" style="30" customWidth="1"/>
    <col min="11" max="23" width="10.796875" style="29" customWidth="1"/>
    <col min="24" max="16384" width="10.46484375" style="29" hidden="1"/>
  </cols>
  <sheetData>
    <row r="1" spans="1:50" s="73" customFormat="1" ht="1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75"/>
      <c r="K1" s="37" t="s">
        <v>2</v>
      </c>
      <c r="M1" s="76" t="s">
        <v>3</v>
      </c>
      <c r="N1" s="77" t="s">
        <v>4</v>
      </c>
      <c r="O1" s="78" t="s">
        <v>5</v>
      </c>
      <c r="P1" s="79" t="s">
        <v>6</v>
      </c>
      <c r="S1" s="76" t="s">
        <v>87</v>
      </c>
      <c r="T1" s="80" t="str">
        <f>IF(COUNTIF(W5:W94,"Check")=0,"Ok","Check")</f>
        <v>Ok</v>
      </c>
      <c r="V1" s="176" t="s">
        <v>24</v>
      </c>
      <c r="W1" s="80" t="str">
        <f>'Check|List'!$S$1</f>
        <v>Ok</v>
      </c>
    </row>
    <row r="2" spans="1:50" s="81" customFormat="1" ht="12.9" thickBot="1">
      <c r="B2" s="82" t="str">
        <f>Index!$C$10</f>
        <v>Input | Rate of change</v>
      </c>
      <c r="C2" s="82"/>
      <c r="D2" s="82"/>
      <c r="E2" s="82"/>
      <c r="F2" s="83"/>
      <c r="G2" s="83"/>
      <c r="H2" s="83"/>
      <c r="I2" s="83"/>
      <c r="J2" s="83"/>
    </row>
    <row r="3" spans="1:50" s="84" customFormat="1" ht="10.5">
      <c r="C3" s="85"/>
      <c r="D3" s="86"/>
      <c r="E3" s="86"/>
      <c r="F3" s="86"/>
      <c r="G3" s="86"/>
      <c r="H3" s="86"/>
      <c r="I3" s="86"/>
      <c r="J3" s="158"/>
      <c r="K3" s="250"/>
      <c r="L3" s="250"/>
      <c r="M3" s="250"/>
      <c r="N3" s="86"/>
      <c r="O3" s="250"/>
      <c r="P3" s="250"/>
      <c r="Q3" s="250"/>
      <c r="R3" s="250"/>
      <c r="S3" s="250"/>
      <c r="T3" s="250"/>
      <c r="U3" s="87"/>
      <c r="V3" s="87"/>
      <c r="W3" s="87"/>
      <c r="X3" s="87"/>
      <c r="Y3" s="87"/>
      <c r="Z3" s="87"/>
      <c r="AA3" s="87"/>
      <c r="AB3" s="87"/>
      <c r="AC3" s="87"/>
    </row>
    <row r="4" spans="1:50" s="98" customFormat="1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92">
        <f ca="1">IF(OFFSET('Lookup|Tables'!$G$26:$G$43,MATCH('Input|General'!$G$8,'Lookup|Tables'!$G$26:$G$42,0)-2,0,1,1)&lt;='Input|General'!$G$12,OFFSET('Lookup|Tables'!$G$26:$G$43,MATCH('Input|General'!$G$8,'Lookup|Tables'!$G$26:$G$42,0)-2,0,1,1),"")</f>
        <v>2014</v>
      </c>
      <c r="K4" s="92">
        <f>'Input|General'!$G$8</f>
        <v>2015</v>
      </c>
      <c r="L4" s="92">
        <f ca="1">IF(OFFSET('Lookup|Tables'!$G$26:$G$43,MATCH('Input|General'!$G$8,'Lookup|Tables'!$G$26:$G$42,0),0,1,1)&lt;='Input|General'!$G$12,OFFSET('Lookup|Tables'!$G$26:$G$43,MATCH('Input|General'!$G$8,'Lookup|Tables'!$G$26:$G$42,0),0,1,1),"")</f>
        <v>2016</v>
      </c>
      <c r="M4" s="92">
        <f ca="1">IF(OFFSET('Lookup|Tables'!$G$26:$G$43,MATCH('Input|General'!$G$8,'Lookup|Tables'!$G$26:$G$42,0)+1,0,1,1)&lt;='Input|General'!$G$12,OFFSET('Lookup|Tables'!$G$26:$G$43,MATCH('Input|General'!$G$8,'Lookup|Tables'!$G$26:$G$42,0)+1,0,1,1),"")</f>
        <v>2017</v>
      </c>
      <c r="N4" s="92">
        <f ca="1">IF(OFFSET('Lookup|Tables'!$G$26:$G$43,MATCH('Input|General'!$G$8,'Lookup|Tables'!$G$26:$G$42,0)+2,0,1,1)&lt;='Input|General'!$G$12,OFFSET('Lookup|Tables'!$G$26:$G$43,MATCH('Input|General'!$G$8,'Lookup|Tables'!$G$26:$G$42,0)+2,0,1,1),"")</f>
        <v>2018</v>
      </c>
      <c r="O4" s="92">
        <f ca="1">IF(OFFSET('Lookup|Tables'!$G$26:$G$43,MATCH('Input|General'!$G$8,'Lookup|Tables'!$G$26:$G$42,0)+3,0,1,1)&lt;='Input|General'!$G$12,OFFSET('Lookup|Tables'!$G$26:$G$43,MATCH('Input|General'!$G$8,'Lookup|Tables'!$G$26:$G$42,0)+3,0,1,1),"")</f>
        <v>2019</v>
      </c>
      <c r="P4" s="92">
        <f ca="1">IF(OFFSET('Lookup|Tables'!$G$26:$G$43,MATCH('Input|General'!$G$8,'Lookup|Tables'!$G$26:$G$42,0)+4,0,1,1)&lt;='Input|General'!$G$12,OFFSET('Lookup|Tables'!$G$26:$G$43,MATCH('Input|General'!$G$8,'Lookup|Tables'!$G$26:$G$42,0)+4,0,1,1),"")</f>
        <v>2020</v>
      </c>
      <c r="Q4" s="92">
        <f ca="1">IF(OFFSET('Lookup|Tables'!$G$26:$G$43,MATCH('Input|General'!$G$8,'Lookup|Tables'!$G$26:$G$42,0)+5,0,1,1)&lt;='Input|General'!$G$12,OFFSET('Lookup|Tables'!$G$26:$G$43,MATCH('Input|General'!$G$8,'Lookup|Tables'!$G$26:$G$42,0)+5,0,1,1),"")</f>
        <v>2021</v>
      </c>
      <c r="R4" s="92">
        <f ca="1">IF(OFFSET('Lookup|Tables'!$G$26:$G$43,MATCH('Input|General'!$G$8,'Lookup|Tables'!$G$26:$G$42,0)+6,0,1,1)&lt;='Input|General'!$G$12,OFFSET('Lookup|Tables'!$G$26:$G$43,MATCH('Input|General'!$G$8,'Lookup|Tables'!$G$26:$G$42,0)+6,0,1,1),"")</f>
        <v>2022</v>
      </c>
      <c r="S4" s="92">
        <f ca="1">IF(OFFSET('Lookup|Tables'!$G$26:$G$43,MATCH('Input|General'!$G$8,'Lookup|Tables'!$G$26:$G$42,0)+7,0,1,1)&lt;='Input|General'!$G$12,OFFSET('Lookup|Tables'!$G$26:$G$43,MATCH('Input|General'!$G$8,'Lookup|Tables'!$G$26:$G$42,0)+7,0,1,1),"")</f>
        <v>2023</v>
      </c>
      <c r="T4" s="92">
        <f ca="1">IF(OFFSET('Lookup|Tables'!$G$28:$G$43,MATCH('Input|General'!$G$8,'Lookup|Tables'!$G$28:$G$42,0)+8,0,1,1)&lt;='Input|General'!$G$12,OFFSET('Lookup|Tables'!$G$28:$G$43,MATCH('Input|General'!$G$8,'Lookup|Tables'!$G$28:$G$42,0)+8,0,1,1),"")</f>
        <v>2024</v>
      </c>
      <c r="U4" s="92"/>
      <c r="V4" s="92"/>
      <c r="W4" s="93"/>
      <c r="X4" s="94"/>
      <c r="Y4" s="94"/>
      <c r="Z4" s="94"/>
      <c r="AA4" s="94"/>
      <c r="AB4" s="94"/>
      <c r="AC4" s="94"/>
      <c r="AD4" s="94"/>
      <c r="AE4" s="95"/>
      <c r="AF4" s="96"/>
      <c r="AG4" s="96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8" customFormat="1" ht="12.3">
      <c r="A8" s="99"/>
      <c r="B8" s="100" t="s">
        <v>34</v>
      </c>
      <c r="C8" s="99"/>
      <c r="D8" s="99"/>
      <c r="E8" s="99"/>
      <c r="F8" s="101"/>
      <c r="G8" s="101"/>
      <c r="H8" s="101"/>
      <c r="I8" s="101"/>
      <c r="J8" s="101"/>
      <c r="K8" s="102"/>
      <c r="L8" s="103"/>
      <c r="M8" s="102"/>
      <c r="N8" s="103"/>
      <c r="O8" s="102"/>
      <c r="P8" s="102"/>
      <c r="Q8" s="102"/>
      <c r="R8" s="102"/>
      <c r="S8" s="102"/>
      <c r="T8" s="102"/>
      <c r="U8" s="102"/>
      <c r="V8" s="102"/>
      <c r="W8" s="103"/>
      <c r="X8" s="104"/>
      <c r="Y8" s="104"/>
      <c r="Z8" s="104"/>
      <c r="AA8" s="104"/>
      <c r="AB8" s="104"/>
      <c r="AC8" s="104"/>
      <c r="AD8" s="104"/>
      <c r="AE8" s="105"/>
      <c r="AF8" s="106"/>
      <c r="AG8" s="106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</row>
    <row r="9" spans="1:50" ht="11.25" customHeight="1" outlineLevel="1"/>
    <row r="10" spans="1:50" ht="11.25" customHeight="1" outlineLevel="1">
      <c r="C10" s="70" t="s">
        <v>33</v>
      </c>
      <c r="J10" s="169">
        <f ca="1">J$4</f>
        <v>2014</v>
      </c>
      <c r="K10" s="169">
        <f>K$4</f>
        <v>2015</v>
      </c>
      <c r="L10" s="169">
        <f t="shared" ref="L10:T10" ca="1" si="0">L$4</f>
        <v>2016</v>
      </c>
      <c r="M10" s="169">
        <f t="shared" ca="1" si="0"/>
        <v>2017</v>
      </c>
      <c r="N10" s="169">
        <f t="shared" ca="1" si="0"/>
        <v>2018</v>
      </c>
      <c r="O10" s="169">
        <f t="shared" ca="1" si="0"/>
        <v>2019</v>
      </c>
      <c r="P10" s="169">
        <f t="shared" ca="1" si="0"/>
        <v>2020</v>
      </c>
      <c r="Q10" s="169">
        <f t="shared" ca="1" si="0"/>
        <v>2021</v>
      </c>
      <c r="R10" s="169">
        <f t="shared" ca="1" si="0"/>
        <v>2022</v>
      </c>
      <c r="S10" s="169">
        <f t="shared" ca="1" si="0"/>
        <v>2023</v>
      </c>
      <c r="T10" s="169">
        <f t="shared" ca="1" si="0"/>
        <v>2024</v>
      </c>
    </row>
    <row r="11" spans="1:50" ht="11.25" customHeight="1" outlineLevel="1">
      <c r="C11" s="70"/>
      <c r="J11" s="29"/>
      <c r="P11" s="152"/>
      <c r="Q11" s="152"/>
      <c r="R11" s="152"/>
      <c r="S11" s="152"/>
      <c r="T11" s="152"/>
      <c r="U11" s="127"/>
      <c r="V11" s="127"/>
      <c r="W11" s="127"/>
    </row>
    <row r="12" spans="1:50" ht="11.25" customHeight="1" outlineLevel="1">
      <c r="C12" s="117" t="s">
        <v>33</v>
      </c>
      <c r="D12" s="153" t="s">
        <v>106</v>
      </c>
      <c r="E12" s="30" t="str">
        <f>percent</f>
        <v>Per cent</v>
      </c>
      <c r="J12" s="152">
        <f>'Input|Inflation'!E38/'Input|Inflation'!E34-1</f>
        <v>3.0155642023346418E-2</v>
      </c>
      <c r="K12" s="152">
        <f>'Input|Inflation'!$E42/'Input|Inflation'!$E38-1</f>
        <v>1.5108593012275628E-2</v>
      </c>
      <c r="L12" s="152">
        <f>'Input|Inflation'!E46/'Input|Inflation'!E42-1</f>
        <v>1.0232558139534831E-2</v>
      </c>
      <c r="M12" s="152">
        <f>'Input|Inflation'!E50/'Input|Inflation'!E46-1</f>
        <v>1.9337016574585641E-2</v>
      </c>
      <c r="N12" s="152">
        <f>'Input|Inflation'!E54/'Input|Inflation'!E50-1</f>
        <v>2.0000000000000018E-2</v>
      </c>
      <c r="O12" s="152">
        <f>'Input|Inflation'!E58/'Input|Inflation'!E54-1</f>
        <v>2.2499999999999964E-2</v>
      </c>
      <c r="P12" s="152"/>
      <c r="Q12" s="152"/>
      <c r="R12" s="152"/>
      <c r="S12" s="152"/>
      <c r="T12" s="152"/>
      <c r="U12" s="154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70" t="s">
        <v>107</v>
      </c>
      <c r="I14" s="29"/>
      <c r="J14" s="169">
        <f ca="1">J$4</f>
        <v>2014</v>
      </c>
      <c r="K14" s="169">
        <f>K$4</f>
        <v>2015</v>
      </c>
      <c r="L14" s="169">
        <f ca="1">L4</f>
        <v>2016</v>
      </c>
      <c r="M14" s="169">
        <f ca="1">M4</f>
        <v>2017</v>
      </c>
      <c r="N14" s="169">
        <f ca="1">N4</f>
        <v>2018</v>
      </c>
      <c r="O14" s="169">
        <f ca="1">O4</f>
        <v>2019</v>
      </c>
      <c r="P14" s="26"/>
      <c r="Q14" s="26"/>
      <c r="R14" s="26"/>
      <c r="S14" s="26"/>
      <c r="T14" s="26"/>
    </row>
    <row r="15" spans="1:50" ht="11.25" customHeight="1" outlineLevel="1">
      <c r="C15" s="70"/>
      <c r="I15" s="29"/>
      <c r="J15" s="127"/>
      <c r="K15" s="127"/>
      <c r="L15" s="127"/>
      <c r="M15" s="127"/>
      <c r="N15" s="127"/>
      <c r="O15" s="127"/>
      <c r="P15" s="26"/>
      <c r="Q15" s="26"/>
      <c r="R15" s="26"/>
      <c r="S15" s="26"/>
      <c r="T15" s="26"/>
    </row>
    <row r="16" spans="1:50" ht="11.25" customHeight="1" outlineLevel="1">
      <c r="C16" s="175">
        <f t="array" ref="C16:C21" ca="1">TRANSPOSE(J10:O10)</f>
        <v>2014</v>
      </c>
      <c r="D16" s="153" t="s">
        <v>106</v>
      </c>
      <c r="E16" s="30" t="s">
        <v>88</v>
      </c>
      <c r="J16" s="22">
        <v>1</v>
      </c>
      <c r="K16" s="22">
        <f>J16*(1+K$12)</f>
        <v>1.0151085930122756</v>
      </c>
      <c r="L16" s="22">
        <f>K16*(1+L$12)</f>
        <v>1.0254957507082152</v>
      </c>
      <c r="M16" s="22">
        <f>L16*(1+M$12)</f>
        <v>1.0453257790368271</v>
      </c>
      <c r="N16" s="22">
        <f>M16*(1+N$12)</f>
        <v>1.0662322946175637</v>
      </c>
      <c r="O16" s="22">
        <f>N16*(1+O$12)</f>
        <v>1.0902225212464589</v>
      </c>
      <c r="P16" s="150"/>
    </row>
    <row r="17" spans="1:50" ht="11.25" customHeight="1" outlineLevel="1">
      <c r="C17" s="175">
        <v>2015</v>
      </c>
      <c r="D17" s="153" t="s">
        <v>106</v>
      </c>
      <c r="E17" s="30" t="s">
        <v>88</v>
      </c>
      <c r="I17" s="22"/>
      <c r="J17" s="22">
        <f>K17/(1+K$12)</f>
        <v>0.98511627906976751</v>
      </c>
      <c r="K17" s="22">
        <v>1</v>
      </c>
      <c r="L17" s="22">
        <f>K17*(1+L$12)</f>
        <v>1.0102325581395348</v>
      </c>
      <c r="M17" s="22">
        <f>L17*(1+M$12)</f>
        <v>1.029767441860465</v>
      </c>
      <c r="N17" s="22">
        <f>M17*(1+N$12)</f>
        <v>1.0503627906976742</v>
      </c>
      <c r="O17" s="22">
        <f>N17*(1+O$12)</f>
        <v>1.0739959534883718</v>
      </c>
      <c r="P17" s="150"/>
    </row>
    <row r="18" spans="1:50" ht="11.25" customHeight="1" outlineLevel="1">
      <c r="C18" s="175">
        <f ca="1"/>
        <v>2016</v>
      </c>
      <c r="D18" s="153" t="s">
        <v>106</v>
      </c>
      <c r="E18" s="30" t="s">
        <v>88</v>
      </c>
      <c r="I18" s="22"/>
      <c r="J18" s="22">
        <f>K18/(1+K$12)</f>
        <v>0.97513812154696156</v>
      </c>
      <c r="K18" s="22">
        <f>L18/(1+L$12)</f>
        <v>0.98987108655616951</v>
      </c>
      <c r="L18" s="22">
        <v>1</v>
      </c>
      <c r="M18" s="22">
        <f>L18*(1+M$12)</f>
        <v>1.0193370165745856</v>
      </c>
      <c r="N18" s="22">
        <f>M18*(1+N$12)</f>
        <v>1.0397237569060773</v>
      </c>
      <c r="O18" s="22">
        <f>N18*(1+O$12)</f>
        <v>1.063117541436464</v>
      </c>
      <c r="P18" s="150"/>
    </row>
    <row r="19" spans="1:50" ht="11.25" customHeight="1" outlineLevel="1">
      <c r="C19" s="175">
        <f ca="1"/>
        <v>2017</v>
      </c>
      <c r="D19" s="153" t="s">
        <v>106</v>
      </c>
      <c r="E19" s="30" t="s">
        <v>88</v>
      </c>
      <c r="I19" s="22"/>
      <c r="J19" s="22">
        <f t="shared" ref="J19:N21" si="1">K19/(1+K$12)</f>
        <v>0.95663956639566416</v>
      </c>
      <c r="K19" s="22">
        <f t="shared" si="1"/>
        <v>0.97109304426377607</v>
      </c>
      <c r="L19" s="22">
        <f t="shared" si="1"/>
        <v>0.98102981029810299</v>
      </c>
      <c r="M19" s="22">
        <v>1</v>
      </c>
      <c r="N19" s="22">
        <f>M19*(1+N$12)</f>
        <v>1.02</v>
      </c>
      <c r="O19" s="22">
        <f>N19*(1+O$12)</f>
        <v>1.04295</v>
      </c>
      <c r="P19" s="150"/>
    </row>
    <row r="20" spans="1:50" ht="11.25" customHeight="1" outlineLevel="1">
      <c r="C20" s="175">
        <f ca="1"/>
        <v>2018</v>
      </c>
      <c r="D20" s="153" t="s">
        <v>106</v>
      </c>
      <c r="E20" s="30" t="s">
        <v>88</v>
      </c>
      <c r="I20" s="22"/>
      <c r="J20" s="22">
        <f t="shared" si="1"/>
        <v>0.93788192783888624</v>
      </c>
      <c r="K20" s="22">
        <f t="shared" si="1"/>
        <v>0.95205200418017244</v>
      </c>
      <c r="L20" s="22">
        <f t="shared" si="1"/>
        <v>0.96179393166480676</v>
      </c>
      <c r="M20" s="22">
        <f t="shared" si="1"/>
        <v>0.98039215686274506</v>
      </c>
      <c r="N20" s="22">
        <v>1</v>
      </c>
      <c r="O20" s="22">
        <f>N20*(1+O$12)</f>
        <v>1.0225</v>
      </c>
      <c r="P20" s="150"/>
      <c r="Q20" s="155"/>
    </row>
    <row r="21" spans="1:50" ht="11.25" customHeight="1" outlineLevel="1">
      <c r="C21" s="175">
        <f ca="1"/>
        <v>2019</v>
      </c>
      <c r="D21" s="153" t="s">
        <v>106</v>
      </c>
      <c r="E21" s="30" t="s">
        <v>88</v>
      </c>
      <c r="I21" s="22"/>
      <c r="J21" s="22">
        <f t="shared" si="1"/>
        <v>0.91724393920673475</v>
      </c>
      <c r="K21" s="22">
        <f t="shared" si="1"/>
        <v>0.93110220457718584</v>
      </c>
      <c r="L21" s="22">
        <f t="shared" si="1"/>
        <v>0.94062976201937099</v>
      </c>
      <c r="M21" s="22">
        <f t="shared" si="1"/>
        <v>0.95881873531808814</v>
      </c>
      <c r="N21" s="22">
        <f t="shared" si="1"/>
        <v>0.97799511002444994</v>
      </c>
      <c r="O21" s="22">
        <v>1</v>
      </c>
    </row>
    <row r="22" spans="1:50" ht="11.25" customHeight="1" outlineLevel="1">
      <c r="C22" s="117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70" t="s">
        <v>46</v>
      </c>
      <c r="J23" s="169">
        <f t="shared" ref="J23:O23" ca="1" si="2">J10</f>
        <v>2014</v>
      </c>
      <c r="K23" s="169">
        <f t="shared" si="2"/>
        <v>2015</v>
      </c>
      <c r="L23" s="169">
        <f t="shared" ca="1" si="2"/>
        <v>2016</v>
      </c>
      <c r="M23" s="169">
        <f t="shared" ca="1" si="2"/>
        <v>2017</v>
      </c>
      <c r="N23" s="169">
        <f t="shared" ca="1" si="2"/>
        <v>2018</v>
      </c>
      <c r="O23" s="169">
        <f t="shared" ca="1" si="2"/>
        <v>2019</v>
      </c>
      <c r="P23" s="22"/>
      <c r="Q23" s="22"/>
      <c r="R23" s="22"/>
      <c r="S23" s="22"/>
      <c r="T23" s="22"/>
    </row>
    <row r="24" spans="1:50" ht="11.25" customHeight="1" outlineLevel="1">
      <c r="C24" s="117"/>
      <c r="J24" s="29"/>
      <c r="P24" s="150"/>
      <c r="Q24" s="22"/>
      <c r="R24" s="22"/>
      <c r="S24" s="22"/>
      <c r="T24" s="22"/>
    </row>
    <row r="25" spans="1:50" ht="11.25" customHeight="1" outlineLevel="1">
      <c r="C25" s="175">
        <f t="array" ref="C25:C30" ca="1">TRANSPOSE(J10:O10)</f>
        <v>2014</v>
      </c>
      <c r="D25" s="153" t="s">
        <v>106</v>
      </c>
      <c r="E25" s="30" t="s">
        <v>88</v>
      </c>
      <c r="I25" s="22"/>
      <c r="J25" s="22">
        <f t="shared" ref="J25:O30" si="3">1/J16*(1+J$12)^0.5</f>
        <v>1.0149658329339695</v>
      </c>
      <c r="K25" s="22">
        <f t="shared" si="3"/>
        <v>0.99253024088426012</v>
      </c>
      <c r="L25" s="22">
        <f t="shared" si="3"/>
        <v>0.98011450243194831</v>
      </c>
      <c r="M25" s="22">
        <f t="shared" si="3"/>
        <v>0.96584455776929623</v>
      </c>
      <c r="N25" s="22">
        <f t="shared" si="3"/>
        <v>0.94721431618093777</v>
      </c>
      <c r="O25" s="22">
        <f t="shared" si="3"/>
        <v>0.92750553313807593</v>
      </c>
      <c r="P25" s="150"/>
      <c r="Q25" s="155"/>
      <c r="R25" s="155"/>
      <c r="S25" s="155"/>
      <c r="T25" s="155"/>
      <c r="U25" s="155"/>
      <c r="V25" s="155"/>
    </row>
    <row r="26" spans="1:50" ht="11.25" customHeight="1" outlineLevel="1">
      <c r="C26" s="175">
        <v>2015</v>
      </c>
      <c r="D26" s="153" t="s">
        <v>106</v>
      </c>
      <c r="E26" s="30" t="s">
        <v>88</v>
      </c>
      <c r="I26" s="22"/>
      <c r="J26" s="22">
        <f t="shared" si="3"/>
        <v>1.030300538625134</v>
      </c>
      <c r="K26" s="22">
        <f t="shared" si="3"/>
        <v>1.0075259763461564</v>
      </c>
      <c r="L26" s="22">
        <f t="shared" si="3"/>
        <v>0.99492265355462162</v>
      </c>
      <c r="M26" s="22">
        <f t="shared" si="3"/>
        <v>0.98043711010575396</v>
      </c>
      <c r="N26" s="22">
        <f t="shared" si="3"/>
        <v>0.96152539177951679</v>
      </c>
      <c r="O26" s="22">
        <f t="shared" si="3"/>
        <v>0.94151883675489312</v>
      </c>
      <c r="P26" s="150"/>
      <c r="Q26" s="155"/>
      <c r="R26" s="155"/>
      <c r="S26" s="155"/>
      <c r="T26" s="155"/>
      <c r="U26" s="155"/>
      <c r="V26" s="155"/>
    </row>
    <row r="27" spans="1:50" ht="11.25" customHeight="1" outlineLevel="1">
      <c r="C27" s="175">
        <f ca="1"/>
        <v>2016</v>
      </c>
      <c r="D27" s="153" t="s">
        <v>106</v>
      </c>
      <c r="E27" s="30" t="s">
        <v>88</v>
      </c>
      <c r="I27" s="22"/>
      <c r="J27" s="22">
        <f t="shared" si="3"/>
        <v>1.0408431487878098</v>
      </c>
      <c r="K27" s="22">
        <f t="shared" si="3"/>
        <v>1.0178355444762099</v>
      </c>
      <c r="L27" s="22">
        <f t="shared" si="3"/>
        <v>1.0051032574514596</v>
      </c>
      <c r="M27" s="22">
        <f t="shared" si="3"/>
        <v>0.99046948983706851</v>
      </c>
      <c r="N27" s="22">
        <f t="shared" si="3"/>
        <v>0.97136425625353962</v>
      </c>
      <c r="O27" s="22">
        <f t="shared" si="3"/>
        <v>0.95115298299145479</v>
      </c>
      <c r="P27" s="150"/>
      <c r="Q27" s="155"/>
      <c r="R27" s="155"/>
      <c r="S27" s="155"/>
      <c r="T27" s="155"/>
      <c r="U27" s="155"/>
      <c r="V27" s="155"/>
    </row>
    <row r="28" spans="1:50" ht="11.25" customHeight="1" outlineLevel="1">
      <c r="C28" s="175">
        <f ca="1"/>
        <v>2017</v>
      </c>
      <c r="D28" s="153" t="s">
        <v>106</v>
      </c>
      <c r="E28" s="30" t="s">
        <v>88</v>
      </c>
      <c r="I28" s="22"/>
      <c r="J28" s="22">
        <f t="shared" si="3"/>
        <v>1.0609699500074634</v>
      </c>
      <c r="K28" s="22">
        <f t="shared" si="3"/>
        <v>1.0375174472699489</v>
      </c>
      <c r="L28" s="22">
        <f t="shared" si="3"/>
        <v>1.0245389557999685</v>
      </c>
      <c r="M28" s="22">
        <f t="shared" si="3"/>
        <v>1.0096222147786693</v>
      </c>
      <c r="N28" s="22">
        <f t="shared" si="3"/>
        <v>0.99014754297667429</v>
      </c>
      <c r="O28" s="22">
        <f t="shared" si="3"/>
        <v>0.96954544398852682</v>
      </c>
      <c r="P28" s="150"/>
      <c r="Q28" s="155"/>
      <c r="R28" s="155"/>
      <c r="S28" s="155"/>
      <c r="T28" s="155"/>
      <c r="U28" s="155"/>
      <c r="V28" s="155"/>
    </row>
    <row r="29" spans="1:50" ht="11.25" customHeight="1" outlineLevel="1">
      <c r="C29" s="175">
        <f ca="1"/>
        <v>2018</v>
      </c>
      <c r="D29" s="153" t="s">
        <v>106</v>
      </c>
      <c r="E29" s="30" t="s">
        <v>88</v>
      </c>
      <c r="I29" s="22"/>
      <c r="J29" s="22">
        <f t="shared" si="3"/>
        <v>1.0821893490076131</v>
      </c>
      <c r="K29" s="22">
        <f t="shared" si="3"/>
        <v>1.0582677962153479</v>
      </c>
      <c r="L29" s="22">
        <f t="shared" si="3"/>
        <v>1.0450297349159681</v>
      </c>
      <c r="M29" s="22">
        <f t="shared" si="3"/>
        <v>1.0298146590742427</v>
      </c>
      <c r="N29" s="22">
        <f t="shared" si="3"/>
        <v>1.0099504938362078</v>
      </c>
      <c r="O29" s="22">
        <f t="shared" si="3"/>
        <v>0.98893635286829762</v>
      </c>
      <c r="Q29" s="155"/>
      <c r="R29" s="155"/>
      <c r="S29" s="155"/>
      <c r="T29" s="155"/>
      <c r="U29" s="155"/>
      <c r="V29" s="155"/>
    </row>
    <row r="30" spans="1:50" ht="11.25" customHeight="1" outlineLevel="1">
      <c r="C30" s="175">
        <f ca="1"/>
        <v>2019</v>
      </c>
      <c r="D30" s="153" t="s">
        <v>106</v>
      </c>
      <c r="E30" s="30" t="s">
        <v>88</v>
      </c>
      <c r="I30" s="22"/>
      <c r="J30" s="22">
        <f t="shared" si="3"/>
        <v>1.1065386093602845</v>
      </c>
      <c r="K30" s="22">
        <f t="shared" si="3"/>
        <v>1.0820788216301933</v>
      </c>
      <c r="L30" s="22">
        <f t="shared" si="3"/>
        <v>1.0685429039515772</v>
      </c>
      <c r="M30" s="22">
        <f t="shared" si="3"/>
        <v>1.0529854889034131</v>
      </c>
      <c r="N30" s="22">
        <f t="shared" si="3"/>
        <v>1.0326743799475224</v>
      </c>
      <c r="O30" s="22">
        <f t="shared" si="3"/>
        <v>1.0111874208078342</v>
      </c>
      <c r="P30" s="150"/>
      <c r="Q30" s="155"/>
      <c r="R30" s="155"/>
      <c r="S30" s="155"/>
      <c r="T30" s="155"/>
      <c r="U30" s="155"/>
      <c r="V30" s="155"/>
    </row>
    <row r="31" spans="1:50">
      <c r="C31" s="117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8" customFormat="1" ht="12.3">
      <c r="A32" s="99"/>
      <c r="B32" s="100" t="s">
        <v>82</v>
      </c>
      <c r="C32" s="99"/>
      <c r="D32" s="99"/>
      <c r="E32" s="99"/>
      <c r="F32" s="101"/>
      <c r="G32" s="101"/>
      <c r="H32" s="101"/>
      <c r="I32" s="101"/>
      <c r="J32" s="101"/>
      <c r="K32" s="102"/>
      <c r="L32" s="103"/>
      <c r="M32" s="102"/>
      <c r="N32" s="103"/>
      <c r="O32" s="102"/>
      <c r="P32" s="102"/>
      <c r="Q32" s="102"/>
      <c r="R32" s="102"/>
      <c r="S32" s="102"/>
      <c r="T32" s="102"/>
      <c r="U32" s="102"/>
      <c r="V32" s="102"/>
      <c r="W32" s="103"/>
      <c r="X32" s="104"/>
      <c r="Y32" s="104"/>
      <c r="Z32" s="104"/>
      <c r="AA32" s="104"/>
      <c r="AB32" s="104"/>
      <c r="AC32" s="104"/>
      <c r="AD32" s="104"/>
      <c r="AE32" s="105"/>
      <c r="AF32" s="106"/>
      <c r="AG32" s="106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</row>
    <row r="33" spans="3:21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1" ht="11.25" customHeight="1" outlineLevel="1">
      <c r="C34" s="70" t="s">
        <v>85</v>
      </c>
      <c r="D34" s="32" t="s">
        <v>7</v>
      </c>
      <c r="E34" s="32" t="s">
        <v>8</v>
      </c>
      <c r="K34" s="111" t="str">
        <f>IF(RIGHT(K$4,2)&gt;=RIGHT('Input|General'!$G$11,2),IF(RIGHT(K$4,2)&lt;=RIGHT('Input|General'!$G$12,2),K$4,""),"")</f>
        <v/>
      </c>
      <c r="L34" s="111" t="str">
        <f ca="1">IF(RIGHT(L$4,2)&gt;=RIGHT('Input|General'!$G$11,2),IF(RIGHT(L$4,2)&lt;=RIGHT('Input|General'!$G$12,2),L$4,""),"")</f>
        <v/>
      </c>
      <c r="M34" s="111" t="str">
        <f ca="1">IF(RIGHT(M$4,2)&gt;=RIGHT('Input|General'!$G$11,2),IF(RIGHT(M$4,2)&lt;=RIGHT('Input|General'!$G$12,2),M$4,""),"")</f>
        <v/>
      </c>
      <c r="N34" s="111" t="str">
        <f ca="1">IF(RIGHT(N$4,2)&gt;=RIGHT('Input|General'!$G$11,2),IF(RIGHT(N$4,2)&lt;=RIGHT('Input|General'!$G$12,2),N$4,""),"")</f>
        <v/>
      </c>
      <c r="O34" s="111" t="str">
        <f ca="1">IF(RIGHT(O$4,2)&gt;=RIGHT('Input|General'!$G$11,2),IF(RIGHT(O$4,2)&lt;=RIGHT('Input|General'!$G$12,2),O$4,""),"")</f>
        <v/>
      </c>
      <c r="P34" s="169">
        <f ca="1">IF(RIGHT(P$4,2)&gt;=RIGHT('Input|General'!$G$11,2),IF(RIGHT(P$4,2)&lt;=RIGHT('Input|General'!$G$12,2),P$4,""),"")</f>
        <v>2020</v>
      </c>
      <c r="Q34" s="169">
        <f ca="1">IF(RIGHT(Q$4,2)&gt;=RIGHT('Input|General'!$G$11,2),IF(RIGHT(Q$4,2)&lt;=RIGHT('Input|General'!$G$12,2),Q$4,""),"")</f>
        <v>2021</v>
      </c>
      <c r="R34" s="169">
        <f ca="1">IF(RIGHT(R$4,2)&gt;=RIGHT('Input|General'!$G$11,2),IF(RIGHT(R$4,2)&lt;=RIGHT('Input|General'!$G$12,2),R$4,""),"")</f>
        <v>2022</v>
      </c>
      <c r="S34" s="169">
        <f ca="1">IF(RIGHT(S$4,2)&gt;=RIGHT('Input|General'!$G$11,2),IF(RIGHT(S$4,2)&lt;=RIGHT('Input|General'!$G$12,2),S$4,""),"")</f>
        <v>2023</v>
      </c>
      <c r="T34" s="169">
        <f ca="1">IF(RIGHT(T$4,2)&gt;=RIGHT('Input|General'!$G$11,2),IF(RIGHT(T$4,2)&lt;=RIGHT('Input|General'!$G$12,2),T$4,""),"")</f>
        <v>2024</v>
      </c>
    </row>
    <row r="35" spans="3:21" ht="11.25" customHeight="1" outlineLevel="1"/>
    <row r="36" spans="3:21" ht="11.25" customHeight="1" outlineLevel="1">
      <c r="C36" s="189" t="s">
        <v>134</v>
      </c>
      <c r="D36" s="30" t="s">
        <v>126</v>
      </c>
      <c r="E36" s="30" t="str">
        <f t="shared" ref="E36:E43" si="4">percent</f>
        <v>Per cent</v>
      </c>
      <c r="P36" s="61">
        <f>'[1]Input|Rate of change'!P36</f>
        <v>0.01</v>
      </c>
      <c r="Q36" s="61">
        <f>'[1]Input|Rate of change'!Q36</f>
        <v>8.9999999999999993E-3</v>
      </c>
      <c r="R36" s="61">
        <f>'[1]Input|Rate of change'!R36</f>
        <v>8.9999999999999993E-3</v>
      </c>
      <c r="S36" s="61">
        <f>'[1]Input|Rate of change'!S36</f>
        <v>0.01</v>
      </c>
      <c r="T36" s="61">
        <f>'[1]Input|Rate of change'!T36</f>
        <v>9.4999999999999998E-3</v>
      </c>
    </row>
    <row r="37" spans="3:21" ht="11.25" customHeight="1" outlineLevel="1">
      <c r="C37" s="189" t="s">
        <v>140</v>
      </c>
      <c r="D37" s="30" t="s">
        <v>141</v>
      </c>
      <c r="E37" s="30" t="str">
        <f t="shared" si="4"/>
        <v>Per cent</v>
      </c>
      <c r="P37" s="61">
        <f>'[1]Input|Rate of change'!P37</f>
        <v>8.0000000000000002E-3</v>
      </c>
      <c r="Q37" s="61">
        <f>'[1]Input|Rate of change'!Q37</f>
        <v>1.0999999999999999E-2</v>
      </c>
      <c r="R37" s="61">
        <f>'[1]Input|Rate of change'!R37</f>
        <v>1.4999999999999999E-2</v>
      </c>
      <c r="S37" s="61">
        <f>'[1]Input|Rate of change'!S37</f>
        <v>1.6E-2</v>
      </c>
      <c r="T37" s="61">
        <f>'[1]Input|Rate of change'!T37</f>
        <v>1.2500000000000001E-2</v>
      </c>
    </row>
    <row r="38" spans="3:21" ht="11.25" customHeight="1" outlineLevel="1">
      <c r="C38" s="189" t="s">
        <v>142</v>
      </c>
      <c r="D38" s="182" t="s">
        <v>106</v>
      </c>
      <c r="E38" s="30" t="str">
        <f t="shared" si="4"/>
        <v>Per cent</v>
      </c>
      <c r="P38" s="61">
        <f>'[1]Input|Rate of change'!P38</f>
        <v>9.0000000000000011E-3</v>
      </c>
      <c r="Q38" s="61">
        <f>'[1]Input|Rate of change'!Q38</f>
        <v>9.9999999999999985E-3</v>
      </c>
      <c r="R38" s="61">
        <f>'[1]Input|Rate of change'!R38</f>
        <v>1.2E-2</v>
      </c>
      <c r="S38" s="61">
        <f>'[1]Input|Rate of change'!S38</f>
        <v>1.3000000000000001E-2</v>
      </c>
      <c r="T38" s="61">
        <f>'[1]Input|Rate of change'!T38</f>
        <v>1.0999999999999999E-2</v>
      </c>
    </row>
    <row r="39" spans="3:21" ht="11.25" customHeight="1" outlineLevel="1">
      <c r="C39" s="62"/>
      <c r="E39" s="30" t="str">
        <f t="shared" si="4"/>
        <v>Per cent</v>
      </c>
      <c r="P39" s="61">
        <f>'[1]Input|Rate of change'!P39</f>
        <v>0</v>
      </c>
      <c r="Q39" s="61">
        <f>'[1]Input|Rate of change'!Q39</f>
        <v>0</v>
      </c>
      <c r="R39" s="61">
        <f>'[1]Input|Rate of change'!R39</f>
        <v>0</v>
      </c>
      <c r="S39" s="61">
        <f>'[1]Input|Rate of change'!S39</f>
        <v>0</v>
      </c>
      <c r="T39" s="61">
        <f>'[1]Input|Rate of change'!T39</f>
        <v>0</v>
      </c>
      <c r="U39" s="156"/>
    </row>
    <row r="40" spans="3:21" ht="11.25" customHeight="1" outlineLevel="1">
      <c r="C40" s="62"/>
      <c r="E40" s="30" t="str">
        <f t="shared" si="4"/>
        <v>Per cent</v>
      </c>
      <c r="P40" s="61">
        <f>'[1]Input|Rate of change'!P40</f>
        <v>0</v>
      </c>
      <c r="Q40" s="61">
        <f>'[1]Input|Rate of change'!Q40</f>
        <v>0</v>
      </c>
      <c r="R40" s="61">
        <f>'[1]Input|Rate of change'!R40</f>
        <v>0</v>
      </c>
      <c r="S40" s="61">
        <f>'[1]Input|Rate of change'!S40</f>
        <v>0</v>
      </c>
      <c r="T40" s="61">
        <f>'[1]Input|Rate of change'!T40</f>
        <v>0</v>
      </c>
    </row>
    <row r="41" spans="3:21" ht="11.25" customHeight="1" outlineLevel="1">
      <c r="C41" s="62"/>
      <c r="E41" s="30" t="str">
        <f t="shared" si="4"/>
        <v>Per cent</v>
      </c>
      <c r="P41" s="61">
        <f>'[1]Input|Rate of change'!P41</f>
        <v>0</v>
      </c>
      <c r="Q41" s="61">
        <f>'[1]Input|Rate of change'!Q41</f>
        <v>0</v>
      </c>
      <c r="R41" s="61">
        <f>'[1]Input|Rate of change'!R41</f>
        <v>0</v>
      </c>
      <c r="S41" s="61">
        <f>'[1]Input|Rate of change'!S41</f>
        <v>0</v>
      </c>
      <c r="T41" s="61">
        <f>'[1]Input|Rate of change'!T41</f>
        <v>0</v>
      </c>
    </row>
    <row r="42" spans="3:21" ht="11.25" customHeight="1" outlineLevel="1">
      <c r="C42" s="62"/>
      <c r="E42" s="30" t="str">
        <f t="shared" si="4"/>
        <v>Per cent</v>
      </c>
      <c r="P42" s="61">
        <f>'[1]Input|Rate of change'!P42</f>
        <v>0</v>
      </c>
      <c r="Q42" s="61">
        <f>'[1]Input|Rate of change'!Q42</f>
        <v>0</v>
      </c>
      <c r="R42" s="61">
        <f>'[1]Input|Rate of change'!R42</f>
        <v>0</v>
      </c>
      <c r="S42" s="61">
        <f>'[1]Input|Rate of change'!S42</f>
        <v>0</v>
      </c>
      <c r="T42" s="61">
        <f>'[1]Input|Rate of change'!T42</f>
        <v>0</v>
      </c>
    </row>
    <row r="43" spans="3:21" ht="11.25" customHeight="1" outlineLevel="1">
      <c r="C43" s="62" t="s">
        <v>86</v>
      </c>
      <c r="E43" s="30" t="str">
        <f t="shared" si="4"/>
        <v>Per cent</v>
      </c>
      <c r="P43" s="61">
        <f>'[1]Input|Rate of change'!P43</f>
        <v>0</v>
      </c>
      <c r="Q43" s="61">
        <f>'[1]Input|Rate of change'!Q43</f>
        <v>0</v>
      </c>
      <c r="R43" s="61">
        <f>'[1]Input|Rate of change'!R43</f>
        <v>0</v>
      </c>
      <c r="S43" s="61">
        <f>'[1]Input|Rate of change'!S43</f>
        <v>0</v>
      </c>
      <c r="T43" s="61">
        <f>'[1]Input|Rate of change'!T43</f>
        <v>0</v>
      </c>
    </row>
    <row r="44" spans="3:21" ht="11.25" customHeight="1" outlineLevel="1"/>
    <row r="45" spans="3:21" ht="11.25" customHeight="1" outlineLevel="1">
      <c r="C45" s="70" t="s">
        <v>42</v>
      </c>
      <c r="D45" s="32" t="s">
        <v>7</v>
      </c>
      <c r="E45" s="32" t="s">
        <v>8</v>
      </c>
      <c r="K45" s="111" t="str">
        <f>IF(RIGHT(K$4,2)&gt;=RIGHT('Input|General'!$G$11,2),IF(RIGHT(K$4,2)&lt;=RIGHT('Input|General'!$G$12,2),K$4,""),"")</f>
        <v/>
      </c>
      <c r="L45" s="111" t="str">
        <f ca="1">IF(RIGHT(L$4,2)&gt;=RIGHT('Input|General'!$G$11,2),IF(RIGHT(L$4,2)&lt;=RIGHT('Input|General'!$G$12,2),L$4,""),"")</f>
        <v/>
      </c>
      <c r="M45" s="111" t="str">
        <f ca="1">IF(RIGHT(M$4,2)&gt;=RIGHT('Input|General'!$G$11,2),IF(RIGHT(M$4,2)&lt;=RIGHT('Input|General'!$G$12,2),M$4,""),"")</f>
        <v/>
      </c>
      <c r="N45" s="111" t="str">
        <f ca="1">IF(RIGHT(N$4,2)&gt;=RIGHT('Input|General'!$G$11,2),IF(RIGHT(N$4,2)&lt;=RIGHT('Input|General'!$G$12,2),N$4,""),"")</f>
        <v/>
      </c>
      <c r="O45" s="111" t="str">
        <f ca="1">IF(RIGHT(O$4,2)&gt;=RIGHT('Input|General'!$G$11,2),IF(RIGHT(O$4,2)&lt;=RIGHT('Input|General'!$G$12,2),O$4,""),"")</f>
        <v/>
      </c>
      <c r="P45" s="169">
        <f ca="1">IF(RIGHT(P$4,2)&gt;=RIGHT('Input|General'!$G$11,2),IF(RIGHT(P$4,2)&lt;=RIGHT('Input|General'!$G$12,2),P$4,""),"")</f>
        <v>2020</v>
      </c>
      <c r="Q45" s="169">
        <f ca="1">IF(RIGHT(Q$4,2)&gt;=RIGHT('Input|General'!$G$11,2),IF(RIGHT(Q$4,2)&lt;=RIGHT('Input|General'!$G$12,2),Q$4,""),"")</f>
        <v>2021</v>
      </c>
      <c r="R45" s="169">
        <f ca="1">IF(RIGHT(R$4,2)&gt;=RIGHT('Input|General'!$G$11,2),IF(RIGHT(R$4,2)&lt;=RIGHT('Input|General'!$G$12,2),R$4,""),"")</f>
        <v>2022</v>
      </c>
      <c r="S45" s="169">
        <f ca="1">IF(RIGHT(S$4,2)&gt;=RIGHT('Input|General'!$G$11,2),IF(RIGHT(S$4,2)&lt;=RIGHT('Input|General'!$G$12,2),S$4,""),"")</f>
        <v>2023</v>
      </c>
      <c r="T45" s="169">
        <f ca="1">IF(RIGHT(T$4,2)&gt;=RIGHT('Input|General'!$G$11,2),IF(RIGHT(T$4,2)&lt;=RIGHT('Input|General'!$G$12,2),T$4,""),"")</f>
        <v>2024</v>
      </c>
    </row>
    <row r="46" spans="3:21" ht="11.25" customHeight="1" outlineLevel="1"/>
    <row r="47" spans="3:21" ht="11.25" customHeight="1" outlineLevel="1">
      <c r="C47" s="157" t="str">
        <f>C36</f>
        <v>WPI - DAE (6 February 2017)</v>
      </c>
      <c r="D47" s="30" t="s">
        <v>124</v>
      </c>
      <c r="E47" s="30" t="str">
        <f t="shared" ref="E47:E54" si="5">percent</f>
        <v>Per cent</v>
      </c>
      <c r="P47" s="61">
        <f>'[1]Input|Rate of change'!P47</f>
        <v>0</v>
      </c>
      <c r="Q47" s="61">
        <f>'[1]Input|Rate of change'!Q47</f>
        <v>0</v>
      </c>
      <c r="R47" s="61">
        <f>'[1]Input|Rate of change'!R47</f>
        <v>0</v>
      </c>
      <c r="S47" s="61">
        <f>'[1]Input|Rate of change'!S47</f>
        <v>0</v>
      </c>
      <c r="T47" s="61">
        <f>'[1]Input|Rate of change'!T47</f>
        <v>0</v>
      </c>
    </row>
    <row r="48" spans="3:21" ht="11.25" customHeight="1" outlineLevel="1">
      <c r="C48" s="157" t="str">
        <f t="shared" ref="C48:C54" si="6">C37</f>
        <v>WPI - BIS Shrapnel (October 2016)</v>
      </c>
      <c r="D48" s="30" t="s">
        <v>124</v>
      </c>
      <c r="E48" s="30" t="str">
        <f t="shared" si="5"/>
        <v>Per cent</v>
      </c>
      <c r="P48" s="61">
        <f>'[1]Input|Rate of change'!P48</f>
        <v>0</v>
      </c>
      <c r="Q48" s="61">
        <f>'[1]Input|Rate of change'!Q48</f>
        <v>0</v>
      </c>
      <c r="R48" s="61">
        <f>'[1]Input|Rate of change'!R48</f>
        <v>0</v>
      </c>
      <c r="S48" s="61">
        <f>'[1]Input|Rate of change'!S48</f>
        <v>0</v>
      </c>
      <c r="T48" s="61">
        <f>'[1]Input|Rate of change'!T48</f>
        <v>0</v>
      </c>
    </row>
    <row r="49" spans="1:50" ht="11.25" customHeight="1" outlineLevel="1">
      <c r="C49" s="157" t="str">
        <f t="shared" si="6"/>
        <v xml:space="preserve">WPI - average of DAE and BIS Shrapnel </v>
      </c>
      <c r="D49" s="30" t="s">
        <v>75</v>
      </c>
      <c r="E49" s="30" t="str">
        <f t="shared" si="5"/>
        <v>Per cent</v>
      </c>
      <c r="J49" s="187"/>
      <c r="P49" s="61">
        <f>'[1]Input|Rate of change'!P49</f>
        <v>0.59699999999999998</v>
      </c>
      <c r="Q49" s="61">
        <f>'[1]Input|Rate of change'!Q49</f>
        <v>0.59699999999999998</v>
      </c>
      <c r="R49" s="61">
        <f>'[1]Input|Rate of change'!R49</f>
        <v>0.59699999999999998</v>
      </c>
      <c r="S49" s="61">
        <f>'[1]Input|Rate of change'!S49</f>
        <v>0.59699999999999998</v>
      </c>
      <c r="T49" s="61">
        <f>'[1]Input|Rate of change'!T49</f>
        <v>0.59699999999999998</v>
      </c>
    </row>
    <row r="50" spans="1:50" ht="11.25" customHeight="1" outlineLevel="1">
      <c r="C50" s="157">
        <f t="shared" si="6"/>
        <v>0</v>
      </c>
      <c r="E50" s="30" t="str">
        <f t="shared" si="5"/>
        <v>Per cent</v>
      </c>
      <c r="J50" s="187"/>
      <c r="P50" s="61">
        <f>'[1]Input|Rate of change'!P50</f>
        <v>0</v>
      </c>
      <c r="Q50" s="61">
        <f>'[1]Input|Rate of change'!Q50</f>
        <v>0</v>
      </c>
      <c r="R50" s="61">
        <f>'[1]Input|Rate of change'!R50</f>
        <v>0</v>
      </c>
      <c r="S50" s="61">
        <f>'[1]Input|Rate of change'!S50</f>
        <v>0</v>
      </c>
      <c r="T50" s="61">
        <f>'[1]Input|Rate of change'!T50</f>
        <v>0</v>
      </c>
      <c r="U50" s="156"/>
    </row>
    <row r="51" spans="1:50" ht="11.25" customHeight="1" outlineLevel="1">
      <c r="C51" s="157">
        <f t="shared" si="6"/>
        <v>0</v>
      </c>
      <c r="E51" s="30" t="str">
        <f t="shared" si="5"/>
        <v>Per cent</v>
      </c>
      <c r="J51" s="187"/>
      <c r="P51" s="61">
        <f>'[1]Input|Rate of change'!P51</f>
        <v>0</v>
      </c>
      <c r="Q51" s="61">
        <f>'[1]Input|Rate of change'!Q51</f>
        <v>0</v>
      </c>
      <c r="R51" s="61">
        <f>'[1]Input|Rate of change'!R51</f>
        <v>0</v>
      </c>
      <c r="S51" s="61">
        <f>'[1]Input|Rate of change'!S51</f>
        <v>0</v>
      </c>
      <c r="T51" s="61">
        <f>'[1]Input|Rate of change'!T51</f>
        <v>0</v>
      </c>
    </row>
    <row r="52" spans="1:50" ht="11.25" customHeight="1" outlineLevel="1">
      <c r="C52" s="157">
        <f t="shared" si="6"/>
        <v>0</v>
      </c>
      <c r="E52" s="30" t="str">
        <f t="shared" si="5"/>
        <v>Per cent</v>
      </c>
      <c r="P52" s="61">
        <f>'[1]Input|Rate of change'!P52</f>
        <v>0</v>
      </c>
      <c r="Q52" s="61">
        <f>'[1]Input|Rate of change'!Q52</f>
        <v>0</v>
      </c>
      <c r="R52" s="61">
        <f>'[1]Input|Rate of change'!R52</f>
        <v>0</v>
      </c>
      <c r="S52" s="61">
        <f>'[1]Input|Rate of change'!S52</f>
        <v>0</v>
      </c>
      <c r="T52" s="61">
        <f>'[1]Input|Rate of change'!T52</f>
        <v>0</v>
      </c>
    </row>
    <row r="53" spans="1:50" ht="11.25" customHeight="1" outlineLevel="1">
      <c r="C53" s="157">
        <f t="shared" si="6"/>
        <v>0</v>
      </c>
      <c r="E53" s="30" t="str">
        <f t="shared" si="5"/>
        <v>Per cent</v>
      </c>
      <c r="P53" s="61">
        <f>'[1]Input|Rate of change'!P53</f>
        <v>0</v>
      </c>
      <c r="Q53" s="61">
        <f>'[1]Input|Rate of change'!Q53</f>
        <v>0</v>
      </c>
      <c r="R53" s="61">
        <f>'[1]Input|Rate of change'!R53</f>
        <v>0</v>
      </c>
      <c r="S53" s="61">
        <f>'[1]Input|Rate of change'!S53</f>
        <v>0</v>
      </c>
      <c r="T53" s="61">
        <f>'[1]Input|Rate of change'!T53</f>
        <v>0</v>
      </c>
    </row>
    <row r="54" spans="1:50" ht="11.25" customHeight="1" outlineLevel="1">
      <c r="C54" s="157" t="str">
        <f t="shared" si="6"/>
        <v>CPI</v>
      </c>
      <c r="E54" s="30" t="str">
        <f t="shared" si="5"/>
        <v>Per cent</v>
      </c>
      <c r="P54" s="61">
        <f>'[1]Input|Rate of change'!P54</f>
        <v>0.40300000000000002</v>
      </c>
      <c r="Q54" s="61">
        <f>'[1]Input|Rate of change'!Q54</f>
        <v>0.40300000000000002</v>
      </c>
      <c r="R54" s="61">
        <f>'[1]Input|Rate of change'!R54</f>
        <v>0.40300000000000002</v>
      </c>
      <c r="S54" s="61">
        <f>'[1]Input|Rate of change'!S54</f>
        <v>0.40300000000000002</v>
      </c>
      <c r="T54" s="61">
        <f>'[1]Input|Rate of change'!T54</f>
        <v>0.40300000000000002</v>
      </c>
    </row>
    <row r="55" spans="1:50" ht="11.25" customHeight="1" outlineLevel="1"/>
    <row r="56" spans="1:50" ht="10.5" outlineLevel="1">
      <c r="C56" s="29" t="s">
        <v>39</v>
      </c>
      <c r="D56" s="30" t="s">
        <v>106</v>
      </c>
      <c r="E56" s="30" t="s">
        <v>28</v>
      </c>
      <c r="F56" s="30" t="s">
        <v>35</v>
      </c>
      <c r="N56" s="24"/>
      <c r="O56" s="24"/>
      <c r="P56" s="139" t="str">
        <f>IF(SUM(P47:P54)=1,"Ok","Check")</f>
        <v>Ok</v>
      </c>
      <c r="Q56" s="139" t="str">
        <f>IF(SUM(Q47:Q54)=1,"Ok","Check")</f>
        <v>Ok</v>
      </c>
      <c r="R56" s="139" t="str">
        <f>IF(SUM(R47:R54)=1,"Ok","Check")</f>
        <v>Ok</v>
      </c>
      <c r="S56" s="139" t="str">
        <f>IF(SUM(S47:S54)=1,"Ok","Check")</f>
        <v>Ok</v>
      </c>
      <c r="T56" s="139" t="str">
        <f>IF(SUM(T47:T54)=1,"Ok","Check")</f>
        <v>Ok</v>
      </c>
      <c r="U56" s="24"/>
      <c r="W56" s="139" t="str">
        <f>IF(COUNTIF(K56:T56,"Check")=0,"Ok","Check")</f>
        <v>Ok</v>
      </c>
    </row>
    <row r="57" spans="1:50"/>
    <row r="58" spans="1:50" s="108" customFormat="1" ht="12.3">
      <c r="A58" s="99"/>
      <c r="B58" s="100" t="s">
        <v>89</v>
      </c>
      <c r="C58" s="99"/>
      <c r="D58" s="99"/>
      <c r="E58" s="99"/>
      <c r="F58" s="101"/>
      <c r="G58" s="101"/>
      <c r="H58" s="101"/>
      <c r="I58" s="101"/>
      <c r="J58" s="101"/>
      <c r="K58" s="102"/>
      <c r="L58" s="103"/>
      <c r="M58" s="102"/>
      <c r="N58" s="103"/>
      <c r="O58" s="102"/>
      <c r="P58" s="102"/>
      <c r="Q58" s="102"/>
      <c r="R58" s="102"/>
      <c r="S58" s="102"/>
      <c r="T58" s="102"/>
      <c r="U58" s="102"/>
      <c r="V58" s="102"/>
      <c r="W58" s="103"/>
      <c r="X58" s="104"/>
      <c r="Y58" s="104"/>
      <c r="Z58" s="104"/>
      <c r="AA58" s="104"/>
      <c r="AB58" s="104"/>
      <c r="AC58" s="104"/>
      <c r="AD58" s="104"/>
      <c r="AE58" s="105"/>
      <c r="AF58" s="106"/>
      <c r="AG58" s="106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</row>
    <row r="59" spans="1:50" outlineLevel="1">
      <c r="G59" s="32"/>
      <c r="H59" s="32"/>
    </row>
    <row r="60" spans="1:50" ht="10.5" outlineLevel="1">
      <c r="C60" s="70" t="s">
        <v>90</v>
      </c>
      <c r="D60" s="32" t="s">
        <v>7</v>
      </c>
      <c r="E60" s="32" t="s">
        <v>8</v>
      </c>
      <c r="F60" s="32" t="s">
        <v>22</v>
      </c>
      <c r="G60" s="32"/>
      <c r="H60" s="32"/>
      <c r="K60" s="111" t="str">
        <f>IF(RIGHT(K$4,2)&gt;=RIGHT('Input|General'!$G$10,2),IF(RIGHT(K$4,2)&lt;=RIGHT('Input|General'!$G$12,2),K$4,""),"")</f>
        <v/>
      </c>
      <c r="L60" s="111" t="str">
        <f ca="1">IF(RIGHT(L$4,2)&gt;=RIGHT('Input|General'!$G$10,2),IF(RIGHT(L$4,2)&lt;=RIGHT('Input|General'!$G$12,2),L$4,""),"")</f>
        <v/>
      </c>
      <c r="M60" s="111" t="str">
        <f ca="1">IF(RIGHT(M$4,2)&gt;=RIGHT('Input|General'!$G$10,2),IF(RIGHT(M$4,2)&lt;=RIGHT('Input|General'!$G$12,2),M$4,""),"")</f>
        <v/>
      </c>
      <c r="N60" s="111" t="str">
        <f ca="1">IF(RIGHT(N$4,2)&gt;=RIGHT('Input|General'!$G$10,2),IF(RIGHT(N$4,2)&lt;=RIGHT('Input|General'!$G$12,2),N$4,""),"")</f>
        <v/>
      </c>
      <c r="O60" s="169">
        <f ca="1">IF(RIGHT(O$4,2)&gt;=RIGHT('Input|General'!$G$10,2),IF(RIGHT(O$4,2)&lt;=RIGHT('Input|General'!$G$12,2),O$4,""),"")</f>
        <v>2019</v>
      </c>
      <c r="P60" s="169">
        <f ca="1">IF(RIGHT(P$4,2)&gt;=RIGHT('Input|General'!$G$10,2),IF(RIGHT(P$4,2)&lt;=RIGHT('Input|General'!$G$12,2),P$4,""),"")</f>
        <v>2020</v>
      </c>
      <c r="Q60" s="169">
        <f ca="1">IF(RIGHT(Q$4,2)&gt;=RIGHT('Input|General'!$G$10,2),IF(RIGHT(Q$4,2)&lt;=RIGHT('Input|General'!$G$12,2),Q$4,""),"")</f>
        <v>2021</v>
      </c>
      <c r="R60" s="169">
        <f ca="1">IF(RIGHT(R$4,2)&gt;=RIGHT('Input|General'!$G$10,2),IF(RIGHT(R$4,2)&lt;=RIGHT('Input|General'!$G$12,2),R$4,""),"")</f>
        <v>2022</v>
      </c>
      <c r="S60" s="169">
        <f ca="1">IF(RIGHT(S$4,2)&gt;=RIGHT('Input|General'!$G$10,2),IF(RIGHT(S$4,2)&lt;=RIGHT('Input|General'!$G$12,2),S$4,""),"")</f>
        <v>2023</v>
      </c>
      <c r="T60" s="169">
        <f ca="1">IF(RIGHT(T$4,2)&gt;=RIGHT('Input|General'!$G$10,2),IF(RIGHT(T$4,2)&lt;=RIGHT('Input|General'!$G$12,2),T$4,""),"")</f>
        <v>2024</v>
      </c>
    </row>
    <row r="61" spans="1:50" ht="10.5" outlineLevel="1">
      <c r="C61" s="117"/>
      <c r="G61" s="32"/>
      <c r="H61" s="32"/>
      <c r="K61" s="23"/>
      <c r="L61" s="23"/>
      <c r="M61" s="23"/>
      <c r="N61" s="23"/>
      <c r="O61" s="23"/>
    </row>
    <row r="62" spans="1:50" ht="10.5" outlineLevel="1">
      <c r="C62" s="180" t="s">
        <v>137</v>
      </c>
      <c r="D62" s="30" t="s">
        <v>124</v>
      </c>
      <c r="E62" s="30" t="s">
        <v>18</v>
      </c>
      <c r="F62" s="30" t="s">
        <v>35</v>
      </c>
      <c r="G62" s="32"/>
      <c r="H62" s="32"/>
      <c r="K62" s="23"/>
      <c r="L62" s="23"/>
      <c r="M62" s="23"/>
      <c r="N62" s="23"/>
      <c r="O62" s="63">
        <f>'[1]Input|Rate of change'!O62</f>
        <v>84420</v>
      </c>
      <c r="P62" s="63">
        <f>'[1]Input|Rate of change'!P62</f>
        <v>85072</v>
      </c>
      <c r="Q62" s="63">
        <f>'[1]Input|Rate of change'!Q62</f>
        <v>85848</v>
      </c>
      <c r="R62" s="63">
        <f>'[1]Input|Rate of change'!R62</f>
        <v>86641</v>
      </c>
      <c r="S62" s="63">
        <f>'[1]Input|Rate of change'!S62</f>
        <v>87028</v>
      </c>
      <c r="T62" s="63">
        <f>'[1]Input|Rate of change'!T62</f>
        <v>87419</v>
      </c>
    </row>
    <row r="63" spans="1:50" ht="10.5" outlineLevel="1">
      <c r="C63" s="180" t="s">
        <v>136</v>
      </c>
      <c r="D63" s="182" t="s">
        <v>124</v>
      </c>
      <c r="E63" s="30" t="s">
        <v>18</v>
      </c>
      <c r="F63" s="30" t="s">
        <v>35</v>
      </c>
      <c r="G63" s="32"/>
      <c r="H63" s="32"/>
      <c r="K63" s="23"/>
      <c r="L63" s="23"/>
      <c r="M63" s="23"/>
      <c r="N63" s="23"/>
      <c r="O63" s="63">
        <f>'[1]Input|Rate of change'!O63</f>
        <v>7123.0927471901159</v>
      </c>
      <c r="P63" s="63">
        <f>'[1]Input|Rate of change'!P63</f>
        <v>7175.8035088600409</v>
      </c>
      <c r="Q63" s="63">
        <f>'[1]Input|Rate of change'!Q63</f>
        <v>7226.1258924276117</v>
      </c>
      <c r="R63" s="63">
        <f>'[1]Input|Rate of change'!R63</f>
        <v>7302.4494959799531</v>
      </c>
      <c r="S63" s="63">
        <f>'[1]Input|Rate of change'!S63</f>
        <v>7378.9215694574259</v>
      </c>
      <c r="T63" s="63">
        <f>'[1]Input|Rate of change'!T63</f>
        <v>7447.2669565348106</v>
      </c>
    </row>
    <row r="64" spans="1:50" ht="10.5" outlineLevel="1">
      <c r="C64" s="180" t="s">
        <v>135</v>
      </c>
      <c r="D64" s="182" t="s">
        <v>124</v>
      </c>
      <c r="E64" s="30" t="s">
        <v>18</v>
      </c>
      <c r="F64" s="30" t="s">
        <v>35</v>
      </c>
      <c r="G64" s="32"/>
      <c r="H64" s="32"/>
      <c r="K64" s="23"/>
      <c r="L64" s="23"/>
      <c r="M64" s="23"/>
      <c r="N64" s="23"/>
      <c r="O64" s="63">
        <f>'[1]Input|Rate of change'!O64</f>
        <v>344.61873374300001</v>
      </c>
      <c r="P64" s="63">
        <f>'[1]Input|Rate of change'!P64</f>
        <v>344.61873374300001</v>
      </c>
      <c r="Q64" s="63">
        <f>'[1]Input|Rate of change'!Q64</f>
        <v>344.61873374300001</v>
      </c>
      <c r="R64" s="63">
        <f>'[1]Input|Rate of change'!R64</f>
        <v>344.61873374300001</v>
      </c>
      <c r="S64" s="63">
        <f>'[1]Input|Rate of change'!S64</f>
        <v>344.61873374300001</v>
      </c>
      <c r="T64" s="63">
        <f>'[1]Input|Rate of change'!T64</f>
        <v>344.61873374300001</v>
      </c>
    </row>
    <row r="65" spans="3:21" ht="10.5" outlineLevel="1">
      <c r="C65" s="62"/>
      <c r="E65" s="30" t="s">
        <v>18</v>
      </c>
      <c r="F65" s="30" t="s">
        <v>35</v>
      </c>
      <c r="G65" s="32"/>
      <c r="H65" s="32"/>
      <c r="K65" s="23"/>
      <c r="L65" s="23"/>
      <c r="M65" s="23"/>
      <c r="N65" s="23"/>
      <c r="O65" s="63"/>
      <c r="P65" s="63"/>
      <c r="Q65" s="63"/>
      <c r="R65" s="63"/>
      <c r="S65" s="63"/>
      <c r="T65" s="63"/>
    </row>
    <row r="66" spans="3:21" ht="10.5" outlineLevel="1">
      <c r="C66" s="62"/>
      <c r="E66" s="30" t="s">
        <v>18</v>
      </c>
      <c r="F66" s="30" t="s">
        <v>35</v>
      </c>
      <c r="G66" s="32"/>
      <c r="H66" s="32"/>
      <c r="K66" s="23"/>
      <c r="L66" s="23"/>
      <c r="M66" s="23"/>
      <c r="N66" s="23"/>
      <c r="O66" s="63"/>
      <c r="P66" s="63"/>
      <c r="Q66" s="63"/>
      <c r="R66" s="63"/>
      <c r="S66" s="63"/>
      <c r="T66" s="63"/>
    </row>
    <row r="67" spans="3:21" ht="10.5" outlineLevel="1">
      <c r="C67" s="62"/>
      <c r="E67" s="30" t="s">
        <v>18</v>
      </c>
      <c r="F67" s="30" t="s">
        <v>35</v>
      </c>
      <c r="G67" s="32"/>
      <c r="H67" s="32"/>
      <c r="K67" s="23"/>
      <c r="L67" s="23"/>
      <c r="M67" s="23"/>
      <c r="N67" s="23"/>
      <c r="O67" s="63"/>
      <c r="P67" s="63"/>
      <c r="Q67" s="63"/>
      <c r="R67" s="63"/>
      <c r="S67" s="63"/>
      <c r="T67" s="63"/>
    </row>
    <row r="68" spans="3:21" ht="10.5" outlineLevel="1">
      <c r="C68" s="117"/>
      <c r="G68" s="32"/>
      <c r="H68" s="32"/>
      <c r="K68" s="23"/>
      <c r="L68" s="23"/>
      <c r="M68" s="23"/>
      <c r="N68" s="23"/>
      <c r="O68" s="23"/>
    </row>
    <row r="69" spans="3:21" ht="10.5" outlineLevel="1">
      <c r="C69" s="70" t="s">
        <v>93</v>
      </c>
      <c r="D69" s="32" t="s">
        <v>7</v>
      </c>
      <c r="E69" s="32" t="s">
        <v>8</v>
      </c>
      <c r="F69" s="32" t="s">
        <v>22</v>
      </c>
      <c r="G69" s="32"/>
      <c r="H69" s="32"/>
      <c r="K69" s="111" t="str">
        <f>IF(RIGHT(K$4,2)&gt;=RIGHT('Input|General'!$G$11,2),IF(RIGHT(K$4,2)&lt;=RIGHT('Input|General'!$G$12,2),K$4,""),"")</f>
        <v/>
      </c>
      <c r="L69" s="111" t="str">
        <f ca="1">IF(RIGHT(L$4,2)&gt;=RIGHT('Input|General'!$G$11,2),IF(RIGHT(L$4,2)&lt;=RIGHT('Input|General'!$G$12,2),L$4,""),"")</f>
        <v/>
      </c>
      <c r="M69" s="111" t="str">
        <f ca="1">IF(RIGHT(M$4,2)&gt;=RIGHT('Input|General'!$G$11,2),IF(RIGHT(M$4,2)&lt;=RIGHT('Input|General'!$G$12,2),M$4,""),"")</f>
        <v/>
      </c>
      <c r="N69" s="111" t="str">
        <f ca="1">IF(RIGHT(N$4,2)&gt;=RIGHT('Input|General'!$G$11,2),IF(RIGHT(N$4,2)&lt;=RIGHT('Input|General'!$G$12,2),N$4,""),"")</f>
        <v/>
      </c>
      <c r="O69" s="111" t="str">
        <f ca="1">IF(RIGHT(O$4,2)&gt;=RIGHT('Input|General'!$G$11,2),IF(RIGHT(O$4,2)&lt;=RIGHT('Input|General'!$G$12,2),O$4,""),"")</f>
        <v/>
      </c>
      <c r="P69" s="169">
        <f ca="1">IF(RIGHT(P$4,2)&gt;=RIGHT('Input|General'!$G$11,2),IF(RIGHT(P$4,2)&lt;=RIGHT('Input|General'!$G$12,2),P$4,""),"")</f>
        <v>2020</v>
      </c>
      <c r="Q69" s="169">
        <f ca="1">IF(RIGHT(Q$4,2)&gt;=RIGHT('Input|General'!$G$11,2),IF(RIGHT(Q$4,2)&lt;=RIGHT('Input|General'!$G$12,2),Q$4,""),"")</f>
        <v>2021</v>
      </c>
      <c r="R69" s="169">
        <f ca="1">IF(RIGHT(R$4,2)&gt;=RIGHT('Input|General'!$G$11,2),IF(RIGHT(R$4,2)&lt;=RIGHT('Input|General'!$G$12,2),R$4,""),"")</f>
        <v>2022</v>
      </c>
      <c r="S69" s="169">
        <f ca="1">IF(RIGHT(S$4,2)&gt;=RIGHT('Input|General'!$G$11,2),IF(RIGHT(S$4,2)&lt;=RIGHT('Input|General'!$G$12,2),S$4,""),"")</f>
        <v>2023</v>
      </c>
      <c r="T69" s="169">
        <f ca="1">IF(RIGHT(T$4,2)&gt;=RIGHT('Input|General'!$G$11,2),IF(RIGHT(T$4,2)&lt;=RIGHT('Input|General'!$G$12,2),T$4,""),"")</f>
        <v>2024</v>
      </c>
      <c r="U69" s="29" t="str">
        <f>IF(RIGHT(U$4,2)&gt;=RIGHT('Input|General'!$G$11,2),IF(RIGHT(U$4,2)&lt;='Input|General'!$G$12,'Input|Reported opex'!T$4,""),"")</f>
        <v/>
      </c>
    </row>
    <row r="70" spans="3:21" ht="10.5" outlineLevel="1">
      <c r="C70" s="117"/>
      <c r="G70" s="32"/>
      <c r="H70" s="32"/>
      <c r="K70" s="23"/>
      <c r="L70" s="23"/>
      <c r="M70" s="23"/>
      <c r="N70" s="23"/>
      <c r="O70" s="23"/>
    </row>
    <row r="71" spans="3:21" ht="10.5" outlineLevel="1">
      <c r="C71" s="190" t="str">
        <f t="shared" ref="C71:C76" si="7">C62</f>
        <v>Customer numbers (#)</v>
      </c>
      <c r="D71" s="30" t="s">
        <v>106</v>
      </c>
      <c r="E71" s="30" t="s">
        <v>18</v>
      </c>
      <c r="F71" s="30" t="s">
        <v>35</v>
      </c>
      <c r="G71" s="32"/>
      <c r="H71" s="32"/>
      <c r="K71" s="23"/>
      <c r="L71" s="23"/>
      <c r="M71" s="23"/>
      <c r="N71" s="23"/>
      <c r="O71" s="23"/>
      <c r="P71" s="184">
        <f t="shared" ref="P71:T76" si="8">IF(ISBLANK(P62),"",LN(P62)-LN(O62))</f>
        <v>7.6936164076286673E-3</v>
      </c>
      <c r="Q71" s="184">
        <f t="shared" si="8"/>
        <v>9.0803338628440144E-3</v>
      </c>
      <c r="R71" s="184">
        <f t="shared" si="8"/>
        <v>9.1948540142272606E-3</v>
      </c>
      <c r="S71" s="184">
        <f t="shared" si="8"/>
        <v>4.4567613169022025E-3</v>
      </c>
      <c r="T71" s="184">
        <f t="shared" si="8"/>
        <v>4.4827443838162395E-3</v>
      </c>
    </row>
    <row r="72" spans="3:21" ht="10.5" outlineLevel="1">
      <c r="C72" s="157" t="str">
        <f t="shared" si="7"/>
        <v>Circuit Length (km)</v>
      </c>
      <c r="D72" s="30" t="s">
        <v>106</v>
      </c>
      <c r="E72" s="30" t="s">
        <v>18</v>
      </c>
      <c r="F72" s="30" t="s">
        <v>35</v>
      </c>
      <c r="G72" s="32"/>
      <c r="H72" s="32"/>
      <c r="K72" s="23"/>
      <c r="L72" s="23"/>
      <c r="M72" s="23"/>
      <c r="N72" s="23"/>
      <c r="O72" s="23"/>
      <c r="P72" s="184">
        <f t="shared" si="8"/>
        <v>7.3727369572420542E-3</v>
      </c>
      <c r="Q72" s="184">
        <f t="shared" si="8"/>
        <v>6.9883120466283088E-3</v>
      </c>
      <c r="R72" s="184">
        <f t="shared" si="8"/>
        <v>1.0506784545652792E-2</v>
      </c>
      <c r="S72" s="184">
        <f t="shared" si="8"/>
        <v>1.0417659869299101E-2</v>
      </c>
      <c r="T72" s="184">
        <f t="shared" si="8"/>
        <v>9.2196144784466583E-3</v>
      </c>
    </row>
    <row r="73" spans="3:21" ht="10.5" outlineLevel="1">
      <c r="C73" s="157" t="str">
        <f t="shared" si="7"/>
        <v>Ratcheted Maximum Demand (MW)</v>
      </c>
      <c r="D73" s="30" t="s">
        <v>106</v>
      </c>
      <c r="E73" s="30" t="s">
        <v>18</v>
      </c>
      <c r="F73" s="30" t="s">
        <v>35</v>
      </c>
      <c r="G73" s="32"/>
      <c r="H73" s="32"/>
      <c r="K73" s="23"/>
      <c r="L73" s="23"/>
      <c r="M73" s="23"/>
      <c r="N73" s="23"/>
      <c r="O73" s="23"/>
      <c r="P73" s="124">
        <f t="shared" si="8"/>
        <v>0</v>
      </c>
      <c r="Q73" s="124">
        <f t="shared" si="8"/>
        <v>0</v>
      </c>
      <c r="R73" s="124">
        <f t="shared" si="8"/>
        <v>0</v>
      </c>
      <c r="S73" s="124">
        <f t="shared" si="8"/>
        <v>0</v>
      </c>
      <c r="T73" s="124">
        <f t="shared" si="8"/>
        <v>0</v>
      </c>
    </row>
    <row r="74" spans="3:21" ht="10.5" outlineLevel="1">
      <c r="C74" s="157">
        <f t="shared" si="7"/>
        <v>0</v>
      </c>
      <c r="E74" s="30" t="s">
        <v>18</v>
      </c>
      <c r="F74" s="30" t="s">
        <v>35</v>
      </c>
      <c r="G74" s="32"/>
      <c r="H74" s="32"/>
      <c r="K74" s="23"/>
      <c r="L74" s="23"/>
      <c r="M74" s="23"/>
      <c r="N74" s="23"/>
      <c r="O74" s="23"/>
      <c r="P74" s="184" t="str">
        <f t="shared" si="8"/>
        <v/>
      </c>
      <c r="Q74" s="184" t="str">
        <f t="shared" si="8"/>
        <v/>
      </c>
      <c r="R74" s="184" t="str">
        <f t="shared" si="8"/>
        <v/>
      </c>
      <c r="S74" s="184" t="str">
        <f t="shared" si="8"/>
        <v/>
      </c>
      <c r="T74" s="184" t="str">
        <f t="shared" si="8"/>
        <v/>
      </c>
    </row>
    <row r="75" spans="3:21" ht="10.5" outlineLevel="1">
      <c r="C75" s="157">
        <f t="shared" si="7"/>
        <v>0</v>
      </c>
      <c r="E75" s="30" t="s">
        <v>18</v>
      </c>
      <c r="F75" s="30" t="s">
        <v>35</v>
      </c>
      <c r="G75" s="32"/>
      <c r="H75" s="32"/>
      <c r="K75" s="23"/>
      <c r="L75" s="23"/>
      <c r="M75" s="23"/>
      <c r="N75" s="23"/>
      <c r="O75" s="23"/>
      <c r="P75" s="184" t="str">
        <f t="shared" si="8"/>
        <v/>
      </c>
      <c r="Q75" s="184" t="str">
        <f t="shared" si="8"/>
        <v/>
      </c>
      <c r="R75" s="184" t="str">
        <f t="shared" si="8"/>
        <v/>
      </c>
      <c r="S75" s="184" t="str">
        <f t="shared" si="8"/>
        <v/>
      </c>
      <c r="T75" s="184" t="str">
        <f t="shared" si="8"/>
        <v/>
      </c>
    </row>
    <row r="76" spans="3:21" ht="10.5" outlineLevel="1">
      <c r="C76" s="157">
        <f t="shared" si="7"/>
        <v>0</v>
      </c>
      <c r="E76" s="30" t="s">
        <v>18</v>
      </c>
      <c r="F76" s="30" t="s">
        <v>35</v>
      </c>
      <c r="G76" s="32"/>
      <c r="H76" s="32"/>
      <c r="K76" s="23"/>
      <c r="L76" s="23"/>
      <c r="M76" s="23"/>
      <c r="N76" s="23"/>
      <c r="O76" s="23"/>
      <c r="P76" s="184" t="str">
        <f t="shared" si="8"/>
        <v/>
      </c>
      <c r="Q76" s="184" t="str">
        <f t="shared" si="8"/>
        <v/>
      </c>
      <c r="R76" s="184" t="str">
        <f t="shared" si="8"/>
        <v/>
      </c>
      <c r="S76" s="184" t="str">
        <f t="shared" si="8"/>
        <v/>
      </c>
      <c r="T76" s="184" t="str">
        <f t="shared" si="8"/>
        <v/>
      </c>
    </row>
    <row r="77" spans="3:21" ht="10.5" outlineLevel="1">
      <c r="C77" s="117"/>
      <c r="G77" s="32"/>
      <c r="H77" s="32"/>
      <c r="K77" s="23"/>
      <c r="L77" s="23"/>
      <c r="M77" s="23"/>
      <c r="N77" s="23"/>
      <c r="O77" s="23"/>
    </row>
    <row r="78" spans="3:21" ht="10.5" outlineLevel="1">
      <c r="C78" s="70" t="s">
        <v>42</v>
      </c>
      <c r="G78" s="32"/>
      <c r="H78" s="32"/>
      <c r="K78" s="23"/>
      <c r="L78" s="23"/>
      <c r="M78" s="23"/>
      <c r="N78" s="23"/>
      <c r="O78" s="23"/>
    </row>
    <row r="79" spans="3:21" ht="10.5" outlineLevel="1">
      <c r="C79" s="117"/>
      <c r="G79" s="32"/>
      <c r="H79" s="32"/>
      <c r="K79" s="23"/>
      <c r="L79" s="23"/>
      <c r="M79" s="23"/>
      <c r="N79" s="23"/>
    </row>
    <row r="80" spans="3:21" ht="10.5" outlineLevel="1">
      <c r="C80" s="157" t="str">
        <f t="shared" ref="C80:C85" si="9">C62</f>
        <v>Customer numbers (#)</v>
      </c>
      <c r="D80" s="30" t="s">
        <v>127</v>
      </c>
      <c r="E80" s="30" t="s">
        <v>18</v>
      </c>
      <c r="F80" s="30" t="s">
        <v>35</v>
      </c>
      <c r="G80" s="32"/>
      <c r="H80" s="32"/>
      <c r="K80" s="23"/>
      <c r="L80" s="23"/>
      <c r="M80" s="23"/>
      <c r="N80" s="23"/>
      <c r="P80" s="183">
        <f>'[1]Input|Rate of change'!P80</f>
        <v>0.77131394182547641</v>
      </c>
    </row>
    <row r="81" spans="1:50" ht="10.5" outlineLevel="1">
      <c r="C81" s="157" t="str">
        <f t="shared" si="9"/>
        <v>Circuit Length (km)</v>
      </c>
      <c r="D81" s="182" t="s">
        <v>127</v>
      </c>
      <c r="E81" s="30" t="s">
        <v>18</v>
      </c>
      <c r="F81" s="30" t="s">
        <v>35</v>
      </c>
      <c r="G81" s="32"/>
      <c r="H81" s="32"/>
      <c r="K81" s="23"/>
      <c r="L81" s="23"/>
      <c r="M81" s="23"/>
      <c r="N81" s="23"/>
      <c r="P81" s="183">
        <f>'[1]Input|Rate of change'!P81</f>
        <v>9.7291875626880645E-2</v>
      </c>
    </row>
    <row r="82" spans="1:50" ht="10.5" outlineLevel="1">
      <c r="C82" s="157" t="str">
        <f t="shared" si="9"/>
        <v>Ratcheted Maximum Demand (MW)</v>
      </c>
      <c r="D82" s="182" t="s">
        <v>127</v>
      </c>
      <c r="E82" s="30" t="s">
        <v>18</v>
      </c>
      <c r="F82" s="30" t="s">
        <v>35</v>
      </c>
      <c r="G82" s="32"/>
      <c r="H82" s="32"/>
      <c r="K82" s="23"/>
      <c r="L82" s="23"/>
      <c r="M82" s="23"/>
      <c r="N82" s="23"/>
      <c r="P82" s="188">
        <f>'[1]Input|Rate of change'!P82</f>
        <v>0.13139418254764293</v>
      </c>
    </row>
    <row r="83" spans="1:50" ht="10.5" outlineLevel="1">
      <c r="C83" s="157">
        <f t="shared" si="9"/>
        <v>0</v>
      </c>
      <c r="E83" s="30" t="s">
        <v>18</v>
      </c>
      <c r="F83" s="30" t="s">
        <v>35</v>
      </c>
      <c r="G83" s="32"/>
      <c r="H83" s="32"/>
      <c r="K83" s="23"/>
      <c r="L83" s="23"/>
      <c r="M83" s="23"/>
      <c r="N83" s="23"/>
      <c r="P83" s="61">
        <f>'[1]Input|Rate of change'!P83</f>
        <v>0</v>
      </c>
    </row>
    <row r="84" spans="1:50" ht="10.5" outlineLevel="1">
      <c r="C84" s="157">
        <f t="shared" si="9"/>
        <v>0</v>
      </c>
      <c r="E84" s="30" t="s">
        <v>18</v>
      </c>
      <c r="F84" s="30" t="s">
        <v>35</v>
      </c>
      <c r="G84" s="32"/>
      <c r="H84" s="32"/>
      <c r="K84" s="23"/>
      <c r="L84" s="23"/>
      <c r="M84" s="23"/>
      <c r="N84" s="23"/>
      <c r="P84" s="61">
        <f>'[1]Input|Rate of change'!P84</f>
        <v>0</v>
      </c>
    </row>
    <row r="85" spans="1:50" ht="10.5" outlineLevel="1">
      <c r="C85" s="157">
        <f t="shared" si="9"/>
        <v>0</v>
      </c>
      <c r="E85" s="30" t="s">
        <v>18</v>
      </c>
      <c r="F85" s="30" t="s">
        <v>35</v>
      </c>
      <c r="G85" s="32"/>
      <c r="H85" s="32"/>
      <c r="K85" s="23"/>
      <c r="L85" s="23"/>
      <c r="M85" s="23"/>
      <c r="N85" s="23"/>
      <c r="P85" s="61">
        <f>'[1]Input|Rate of change'!P85</f>
        <v>0</v>
      </c>
    </row>
    <row r="86" spans="1:50" outlineLevel="1">
      <c r="G86" s="32"/>
      <c r="H86" s="32"/>
    </row>
    <row r="87" spans="1:50" ht="10.5" outlineLevel="1">
      <c r="C87" s="29" t="s">
        <v>39</v>
      </c>
      <c r="D87" s="30" t="s">
        <v>106</v>
      </c>
      <c r="E87" s="30" t="s">
        <v>28</v>
      </c>
      <c r="F87" s="30" t="s">
        <v>35</v>
      </c>
      <c r="N87" s="24"/>
      <c r="P87" s="139" t="str">
        <f>IF(SUM(P80:P85)=1,"Ok","Check")</f>
        <v>Ok</v>
      </c>
      <c r="Q87" s="24"/>
      <c r="R87" s="24"/>
      <c r="S87" s="24"/>
      <c r="T87" s="24"/>
      <c r="U87" s="24"/>
      <c r="W87" s="139" t="str">
        <f>IF(COUNTIF(K87:T87,"Check")=0,"Ok","Check")</f>
        <v>Ok</v>
      </c>
    </row>
    <row r="88" spans="1:50"/>
    <row r="89" spans="1:50" s="108" customFormat="1" ht="12.3">
      <c r="A89" s="99"/>
      <c r="B89" s="100" t="s">
        <v>83</v>
      </c>
      <c r="C89" s="99"/>
      <c r="D89" s="99"/>
      <c r="E89" s="99"/>
      <c r="F89" s="101"/>
      <c r="G89" s="101"/>
      <c r="H89" s="101"/>
      <c r="I89" s="101"/>
      <c r="J89" s="101"/>
      <c r="K89" s="102"/>
      <c r="L89" s="103"/>
      <c r="M89" s="102"/>
      <c r="N89" s="103"/>
      <c r="O89" s="102"/>
      <c r="P89" s="102"/>
      <c r="Q89" s="102"/>
      <c r="R89" s="102"/>
      <c r="S89" s="102"/>
      <c r="T89" s="102"/>
      <c r="U89" s="102"/>
      <c r="V89" s="102"/>
      <c r="W89" s="103"/>
      <c r="X89" s="104"/>
      <c r="Y89" s="104"/>
      <c r="Z89" s="104"/>
      <c r="AA89" s="104"/>
      <c r="AB89" s="104"/>
      <c r="AC89" s="104"/>
      <c r="AD89" s="104"/>
      <c r="AE89" s="105"/>
      <c r="AF89" s="106"/>
      <c r="AG89" s="106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</row>
    <row r="90" spans="1:50" outlineLevel="1">
      <c r="G90" s="32"/>
      <c r="H90" s="32"/>
    </row>
    <row r="91" spans="1:50" ht="10.5" outlineLevel="1">
      <c r="C91" s="70" t="s">
        <v>47</v>
      </c>
      <c r="D91" s="32" t="s">
        <v>7</v>
      </c>
      <c r="E91" s="32" t="s">
        <v>8</v>
      </c>
      <c r="F91" s="32" t="s">
        <v>22</v>
      </c>
      <c r="G91" s="32"/>
      <c r="H91" s="32"/>
      <c r="K91" s="111" t="str">
        <f>IF(RIGHT(K$4,2)&gt;=RIGHT('Input|General'!$G$11,2),IF(RIGHT(K$4,2)&lt;=RIGHT('Input|General'!$G$12,2),K$4,""),"")</f>
        <v/>
      </c>
      <c r="L91" s="111" t="str">
        <f ca="1">IF(RIGHT(L$4,2)&gt;=RIGHT('Input|General'!$G$11,2),IF(RIGHT(L$4,2)&lt;=RIGHT('Input|General'!$G$12,2),L$4,""),"")</f>
        <v/>
      </c>
      <c r="M91" s="111" t="str">
        <f ca="1">IF(RIGHT(M$4,2)&gt;=RIGHT('Input|General'!$G$11,2),IF(RIGHT(M$4,2)&lt;=RIGHT('Input|General'!$G$12,2),M$4,""),"")</f>
        <v/>
      </c>
      <c r="N91" s="111" t="str">
        <f ca="1">IF(RIGHT(N$4,2)&gt;=RIGHT('Input|General'!$G$11,2),IF(RIGHT(N$4,2)&lt;=RIGHT('Input|General'!$G$12,2),N$4,""),"")</f>
        <v/>
      </c>
      <c r="O91" s="111" t="str">
        <f ca="1">IF(RIGHT(O$4,2)&gt;=RIGHT('Input|General'!$G$11,2),IF(RIGHT(O$4,2)&lt;=RIGHT('Input|General'!$G$12,2),O$4,""),"")</f>
        <v/>
      </c>
      <c r="P91" s="169">
        <f ca="1">IF(RIGHT(P$4,2)&gt;=RIGHT('Input|General'!$G$11,2),IF(RIGHT(P$4,2)&lt;=RIGHT('Input|General'!$G$12,2),P$4,""),"")</f>
        <v>2020</v>
      </c>
      <c r="Q91" s="169">
        <f ca="1">IF(RIGHT(Q$4,2)&gt;=RIGHT('Input|General'!$G$11,2),IF(RIGHT(Q$4,2)&lt;=RIGHT('Input|General'!$G$12,2),Q$4,""),"")</f>
        <v>2021</v>
      </c>
      <c r="R91" s="169">
        <f ca="1">IF(RIGHT(R$4,2)&gt;=RIGHT('Input|General'!$G$11,2),IF(RIGHT(R$4,2)&lt;=RIGHT('Input|General'!$G$12,2),R$4,""),"")</f>
        <v>2022</v>
      </c>
      <c r="S91" s="169">
        <f ca="1">IF(RIGHT(S$4,2)&gt;=RIGHT('Input|General'!$G$11,2),IF(RIGHT(S$4,2)&lt;=RIGHT('Input|General'!$G$12,2),S$4,""),"")</f>
        <v>2023</v>
      </c>
      <c r="T91" s="169">
        <f ca="1">IF(RIGHT(T$4,2)&gt;=RIGHT('Input|General'!$G$11,2),IF(RIGHT(T$4,2)&lt;=RIGHT('Input|General'!$G$12,2),T$4,""),"")</f>
        <v>2024</v>
      </c>
    </row>
    <row r="92" spans="1:50" ht="10.5" outlineLevel="1">
      <c r="C92" s="117"/>
      <c r="G92" s="32"/>
      <c r="H92" s="32"/>
      <c r="K92" s="23"/>
      <c r="L92" s="23"/>
      <c r="M92" s="23"/>
      <c r="N92" s="23"/>
      <c r="O92" s="23"/>
    </row>
    <row r="93" spans="1:50" ht="10.5" outlineLevel="1">
      <c r="C93" s="117" t="s">
        <v>47</v>
      </c>
      <c r="D93" s="30" t="s">
        <v>127</v>
      </c>
      <c r="E93" s="30" t="str">
        <f>percent</f>
        <v>Per cent</v>
      </c>
      <c r="F93" s="30" t="s">
        <v>35</v>
      </c>
      <c r="G93" s="32"/>
      <c r="H93" s="32"/>
      <c r="K93" s="23"/>
      <c r="L93" s="23"/>
      <c r="M93" s="23"/>
      <c r="N93" s="23"/>
      <c r="O93" s="23"/>
      <c r="P93" s="61">
        <f>'[1]Input|Rate of change'!P93</f>
        <v>0</v>
      </c>
      <c r="Q93" s="61">
        <f>'[1]Input|Rate of change'!Q93</f>
        <v>0</v>
      </c>
      <c r="R93" s="61">
        <f>'[1]Input|Rate of change'!R93</f>
        <v>0</v>
      </c>
      <c r="S93" s="61">
        <f>'[1]Input|Rate of change'!S93</f>
        <v>0</v>
      </c>
      <c r="T93" s="61">
        <f>'[1]Input|Rate of change'!T93</f>
        <v>0</v>
      </c>
    </row>
    <row r="94" spans="1:50" ht="10.5" outlineLevel="1">
      <c r="C94" s="117"/>
      <c r="G94" s="32"/>
      <c r="H94" s="32"/>
      <c r="K94" s="23"/>
      <c r="L94" s="23"/>
      <c r="M94" s="23"/>
      <c r="N94" s="23"/>
      <c r="O94" s="23"/>
    </row>
    <row r="95" spans="1:50" s="108" customFormat="1" ht="12.3">
      <c r="A95" s="99"/>
      <c r="B95" s="100" t="s">
        <v>21</v>
      </c>
      <c r="C95" s="99"/>
      <c r="D95" s="99"/>
      <c r="E95" s="99"/>
      <c r="F95" s="101"/>
      <c r="G95" s="101"/>
      <c r="H95" s="101"/>
      <c r="I95" s="101"/>
      <c r="J95" s="101"/>
      <c r="K95" s="102"/>
      <c r="L95" s="103"/>
      <c r="M95" s="102"/>
      <c r="N95" s="103"/>
      <c r="O95" s="102"/>
      <c r="P95" s="102"/>
      <c r="Q95" s="102"/>
      <c r="R95" s="102"/>
      <c r="S95" s="102"/>
      <c r="T95" s="102"/>
      <c r="U95" s="102"/>
      <c r="V95" s="102"/>
      <c r="W95" s="103"/>
      <c r="X95" s="104"/>
      <c r="Y95" s="104"/>
      <c r="Z95" s="104"/>
      <c r="AA95" s="104"/>
      <c r="AB95" s="104"/>
      <c r="AC95" s="104"/>
      <c r="AD95" s="104"/>
      <c r="AE95" s="105"/>
      <c r="AF95" s="106"/>
      <c r="AG95" s="106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</row>
    <row r="96" spans="1:50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</sheetData>
  <mergeCells count="2">
    <mergeCell ref="K3:M3"/>
    <mergeCell ref="O3:T3"/>
  </mergeCells>
  <conditionalFormatting sqref="W1">
    <cfRule type="cellIs" dxfId="76" priority="57" operator="equal">
      <formula>"Check"</formula>
    </cfRule>
    <cfRule type="cellIs" dxfId="75" priority="58" operator="equal">
      <formula>"Ok"</formula>
    </cfRule>
  </conditionalFormatting>
  <conditionalFormatting sqref="T1">
    <cfRule type="cellIs" dxfId="74" priority="21" operator="equal">
      <formula>"Check"</formula>
    </cfRule>
    <cfRule type="cellIs" dxfId="73" priority="22" operator="equal">
      <formula>"Ok"</formula>
    </cfRule>
  </conditionalFormatting>
  <conditionalFormatting sqref="W56">
    <cfRule type="cellIs" dxfId="72" priority="9" operator="equal">
      <formula>"Check"</formula>
    </cfRule>
    <cfRule type="cellIs" dxfId="71" priority="10" operator="equal">
      <formula>"Ok"</formula>
    </cfRule>
  </conditionalFormatting>
  <conditionalFormatting sqref="P56:S56">
    <cfRule type="cellIs" dxfId="70" priority="7" operator="equal">
      <formula>"Check"</formula>
    </cfRule>
    <cfRule type="cellIs" dxfId="69" priority="8" operator="equal">
      <formula>"Ok"</formula>
    </cfRule>
  </conditionalFormatting>
  <conditionalFormatting sqref="W87">
    <cfRule type="cellIs" dxfId="68" priority="5" operator="equal">
      <formula>"Check"</formula>
    </cfRule>
    <cfRule type="cellIs" dxfId="67" priority="6" operator="equal">
      <formula>"Ok"</formula>
    </cfRule>
  </conditionalFormatting>
  <conditionalFormatting sqref="P87:T87">
    <cfRule type="cellIs" dxfId="66" priority="3" operator="equal">
      <formula>"Check"</formula>
    </cfRule>
    <cfRule type="cellIs" dxfId="65" priority="4" operator="equal">
      <formula>"Ok"</formula>
    </cfRule>
  </conditionalFormatting>
  <conditionalFormatting sqref="T56">
    <cfRule type="cellIs" dxfId="64" priority="1" operator="equal">
      <formula>"Check"</formula>
    </cfRule>
    <cfRule type="cellIs" dxfId="63" priority="2" operator="equal">
      <formula>"Ok"</formula>
    </cfRule>
  </conditionalFormatting>
  <dataValidations disablePrompts="1" count="1">
    <dataValidation type="list" allowBlank="1" showInputMessage="1" showErrorMessage="1" sqref="F94 F68 F77:F79" xr:uid="{00000000-0002-0000-0400-000000000000}">
      <formula1>#REF!</formula1>
    </dataValidation>
  </dataValidations>
  <hyperlinks>
    <hyperlink ref="K1" location="Index!A1" display="Back to Index" xr:uid="{00000000-0004-0000-0400-000000000000}"/>
    <hyperlink ref="V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AU46"/>
  <sheetViews>
    <sheetView showGridLines="0" workbookViewId="0"/>
  </sheetViews>
  <sheetFormatPr defaultColWidth="0" defaultRowHeight="10.199999999999999" zeroHeight="1" outlineLevelRow="1"/>
  <cols>
    <col min="1" max="2" width="1.46484375" style="29" customWidth="1"/>
    <col min="3" max="3" width="48" style="29" bestFit="1" customWidth="1"/>
    <col min="4" max="4" width="27.6640625" style="30" customWidth="1"/>
    <col min="5" max="5" width="15.796875" style="30" customWidth="1"/>
    <col min="6" max="6" width="10.6640625" style="30" customWidth="1"/>
    <col min="7" max="9" width="3.33203125" style="30" customWidth="1"/>
    <col min="10" max="23" width="10.796875" style="29" customWidth="1"/>
    <col min="24" max="47" width="10.46484375" style="29" hidden="1" customWidth="1"/>
    <col min="48" max="16384" width="0" style="29" hidden="1"/>
  </cols>
  <sheetData>
    <row r="1" spans="1:47" s="73" customFormat="1" ht="1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87</v>
      </c>
      <c r="S1" s="80" t="str">
        <f>IF(COUNTA($W$8:$W$221)=COUNTIF($W$8:$W$221,"OK"),"OK","Check")</f>
        <v>OK</v>
      </c>
      <c r="U1" s="176" t="s">
        <v>24</v>
      </c>
      <c r="V1" s="80" t="str">
        <f>'Check|List'!$S$1</f>
        <v>Ok</v>
      </c>
    </row>
    <row r="2" spans="1:47" s="81" customFormat="1" ht="12.9" thickBot="1">
      <c r="B2" s="82" t="str">
        <f>Index!$C$11</f>
        <v>Input | Step changes</v>
      </c>
      <c r="C2" s="82"/>
      <c r="D2" s="82"/>
      <c r="E2" s="82"/>
      <c r="F2" s="83"/>
      <c r="G2" s="83"/>
      <c r="H2" s="83"/>
      <c r="I2" s="83"/>
    </row>
    <row r="3" spans="1:47" s="84" customFormat="1" ht="10.5">
      <c r="C3" s="85"/>
      <c r="D3" s="86"/>
      <c r="E3" s="86"/>
      <c r="F3" s="86"/>
      <c r="G3" s="86"/>
      <c r="H3" s="86"/>
      <c r="I3" s="86"/>
      <c r="J3" s="250"/>
      <c r="K3" s="250"/>
      <c r="L3" s="250"/>
      <c r="M3" s="86"/>
      <c r="N3" s="250"/>
      <c r="O3" s="250"/>
      <c r="P3" s="250"/>
      <c r="Q3" s="250"/>
      <c r="R3" s="250"/>
      <c r="S3" s="250"/>
      <c r="T3" s="87"/>
      <c r="U3" s="87"/>
      <c r="V3" s="87"/>
      <c r="W3" s="87"/>
      <c r="X3" s="87"/>
      <c r="Y3" s="87"/>
      <c r="Z3" s="87"/>
    </row>
    <row r="4" spans="1:47" s="98" customFormat="1">
      <c r="A4" s="88"/>
      <c r="B4" s="88"/>
      <c r="C4" s="88"/>
      <c r="D4" s="88" t="s">
        <v>7</v>
      </c>
      <c r="E4" s="88" t="s">
        <v>8</v>
      </c>
      <c r="F4" s="91" t="s">
        <v>22</v>
      </c>
      <c r="G4" s="91"/>
      <c r="H4" s="91"/>
      <c r="I4" s="91"/>
      <c r="J4" s="92">
        <f>'Input|General'!$G$8</f>
        <v>2015</v>
      </c>
      <c r="K4" s="92">
        <f ca="1">IF(OFFSET('Lookup|Tables'!$G$26:$G$43,MATCH('Input|General'!$G$8,'Lookup|Tables'!$G$26:$G$42,0),0,1,1)&lt;='Input|General'!$G$12,OFFSET('Lookup|Tables'!$G$26:$G$43,MATCH('Input|General'!$G$8,'Lookup|Tables'!$G$26:$G$42,0),0,1,1),"")</f>
        <v>2016</v>
      </c>
      <c r="L4" s="92">
        <f ca="1">IF(OFFSET('Lookup|Tables'!$G$28:$G$43,MATCH('Input|General'!$G$8,'Lookup|Tables'!$G$28:$G$42,0)+1,0,1,1)&lt;='Input|General'!$G$12,OFFSET('Lookup|Tables'!$G$28:$G$43,MATCH('Input|General'!$G$8,'Lookup|Tables'!$G$28:$G$42,0)+1,0,1,1),"")</f>
        <v>2017</v>
      </c>
      <c r="M4" s="92">
        <f ca="1">IF(OFFSET('Lookup|Tables'!$G$28:$G$43,MATCH('Input|General'!$G$8,'Lookup|Tables'!$G$28:$G$42,0)+2,0,1,1)&lt;='Input|General'!$G$12,OFFSET('Lookup|Tables'!$G$28:$G$43,MATCH('Input|General'!$G$8,'Lookup|Tables'!$G$28:$G$42,0)+2,0,1,1),"")</f>
        <v>2018</v>
      </c>
      <c r="N4" s="92">
        <f ca="1">IF(OFFSET('Lookup|Tables'!$G$28:$G$43,MATCH('Input|General'!$G$8,'Lookup|Tables'!$G$28:$G$42,0)+3,0,1,1)&lt;='Input|General'!$G$12,OFFSET('Lookup|Tables'!$G$28:$G$43,MATCH('Input|General'!$G$8,'Lookup|Tables'!$G$28:$G$42,0)+3,0,1,1),"")</f>
        <v>2019</v>
      </c>
      <c r="O4" s="92">
        <f ca="1">IF(OFFSET('Lookup|Tables'!$G$28:$G$43,MATCH('Input|General'!$G$8,'Lookup|Tables'!$G$28:$G$42,0)+4,0,1,1)&lt;='Input|General'!$G$12,OFFSET('Lookup|Tables'!$G$28:$G$43,MATCH('Input|General'!$G$8,'Lookup|Tables'!$G$28:$G$42,0)+4,0,1,1),"")</f>
        <v>2020</v>
      </c>
      <c r="P4" s="92">
        <f ca="1">IF(OFFSET('Lookup|Tables'!$G$28:$G$43,MATCH('Input|General'!$G$8,'Lookup|Tables'!$G$28:$G$42,0)+5,0,1,1)&lt;='Input|General'!$G$12,OFFSET('Lookup|Tables'!$G$28:$G$43,MATCH('Input|General'!$G$8,'Lookup|Tables'!$G$28:$G$42,0)+5,0,1,1),"")</f>
        <v>2021</v>
      </c>
      <c r="Q4" s="92">
        <f ca="1">IF(OFFSET('Lookup|Tables'!$G$28:$G$43,MATCH('Input|General'!$G$8,'Lookup|Tables'!$G$28:$G$42,0)+6,0,1,1)&lt;='Input|General'!$G$12,OFFSET('Lookup|Tables'!$G$28:$G$43,MATCH('Input|General'!$G$8,'Lookup|Tables'!$G$28:$G$42,0)+6,0,1,1),"")</f>
        <v>2022</v>
      </c>
      <c r="R4" s="92">
        <f ca="1">IF(OFFSET('Lookup|Tables'!$G$28:$G$43,MATCH('Input|General'!$G$8,'Lookup|Tables'!$G$28:$G$42,0)+7,0,1,1)&lt;='Input|General'!$G$12,OFFSET('Lookup|Tables'!$G$28:$G$43,MATCH('Input|General'!$G$8,'Lookup|Tables'!$G$28:$G$42,0)+7,0,1,1),"")</f>
        <v>2023</v>
      </c>
      <c r="S4" s="92">
        <f ca="1">IF(OFFSET('Lookup|Tables'!$G$28:$G$43,MATCH('Input|General'!$G$8,'Lookup|Tables'!$G$28:$G$42,0)+8,0,1,1)&lt;='Input|General'!$G$12,OFFSET('Lookup|Tables'!$G$28:$G$43,MATCH('Input|General'!$G$8,'Lookup|Tables'!$G$28:$G$42,0)+8,0,1,1),"")</f>
        <v>2024</v>
      </c>
      <c r="T4" s="92"/>
      <c r="U4" s="92"/>
      <c r="V4" s="93"/>
      <c r="W4" s="93"/>
      <c r="X4" s="94"/>
      <c r="Y4" s="94"/>
      <c r="Z4" s="94"/>
      <c r="AA4" s="94"/>
      <c r="AB4" s="95"/>
      <c r="AC4" s="96"/>
      <c r="AD4" s="96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8" customFormat="1" ht="12.3">
      <c r="A8" s="99"/>
      <c r="B8" s="100" t="s">
        <v>49</v>
      </c>
      <c r="C8" s="99"/>
      <c r="D8" s="99"/>
      <c r="E8" s="99"/>
      <c r="F8" s="101"/>
      <c r="G8" s="101"/>
      <c r="H8" s="101"/>
      <c r="I8" s="101"/>
      <c r="J8" s="102"/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  <c r="X8" s="104"/>
      <c r="Y8" s="104"/>
      <c r="Z8" s="104"/>
      <c r="AA8" s="104"/>
      <c r="AB8" s="105"/>
      <c r="AC8" s="106"/>
      <c r="AD8" s="106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</row>
    <row r="9" spans="1:47" outlineLevel="1">
      <c r="G9" s="32"/>
      <c r="H9" s="32"/>
      <c r="N9" s="249"/>
      <c r="O9" s="248"/>
    </row>
    <row r="10" spans="1:47" ht="10.5" outlineLevel="1">
      <c r="C10" s="70" t="s">
        <v>84</v>
      </c>
      <c r="D10" s="32" t="s">
        <v>7</v>
      </c>
      <c r="E10" s="32" t="s">
        <v>8</v>
      </c>
      <c r="F10" s="32" t="s">
        <v>22</v>
      </c>
      <c r="G10" s="32"/>
      <c r="H10" s="32"/>
      <c r="J10" s="111" t="str">
        <f>IF(RIGHT(J$4,2)&gt;=RIGHT('Input|General'!$G$11,2),IF(RIGHT(J$4,2)&lt;=RIGHT('Input|General'!$G$12,2),J$4,""),"")</f>
        <v/>
      </c>
      <c r="K10" s="111" t="str">
        <f ca="1">IF(RIGHT(K$4,2)&gt;=RIGHT('Input|General'!$G$11,2),IF(RIGHT(K$4,2)&lt;=RIGHT('Input|General'!$G$12,2),K$4,""),"")</f>
        <v/>
      </c>
      <c r="L10" s="111" t="str">
        <f ca="1">IF(RIGHT(L$4,2)&gt;=RIGHT('Input|General'!$G$11,2),IF(RIGHT(L$4,2)&lt;=RIGHT('Input|General'!$G$12,2),L$4,""),"")</f>
        <v/>
      </c>
      <c r="M10" s="111" t="str">
        <f ca="1">IF(RIGHT(M$4,2)&gt;=RIGHT('Input|General'!$G$11,2),IF(RIGHT(M$4,2)&lt;=RIGHT('Input|General'!$G$12,2),M$4,""),"")</f>
        <v/>
      </c>
      <c r="N10" s="111" t="str">
        <f ca="1">IF(RIGHT(N$4,2)&gt;=RIGHT('Input|General'!$G$11,2),IF(RIGHT(N$4,2)&lt;=RIGHT('Input|General'!$G$12,2),N$4,""),"")</f>
        <v/>
      </c>
      <c r="O10" s="171">
        <f ca="1">IF(RIGHT(O$4,2)&gt;=RIGHT('Input|General'!$G$11,2),IF(RIGHT(O$4,2)&lt;=RIGHT('Input|General'!$G$12,2),O$4,""),"")</f>
        <v>2020</v>
      </c>
      <c r="P10" s="171">
        <f ca="1">IF(RIGHT(P$4,2)&gt;=RIGHT('Input|General'!$G$11,2),IF(RIGHT(P$4,2)&lt;=RIGHT('Input|General'!$G$12,2),P$4,""),"")</f>
        <v>2021</v>
      </c>
      <c r="Q10" s="171">
        <f ca="1">IF(RIGHT(Q$4,2)&gt;=RIGHT('Input|General'!$G$11,2),IF(RIGHT(Q$4,2)&lt;=RIGHT('Input|General'!$G$12,2),Q$4,""),"")</f>
        <v>2022</v>
      </c>
      <c r="R10" s="171">
        <f ca="1">IF(RIGHT(R$4,2)&gt;=RIGHT('Input|General'!$G$11,2),IF(RIGHT(R$4,2)&lt;=RIGHT('Input|General'!$G$12,2),R$4,""),"")</f>
        <v>2023</v>
      </c>
      <c r="S10" s="171">
        <f ca="1">IF(RIGHT(S$4,2)&gt;=RIGHT('Input|General'!$G$11,2),IF(RIGHT(S$4,2)&lt;=RIGHT('Input|General'!$G$12,2),S$4,""),"")</f>
        <v>2024</v>
      </c>
    </row>
    <row r="11" spans="1:47" outlineLevel="1">
      <c r="G11" s="32"/>
      <c r="H11" s="32"/>
    </row>
    <row r="12" spans="1:47" outlineLevel="1">
      <c r="C12" s="191" t="str">
        <f>'[2]Calc|Step_Changes'!D27</f>
        <v>Inspection and testing</v>
      </c>
      <c r="D12" s="30" t="s">
        <v>124</v>
      </c>
      <c r="E12" s="160" t="s">
        <v>15</v>
      </c>
      <c r="F12" s="170">
        <v>2018</v>
      </c>
      <c r="G12" s="32"/>
      <c r="H12" s="32"/>
      <c r="O12" s="64">
        <f>'[2]Calc|Step_Changes'!N27/10^6</f>
        <v>0.30554423999999997</v>
      </c>
      <c r="P12" s="64">
        <f>'[2]Calc|Step_Changes'!O27/10^6</f>
        <v>0.30554423999999997</v>
      </c>
      <c r="Q12" s="64">
        <f>'[2]Calc|Step_Changes'!P27/10^6</f>
        <v>0.30554423999999997</v>
      </c>
      <c r="R12" s="64">
        <f>'[2]Calc|Step_Changes'!Q27/10^6</f>
        <v>0.30554423999999997</v>
      </c>
      <c r="S12" s="64">
        <f>'[2]Calc|Step_Changes'!R27/10^6</f>
        <v>0.30554423999999997</v>
      </c>
    </row>
    <row r="13" spans="1:47" outlineLevel="1">
      <c r="C13" s="191" t="str">
        <f>'[2]Calc|Step_Changes'!D28</f>
        <v>Metering Compliance Type 1-6</v>
      </c>
      <c r="D13" s="182" t="s">
        <v>124</v>
      </c>
      <c r="E13" s="160" t="s">
        <v>15</v>
      </c>
      <c r="F13" s="170">
        <v>2018</v>
      </c>
      <c r="G13" s="32"/>
      <c r="H13" s="32"/>
      <c r="O13" s="64">
        <f>'[2]Calc|Step_Changes'!N28/10^6</f>
        <v>3.8284619999999998E-2</v>
      </c>
      <c r="P13" s="64">
        <f>'[2]Calc|Step_Changes'!O28/10^6</f>
        <v>3.8284619999999998E-2</v>
      </c>
      <c r="Q13" s="64">
        <f>'[2]Calc|Step_Changes'!P28/10^6</f>
        <v>3.8284619999999998E-2</v>
      </c>
      <c r="R13" s="64">
        <f>'[2]Calc|Step_Changes'!Q28/10^6</f>
        <v>3.8284619999999998E-2</v>
      </c>
      <c r="S13" s="64">
        <f>'[2]Calc|Step_Changes'!R28/10^6</f>
        <v>3.8284619999999998E-2</v>
      </c>
    </row>
    <row r="14" spans="1:47" outlineLevel="1">
      <c r="C14" s="191" t="str">
        <f>'[2]Calc|Step_Changes'!D29</f>
        <v>Souther Region metering technicians</v>
      </c>
      <c r="D14" s="182" t="s">
        <v>124</v>
      </c>
      <c r="E14" s="160" t="s">
        <v>15</v>
      </c>
      <c r="F14" s="170">
        <v>2018</v>
      </c>
      <c r="G14" s="32"/>
      <c r="H14" s="32"/>
      <c r="O14" s="64">
        <f>'[2]Calc|Step_Changes'!N29/10^6</f>
        <v>0.30554423999999997</v>
      </c>
      <c r="P14" s="64">
        <f>'[2]Calc|Step_Changes'!O29/10^6</f>
        <v>0.30554423999999997</v>
      </c>
      <c r="Q14" s="64">
        <f>'[2]Calc|Step_Changes'!P29/10^6</f>
        <v>0.30554423999999997</v>
      </c>
      <c r="R14" s="64">
        <f>'[2]Calc|Step_Changes'!Q29/10^6</f>
        <v>0.30554423999999997</v>
      </c>
      <c r="S14" s="64">
        <f>'[2]Calc|Step_Changes'!R29/10^6</f>
        <v>0.30554423999999997</v>
      </c>
    </row>
    <row r="15" spans="1:47" outlineLevel="1">
      <c r="C15" s="191" t="str">
        <f>'[2]Calc|Step_Changes'!D30</f>
        <v>New and replacement meter policy</v>
      </c>
      <c r="D15" s="182" t="s">
        <v>124</v>
      </c>
      <c r="E15" s="160" t="s">
        <v>15</v>
      </c>
      <c r="F15" s="170">
        <v>2018</v>
      </c>
      <c r="G15" s="32"/>
      <c r="H15" s="32"/>
      <c r="O15" s="64">
        <f>'[2]Calc|Step_Changes'!N30/10^6</f>
        <v>-0.45366679407002114</v>
      </c>
      <c r="P15" s="64">
        <f>'[2]Calc|Step_Changes'!O30/10^6</f>
        <v>-0.58437833735764055</v>
      </c>
      <c r="Q15" s="64">
        <f>'[2]Calc|Step_Changes'!P30/10^6</f>
        <v>-0.72009363052515496</v>
      </c>
      <c r="R15" s="64">
        <f>'[2]Calc|Step_Changes'!Q30/10^6</f>
        <v>-0.85199595956808316</v>
      </c>
      <c r="S15" s="64">
        <f>'[2]Calc|Step_Changes'!R30/10^6</f>
        <v>-0.9778793759757225</v>
      </c>
    </row>
    <row r="16" spans="1:47" outlineLevel="1">
      <c r="C16" s="191"/>
      <c r="D16" s="182" t="s">
        <v>124</v>
      </c>
      <c r="E16" s="160" t="s">
        <v>15</v>
      </c>
      <c r="F16" s="170">
        <v>2018</v>
      </c>
      <c r="G16" s="32"/>
      <c r="H16" s="32"/>
      <c r="O16" s="64"/>
      <c r="P16" s="64"/>
      <c r="Q16" s="64"/>
      <c r="R16" s="64"/>
      <c r="S16" s="64"/>
    </row>
    <row r="17" spans="1:47" outlineLevel="1">
      <c r="C17" s="191"/>
      <c r="D17" s="182" t="s">
        <v>124</v>
      </c>
      <c r="E17" s="160" t="s">
        <v>15</v>
      </c>
      <c r="F17" s="170">
        <v>2018</v>
      </c>
      <c r="G17" s="32"/>
      <c r="H17" s="32"/>
      <c r="O17" s="64"/>
      <c r="P17" s="64"/>
      <c r="Q17" s="64"/>
      <c r="R17" s="64"/>
      <c r="S17" s="64"/>
    </row>
    <row r="18" spans="1:47" outlineLevel="1">
      <c r="C18" s="62"/>
      <c r="D18" s="182" t="s">
        <v>124</v>
      </c>
      <c r="E18" s="160" t="s">
        <v>15</v>
      </c>
      <c r="F18" s="170">
        <v>2018</v>
      </c>
      <c r="G18" s="32"/>
      <c r="H18" s="32"/>
      <c r="O18" s="64"/>
      <c r="P18" s="64"/>
      <c r="Q18" s="64"/>
      <c r="R18" s="64"/>
      <c r="S18" s="64"/>
    </row>
    <row r="19" spans="1:47" outlineLevel="1">
      <c r="C19" s="62"/>
      <c r="D19" s="182" t="s">
        <v>124</v>
      </c>
      <c r="E19" s="160" t="s">
        <v>15</v>
      </c>
      <c r="F19" s="170">
        <v>2019</v>
      </c>
      <c r="G19" s="32"/>
      <c r="H19" s="32"/>
      <c r="O19" s="64"/>
      <c r="P19" s="64"/>
      <c r="Q19" s="64"/>
      <c r="R19" s="64"/>
      <c r="S19" s="64"/>
    </row>
    <row r="20" spans="1:47" outlineLevel="1">
      <c r="C20" s="62"/>
      <c r="D20" s="182" t="s">
        <v>124</v>
      </c>
      <c r="E20" s="160" t="s">
        <v>15</v>
      </c>
      <c r="F20" s="170">
        <v>2019</v>
      </c>
      <c r="G20" s="32"/>
      <c r="H20" s="32"/>
      <c r="O20" s="64"/>
      <c r="P20" s="64"/>
      <c r="Q20" s="64"/>
      <c r="R20" s="64"/>
      <c r="S20" s="64"/>
    </row>
    <row r="21" spans="1:47">
      <c r="G21" s="32"/>
      <c r="H21" s="32"/>
    </row>
    <row r="22" spans="1:47" s="108" customFormat="1" ht="12.3">
      <c r="A22" s="99"/>
      <c r="B22" s="100" t="s">
        <v>43</v>
      </c>
      <c r="C22" s="99"/>
      <c r="D22" s="99"/>
      <c r="E22" s="99"/>
      <c r="F22" s="101"/>
      <c r="G22" s="101"/>
      <c r="H22" s="101"/>
      <c r="I22" s="101"/>
      <c r="J22" s="102"/>
      <c r="K22" s="103"/>
      <c r="L22" s="102"/>
      <c r="M22" s="103"/>
      <c r="N22" s="102"/>
      <c r="O22" s="102"/>
      <c r="P22" s="102"/>
      <c r="Q22" s="102"/>
      <c r="R22" s="102"/>
      <c r="S22" s="102"/>
      <c r="T22" s="102"/>
      <c r="U22" s="102"/>
      <c r="V22" s="103"/>
      <c r="W22" s="103"/>
      <c r="X22" s="104"/>
      <c r="Y22" s="104"/>
      <c r="Z22" s="104"/>
      <c r="AA22" s="104"/>
      <c r="AB22" s="105"/>
      <c r="AC22" s="106"/>
      <c r="AD22" s="106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</row>
    <row r="23" spans="1:47" outlineLevel="1">
      <c r="G23" s="32"/>
      <c r="H23" s="32"/>
    </row>
    <row r="24" spans="1:47" ht="10.5" outlineLevel="1">
      <c r="C24" s="70" t="s">
        <v>32</v>
      </c>
      <c r="D24" s="32" t="s">
        <v>7</v>
      </c>
      <c r="E24" s="32" t="s">
        <v>8</v>
      </c>
      <c r="F24" s="32" t="s">
        <v>22</v>
      </c>
      <c r="G24" s="32"/>
      <c r="H24" s="32"/>
      <c r="J24" s="111" t="str">
        <f>IF(RIGHT(J$4,2)&gt;=RIGHT('Input|General'!$G$11,2),IF(RIGHT(J$4,2)&lt;=RIGHT('Input|General'!$G$12,2),J$4,""),"")</f>
        <v/>
      </c>
      <c r="K24" s="111" t="str">
        <f ca="1">IF(RIGHT(K$4,2)&gt;=RIGHT('Input|General'!$G$11,2),IF(RIGHT(K$4,2)&lt;=RIGHT('Input|General'!$G$12,2),K$4,""),"")</f>
        <v/>
      </c>
      <c r="L24" s="111" t="str">
        <f ca="1">IF(RIGHT(L$4,2)&gt;=RIGHT('Input|General'!$G$11,2),IF(RIGHT(L$4,2)&lt;=RIGHT('Input|General'!$G$12,2),L$4,""),"")</f>
        <v/>
      </c>
      <c r="M24" s="111" t="str">
        <f ca="1">IF(RIGHT(M$4,2)&gt;=RIGHT('Input|General'!$G$11,2),IF(RIGHT(M$4,2)&lt;=RIGHT('Input|General'!$G$12,2),M$4,""),"")</f>
        <v/>
      </c>
      <c r="N24" s="111" t="str">
        <f ca="1">IF(RIGHT(N$4,2)&gt;=RIGHT('Input|General'!$G$11,2),IF(RIGHT(N$4,2)&lt;=RIGHT('Input|General'!$G$12,2),N$4,""),"")</f>
        <v/>
      </c>
      <c r="O24" s="171">
        <f ca="1">IF(RIGHT(O$4,2)&gt;=RIGHT('Input|General'!$G$11,2),IF(RIGHT(O$4,2)&lt;=RIGHT('Input|General'!$G$12,2),O$4,""),"")</f>
        <v>2020</v>
      </c>
      <c r="P24" s="171">
        <f ca="1">IF(RIGHT(P$4,2)&gt;=RIGHT('Input|General'!$G$11,2),IF(RIGHT(P$4,2)&lt;=RIGHT('Input|General'!$G$12,2),P$4,""),"")</f>
        <v>2021</v>
      </c>
      <c r="Q24" s="171">
        <f ca="1">IF(RIGHT(Q$4,2)&gt;=RIGHT('Input|General'!$G$11,2),IF(RIGHT(Q$4,2)&lt;=RIGHT('Input|General'!$G$12,2),Q$4,""),"")</f>
        <v>2022</v>
      </c>
      <c r="R24" s="171">
        <f ca="1">IF(RIGHT(R$4,2)&gt;=RIGHT('Input|General'!$G$11,2),IF(RIGHT(R$4,2)&lt;=RIGHT('Input|General'!$G$12,2),R$4,""),"")</f>
        <v>2023</v>
      </c>
      <c r="S24" s="171">
        <f ca="1">IF(RIGHT(S$4,2)&gt;=RIGHT('Input|General'!$G$11,2),IF(RIGHT(S$4,2)&lt;=RIGHT('Input|General'!$G$12,2),S$4,""),"")</f>
        <v>2024</v>
      </c>
    </row>
    <row r="25" spans="1:47" outlineLevel="1">
      <c r="G25" s="32"/>
      <c r="H25" s="32"/>
    </row>
    <row r="26" spans="1:47" outlineLevel="1">
      <c r="C26" s="117" t="s">
        <v>38</v>
      </c>
      <c r="D26" s="30" t="s">
        <v>78</v>
      </c>
      <c r="E26" s="30" t="s">
        <v>15</v>
      </c>
      <c r="F26" s="185">
        <v>2019</v>
      </c>
      <c r="G26" s="32"/>
      <c r="H26" s="32"/>
      <c r="O26" s="72">
        <f>'[3]PTRM input'!G186</f>
        <v>8.6157966088687647E-3</v>
      </c>
      <c r="P26" s="72">
        <f>'[3]PTRM input'!H186</f>
        <v>1.1658097446656412E-2</v>
      </c>
      <c r="Q26" s="72">
        <f>'[3]PTRM input'!I186</f>
        <v>1.2793609940476547E-2</v>
      </c>
      <c r="R26" s="72">
        <f>'[3]PTRM input'!J186</f>
        <v>1.3814966073065503E-2</v>
      </c>
      <c r="S26" s="72">
        <f>'[3]PTRM input'!K186</f>
        <v>1.6658603205363609E-2</v>
      </c>
    </row>
    <row r="27" spans="1:47">
      <c r="G27" s="32"/>
      <c r="H27" s="32"/>
    </row>
    <row r="28" spans="1:47" s="108" customFormat="1" ht="12.3">
      <c r="A28" s="99"/>
      <c r="B28" s="100" t="s">
        <v>21</v>
      </c>
      <c r="C28" s="99"/>
      <c r="D28" s="99"/>
      <c r="E28" s="99"/>
      <c r="F28" s="101"/>
      <c r="G28" s="101"/>
      <c r="H28" s="101"/>
      <c r="I28" s="101"/>
      <c r="J28" s="102"/>
      <c r="K28" s="103"/>
      <c r="L28" s="102"/>
      <c r="M28" s="103"/>
      <c r="N28" s="102"/>
      <c r="O28" s="102"/>
      <c r="P28" s="102"/>
      <c r="Q28" s="102"/>
      <c r="R28" s="102"/>
      <c r="S28" s="102"/>
      <c r="T28" s="102"/>
      <c r="U28" s="102"/>
      <c r="V28" s="103"/>
      <c r="W28" s="103"/>
      <c r="X28" s="104"/>
      <c r="Y28" s="104"/>
      <c r="Z28" s="104"/>
      <c r="AA28" s="104"/>
      <c r="AB28" s="105"/>
      <c r="AC28" s="106"/>
      <c r="AD28" s="106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</row>
    <row r="29" spans="1:47" hidden="1">
      <c r="G29" s="32"/>
      <c r="H29" s="32"/>
    </row>
    <row r="30" spans="1:47" hidden="1">
      <c r="G30" s="32"/>
      <c r="H30" s="32"/>
    </row>
    <row r="31" spans="1:47" hidden="1">
      <c r="G31" s="32"/>
      <c r="H31" s="32"/>
    </row>
    <row r="32" spans="1:47" hidden="1">
      <c r="G32" s="32"/>
      <c r="H32" s="32"/>
    </row>
    <row r="33" spans="7:8" hidden="1">
      <c r="G33" s="32"/>
      <c r="H33" s="32"/>
    </row>
    <row r="34" spans="7:8" hidden="1">
      <c r="G34" s="32"/>
      <c r="H34" s="32"/>
    </row>
    <row r="35" spans="7:8" hidden="1">
      <c r="G35" s="32"/>
      <c r="H35" s="32"/>
    </row>
    <row r="36" spans="7:8" hidden="1">
      <c r="G36" s="32"/>
      <c r="H36" s="32"/>
    </row>
    <row r="37" spans="7:8" hidden="1">
      <c r="G37" s="32"/>
      <c r="H37" s="32"/>
    </row>
    <row r="38" spans="7:8" hidden="1">
      <c r="G38" s="32"/>
      <c r="H38" s="32"/>
    </row>
    <row r="39" spans="7:8" hidden="1"/>
    <row r="40" spans="7:8" hidden="1"/>
    <row r="41" spans="7:8" hidden="1"/>
    <row r="42" spans="7:8" hidden="1"/>
    <row r="43" spans="7:8" hidden="1"/>
    <row r="44" spans="7:8" hidden="1"/>
    <row r="45" spans="7:8" hidden="1"/>
    <row r="46" spans="7:8" hidden="1"/>
  </sheetData>
  <mergeCells count="2">
    <mergeCell ref="J3:L3"/>
    <mergeCell ref="N3:S3"/>
  </mergeCells>
  <conditionalFormatting sqref="S1">
    <cfRule type="cellIs" dxfId="62" priority="1" operator="equal">
      <formula>"Check"</formula>
    </cfRule>
    <cfRule type="cellIs" dxfId="61" priority="2" operator="equal">
      <formula>"Ok"</formula>
    </cfRule>
  </conditionalFormatting>
  <conditionalFormatting sqref="V1">
    <cfRule type="cellIs" dxfId="60" priority="3" operator="equal">
      <formula>"Check"</formula>
    </cfRule>
    <cfRule type="cellIs" dxfId="59" priority="4" operator="equal">
      <formula>"Ok"</formula>
    </cfRule>
  </conditionalFormatting>
  <dataValidations count="2">
    <dataValidation type="list" allowBlank="1" showInputMessage="1" showErrorMessage="1" sqref="F21" xr:uid="{00000000-0002-0000-0500-000000000000}">
      <formula1>"Real 2010,Real 2011,Real 2012,Real 2013,Real 2014,Real 2015,Nominal"</formula1>
    </dataValidation>
    <dataValidation type="list" allowBlank="1" showInputMessage="1" showErrorMessage="1" sqref="I26 I12:I21 U12:U21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U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'Lookup|Tables'!$G$10:$G$12</xm:f>
          </x14:formula1>
          <xm:sqref>E26 E12:E20</xm:sqref>
        </x14:dataValidation>
        <x14:dataValidation type="list" allowBlank="1" showInputMessage="1" showErrorMessage="1" xr:uid="{00000000-0002-0000-0500-000003000000}">
          <x14:formula1>
            <xm:f>'Lookup|Tables'!$G$25:$G$42</xm:f>
          </x14:formula1>
          <xm:sqref>F26 F12:F20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U171"/>
  <sheetViews>
    <sheetView showGridLines="0" workbookViewId="0"/>
  </sheetViews>
  <sheetFormatPr defaultColWidth="0" defaultRowHeight="10.199999999999999" zeroHeight="1" outlineLevelRow="1"/>
  <cols>
    <col min="1" max="2" width="1.46484375" style="29" customWidth="1"/>
    <col min="3" max="3" width="50.1328125" style="29" bestFit="1" customWidth="1"/>
    <col min="4" max="4" width="27.6640625" style="30" customWidth="1"/>
    <col min="5" max="5" width="15.796875" style="30" customWidth="1"/>
    <col min="6" max="6" width="10.6640625" style="30" customWidth="1"/>
    <col min="7" max="9" width="3.46484375" style="30" customWidth="1"/>
    <col min="10" max="23" width="10.796875" style="29" customWidth="1"/>
    <col min="24" max="38" width="10.46484375" style="29" hidden="1" customWidth="1"/>
    <col min="39" max="16384" width="10.46484375" style="29" hidden="1"/>
  </cols>
  <sheetData>
    <row r="1" spans="1:47" s="73" customFormat="1" ht="1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87</v>
      </c>
      <c r="S1" s="80" t="s">
        <v>35</v>
      </c>
      <c r="U1" s="176" t="s">
        <v>24</v>
      </c>
      <c r="V1" s="80" t="str">
        <f>'Check|List'!$S$1</f>
        <v>Ok</v>
      </c>
    </row>
    <row r="2" spans="1:47" s="81" customFormat="1" ht="12.9" thickBot="1">
      <c r="B2" s="82" t="str">
        <f>Index!$C$12</f>
        <v>Calc | Opex Forecast</v>
      </c>
      <c r="C2" s="82"/>
      <c r="D2" s="82"/>
      <c r="E2" s="82"/>
      <c r="F2" s="83"/>
      <c r="G2" s="83"/>
      <c r="H2" s="83"/>
      <c r="I2" s="83"/>
    </row>
    <row r="3" spans="1:47" s="84" customFormat="1" ht="10.5">
      <c r="C3" s="85"/>
      <c r="D3" s="86"/>
      <c r="E3" s="86"/>
      <c r="F3" s="86"/>
      <c r="G3" s="86"/>
      <c r="H3" s="86"/>
      <c r="I3" s="86"/>
      <c r="J3" s="250"/>
      <c r="K3" s="250"/>
      <c r="L3" s="250"/>
      <c r="M3" s="86"/>
      <c r="N3" s="250"/>
      <c r="O3" s="250"/>
      <c r="P3" s="250"/>
      <c r="Q3" s="250"/>
      <c r="R3" s="250"/>
      <c r="S3" s="250"/>
      <c r="T3" s="87"/>
      <c r="U3" s="87"/>
      <c r="V3" s="87"/>
      <c r="W3" s="87"/>
      <c r="X3" s="87"/>
      <c r="Y3" s="87"/>
      <c r="Z3" s="87"/>
    </row>
    <row r="4" spans="1:47" s="98" customFormat="1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172">
        <f>'Input|General'!$G$8</f>
        <v>2015</v>
      </c>
      <c r="K4" s="173">
        <f ca="1">IF(OFFSET('Lookup|Tables'!$G$26:$G$43,MATCH('Input|General'!$G$8,'Lookup|Tables'!$G$26:$G$42,0),0,1,1)&lt;='Input|General'!$G$12,OFFSET('Lookup|Tables'!$G$26:$G$43,MATCH('Input|General'!$G$8,'Lookup|Tables'!$G$26:$G$42,0),0,1,1),"")</f>
        <v>2016</v>
      </c>
      <c r="L4" s="172">
        <f ca="1">IF(OFFSET('Lookup|Tables'!$G$28:$G$43,MATCH('Input|General'!$G$8,'Lookup|Tables'!$G$28:$G$42,0)+1,0,1,1)&lt;='Input|General'!$G$12,OFFSET('Lookup|Tables'!$G$28:$G$43,MATCH('Input|General'!$G$8,'Lookup|Tables'!$G$28:$G$42,0)+1,0,1,1),"")</f>
        <v>2017</v>
      </c>
      <c r="M4" s="173">
        <f ca="1">IF(OFFSET('Lookup|Tables'!$G$28:$G$43,MATCH('Input|General'!$G$8,'Lookup|Tables'!$G$28:$G$42,0)+2,0,1,1)&lt;='Input|General'!$G$12,OFFSET('Lookup|Tables'!$G$28:$G$43,MATCH('Input|General'!$G$8,'Lookup|Tables'!$G$28:$G$42,0)+2,0,1,1),"")</f>
        <v>2018</v>
      </c>
      <c r="N4" s="172">
        <f ca="1">IF(OFFSET('Lookup|Tables'!$G$28:$G$43,MATCH('Input|General'!$G$8,'Lookup|Tables'!$G$28:$G$42,0)+3,0,1,1)&lt;='Input|General'!$G$12,OFFSET('Lookup|Tables'!$G$28:$G$43,MATCH('Input|General'!$G$8,'Lookup|Tables'!$G$28:$G$42,0)+3,0,1,1),"")</f>
        <v>2019</v>
      </c>
      <c r="O4" s="172">
        <f ca="1">IF(OFFSET('Lookup|Tables'!$G$28:$G$43,MATCH('Input|General'!$G$8,'Lookup|Tables'!$G$28:$G$42,0)+4,0,1,1)&lt;='Input|General'!$G$12,OFFSET('Lookup|Tables'!$G$28:$G$43,MATCH('Input|General'!$G$8,'Lookup|Tables'!$G$28:$G$42,0)+4,0,1,1),"")</f>
        <v>2020</v>
      </c>
      <c r="P4" s="172">
        <f ca="1">IF(OFFSET('Lookup|Tables'!$G$28:$G$43,MATCH('Input|General'!$G$8,'Lookup|Tables'!$G$28:$G$42,0)+5,0,1,1)&lt;='Input|General'!$G$12,OFFSET('Lookup|Tables'!$G$28:$G$43,MATCH('Input|General'!$G$8,'Lookup|Tables'!$G$28:$G$42,0)+5,0,1,1),"")</f>
        <v>2021</v>
      </c>
      <c r="Q4" s="172">
        <f ca="1">IF(OFFSET('Lookup|Tables'!$G$28:$G$43,MATCH('Input|General'!$G$8,'Lookup|Tables'!$G$28:$G$42,0)+6,0,1,1)&lt;='Input|General'!$G$12,OFFSET('Lookup|Tables'!$G$28:$G$43,MATCH('Input|General'!$G$8,'Lookup|Tables'!$G$28:$G$42,0)+6,0,1,1),"")</f>
        <v>2022</v>
      </c>
      <c r="R4" s="172">
        <f ca="1">IF(OFFSET('Lookup|Tables'!$G$28:$G$43,MATCH('Input|General'!$G$8,'Lookup|Tables'!$G$28:$G$42,0)+7,0,1,1)&lt;='Input|General'!$G$12,OFFSET('Lookup|Tables'!$G$28:$G$43,MATCH('Input|General'!$G$8,'Lookup|Tables'!$G$28:$G$42,0)+7,0,1,1),"")</f>
        <v>2023</v>
      </c>
      <c r="S4" s="172">
        <f ca="1">IF(OFFSET('Lookup|Tables'!$G$28:$G$43,MATCH('Input|General'!$G$8,'Lookup|Tables'!$G$28:$G$42,0)+8,0,1,1)&lt;='Input|General'!$G$12,OFFSET('Lookup|Tables'!$G$28:$G$43,MATCH('Input|General'!$G$8,'Lookup|Tables'!$G$28:$G$42,0)+8,0,1,1),"")</f>
        <v>2024</v>
      </c>
      <c r="T4" s="92"/>
      <c r="U4" s="92"/>
      <c r="V4" s="93"/>
      <c r="W4" s="93"/>
      <c r="X4" s="94"/>
      <c r="Y4" s="94"/>
      <c r="Z4" s="94"/>
      <c r="AA4" s="94"/>
      <c r="AB4" s="95"/>
      <c r="AC4" s="96"/>
      <c r="AD4" s="96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8" customFormat="1" ht="12.3">
      <c r="A8" s="99"/>
      <c r="B8" s="100" t="s">
        <v>91</v>
      </c>
      <c r="C8" s="99"/>
      <c r="D8" s="99"/>
      <c r="E8" s="71" t="s">
        <v>15</v>
      </c>
      <c r="F8" s="186">
        <v>2019</v>
      </c>
      <c r="G8" s="101"/>
      <c r="H8" s="101"/>
      <c r="I8" s="101"/>
      <c r="J8" s="102"/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  <c r="X8" s="104"/>
      <c r="Y8" s="104"/>
      <c r="Z8" s="104"/>
      <c r="AA8" s="104"/>
      <c r="AB8" s="105"/>
      <c r="AC8" s="106"/>
      <c r="AD8" s="106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</row>
    <row r="9" spans="1:47" outlineLevel="1"/>
    <row r="10" spans="1:47" ht="10.5" outlineLevel="1">
      <c r="C10" s="109"/>
      <c r="D10" s="32" t="s">
        <v>7</v>
      </c>
      <c r="E10" s="32" t="s">
        <v>8</v>
      </c>
      <c r="F10" s="32" t="s">
        <v>22</v>
      </c>
      <c r="G10" s="110"/>
      <c r="H10" s="110"/>
      <c r="I10" s="110"/>
      <c r="J10" s="171" t="str">
        <f>IF(RIGHT(J$4,2)&gt;=RIGHT('Input|General'!$G$9,2),IF(RIGHT(J$4,2)&lt;=RIGHT('Input|General'!$G$10,2),J$4,""),"")</f>
        <v/>
      </c>
      <c r="K10" s="171" t="str">
        <f ca="1">IF(RIGHT(K$4,2)&gt;=RIGHT('Input|General'!$G$9,2),IF(RIGHT(K$4,2)&lt;=RIGHT('Input|General'!$G$10,2),K$4,""),"")</f>
        <v/>
      </c>
      <c r="L10" s="171" t="str">
        <f ca="1">IF(RIGHT(L$4,2)&gt;=RIGHT('Input|General'!$G$9,2),IF(RIGHT(L$4,2)&lt;=RIGHT('Input|General'!$G$10,2),L$4,""),"")</f>
        <v/>
      </c>
      <c r="M10" s="171">
        <f ca="1">IF(RIGHT(M$4,2)&gt;=RIGHT('Input|General'!$G$9,2),IF(RIGHT(M$4,2)&lt;=RIGHT('Input|General'!$G$10,2),M$4,""),"")</f>
        <v>2018</v>
      </c>
      <c r="N10" s="171">
        <f ca="1">IF(RIGHT(N$4,2)&gt;=RIGHT('Input|General'!$G$9,2),IF(RIGHT(N$4,2)&lt;=RIGHT('Input|General'!$G$10,2),N$4,""),"")</f>
        <v>2019</v>
      </c>
      <c r="O10" s="171" t="str">
        <f ca="1">IF(RIGHT(O$4,2)&gt;=RIGHT('Input|General'!$G$9,2),IF(RIGHT(O$4,2)&lt;=RIGHT('Input|General'!$G$10,2),O$4,""),"")</f>
        <v/>
      </c>
      <c r="P10" s="171" t="str">
        <f ca="1">IF(RIGHT(P$4,2)&gt;=RIGHT('Input|General'!$G$9,2),IF(RIGHT(P$4,2)&lt;=RIGHT('Input|General'!$G$10,2),P$4,""),"")</f>
        <v/>
      </c>
      <c r="Q10" s="171" t="str">
        <f ca="1">IF(RIGHT(Q$4,2)&gt;=RIGHT('Input|General'!$G$9,2),IF(RIGHT(Q$4,2)&lt;=RIGHT('Input|General'!$G$10,2),Q$4,""),"")</f>
        <v/>
      </c>
      <c r="R10" s="171" t="str">
        <f ca="1">IF(RIGHT(R$4,2)&gt;=RIGHT('Input|General'!$G$9,2),IF(RIGHT(R$4,2)&lt;=RIGHT('Input|General'!$G$10,2),R$4,""),"")</f>
        <v/>
      </c>
      <c r="S10" s="171" t="str">
        <f ca="1">IF(RIGHT(S$4,2)&gt;=RIGHT('Input|General'!$G$9,2),IF(RIGHT(S$4,2)&lt;=RIGHT('Input|General'!$G$10,2),S$4,""),"")</f>
        <v/>
      </c>
    </row>
    <row r="11" spans="1:47" outlineLevel="1">
      <c r="C11" s="112"/>
      <c r="J11" s="113"/>
      <c r="K11" s="113"/>
      <c r="L11" s="113"/>
      <c r="M11" s="113"/>
      <c r="N11" s="113"/>
      <c r="O11" s="113"/>
      <c r="P11" s="113"/>
      <c r="Q11" s="113"/>
      <c r="R11" s="113"/>
      <c r="S11" s="113"/>
    </row>
    <row r="12" spans="1:47" outlineLevel="1">
      <c r="C12" s="112" t="s">
        <v>97</v>
      </c>
      <c r="D12" s="114" t="s">
        <v>98</v>
      </c>
      <c r="E12" s="30" t="str">
        <f>'Input|Reported opex'!E46</f>
        <v>$millions</v>
      </c>
      <c r="F12" s="30" t="str">
        <f>'Input|Reported opex'!F46</f>
        <v>nominal</v>
      </c>
      <c r="J12" s="115">
        <f>IF(J$10='Input|General'!$G$9,'Input|Reported opex'!J46,0)</f>
        <v>0</v>
      </c>
      <c r="K12" s="115">
        <f ca="1">IF(K$10='Input|General'!$G$9,'Input|Reported opex'!K46,0)</f>
        <v>0</v>
      </c>
      <c r="L12" s="115">
        <f ca="1">IF(L$10='Input|General'!$G$9,'Input|Reported opex'!L46,0)</f>
        <v>0</v>
      </c>
      <c r="M12" s="115">
        <f ca="1">IF(M$10='Input|General'!$G$9,'Input|Reported opex'!M46,0)</f>
        <v>4.7058782074735852</v>
      </c>
      <c r="N12" s="115">
        <f ca="1">IF(N$10='Input|General'!$G$9,'Input|Reported opex'!N46,0)</f>
        <v>0</v>
      </c>
      <c r="O12" s="115">
        <f ca="1">IF(O$10='Input|General'!$G$9,'Input|Reported opex'!O46,0)</f>
        <v>0</v>
      </c>
      <c r="P12" s="115">
        <f ca="1">IF(P$10='Input|General'!$G$9,'Input|Reported opex'!P46,0)</f>
        <v>0</v>
      </c>
      <c r="Q12" s="115">
        <f ca="1">IF(Q$10='Input|General'!$G$9,'Input|Reported opex'!Q46,0)</f>
        <v>0</v>
      </c>
      <c r="R12" s="115">
        <f ca="1">IF(R$10='Input|General'!$G$9,'Input|Reported opex'!R46,0)</f>
        <v>0</v>
      </c>
      <c r="S12" s="115">
        <f ca="1">IF(S$10='Input|General'!$G$9,'Input|Reported opex'!S46,0)</f>
        <v>0</v>
      </c>
    </row>
    <row r="13" spans="1:47" outlineLevel="1">
      <c r="C13" s="112" t="s">
        <v>97</v>
      </c>
      <c r="D13" s="116" t="s">
        <v>30</v>
      </c>
      <c r="E13" s="30" t="str">
        <f>$E$8</f>
        <v>$millions</v>
      </c>
      <c r="F13" s="185">
        <f>$F$8</f>
        <v>2019</v>
      </c>
      <c r="J13" s="115">
        <f ca="1"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15">
        <f ca="1"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15">
        <f ca="1"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15">
        <f ca="1"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4.8596398600113426</v>
      </c>
      <c r="N13" s="115">
        <f ca="1"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15">
        <f ca="1"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15">
        <f ca="1"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15">
        <f ca="1"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15">
        <f ca="1"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15">
        <f ca="1"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7"/>
      <c r="F14" s="174"/>
      <c r="J14" s="119"/>
      <c r="K14" s="119"/>
      <c r="L14" s="119"/>
      <c r="M14" s="119"/>
      <c r="N14" s="119"/>
      <c r="O14" s="119"/>
      <c r="P14" s="119"/>
      <c r="Q14" s="119"/>
      <c r="R14" s="119"/>
      <c r="S14" s="119"/>
    </row>
    <row r="15" spans="1:47" ht="10.5" outlineLevel="1">
      <c r="C15" s="120" t="s">
        <v>113</v>
      </c>
      <c r="D15" s="121" t="s">
        <v>30</v>
      </c>
      <c r="E15" s="121" t="str">
        <f>$E$8</f>
        <v>$millions</v>
      </c>
      <c r="F15" s="178">
        <f>$F$8</f>
        <v>2019</v>
      </c>
      <c r="J15" s="122">
        <f>IF(J$10='Input|General'!$G$10,SUM($J13:$S13)-SUM(#REF!)+SUM(#REF!),0)</f>
        <v>0</v>
      </c>
      <c r="K15" s="122">
        <f ca="1">IF(K$10='Input|General'!$G$10,SUM($J13:$S13)-SUM(#REF!)+SUM(#REF!),0)</f>
        <v>0</v>
      </c>
      <c r="L15" s="122">
        <f ca="1">IF(L$10='Input|General'!$G$10,SUM($J13:$S13)-SUM(#REF!)+SUM(#REF!),0)</f>
        <v>0</v>
      </c>
      <c r="M15" s="122">
        <f ca="1">IF(M$10='Input|General'!$G$10,SUM($J13:$S13)-SUM(#REF!)+SUM(#REF!),0)</f>
        <v>0</v>
      </c>
      <c r="N15" s="122">
        <f ca="1">IF(N$10='Input|General'!$G$10,SUM($J13:$S13),0)</f>
        <v>4.8596398600113426</v>
      </c>
      <c r="O15" s="122">
        <f ca="1">IF(O$10='Input|General'!$G$10,SUM($J13:$S13)-SUM(#REF!)+SUM(#REF!),0)</f>
        <v>0</v>
      </c>
      <c r="P15" s="122">
        <f ca="1">IF(P$10='Input|General'!$G$10,SUM($J13:$S13)-SUM(#REF!)+SUM(#REF!),0)</f>
        <v>0</v>
      </c>
      <c r="Q15" s="122">
        <f ca="1">IF(Q$10='Input|General'!$G$10,SUM($J13:$S13)-SUM(#REF!)+SUM(#REF!),0)</f>
        <v>0</v>
      </c>
      <c r="R15" s="122">
        <f ca="1">IF(R$10='Input|General'!$G$10,SUM($J13:$S13)-SUM(#REF!)+SUM(#REF!),0)</f>
        <v>0</v>
      </c>
      <c r="S15" s="122">
        <f ca="1">IF(S$10='Input|General'!$G$10,SUM($J13:$S13)-SUM(#REF!)+SUM(#REF!),0)</f>
        <v>0</v>
      </c>
    </row>
    <row r="16" spans="1:47" ht="10.5" outlineLevel="1">
      <c r="C16" s="130"/>
      <c r="D16" s="116"/>
      <c r="E16" s="116"/>
      <c r="F16" s="174"/>
      <c r="J16" s="122"/>
      <c r="K16" s="122"/>
      <c r="L16" s="122"/>
      <c r="M16" s="122"/>
      <c r="N16" s="122"/>
      <c r="O16" s="122"/>
      <c r="P16" s="122"/>
      <c r="Q16" s="122"/>
      <c r="R16" s="122"/>
      <c r="S16" s="122"/>
    </row>
    <row r="17" spans="3:19" ht="10.5" outlineLevel="1">
      <c r="C17" s="130" t="str">
        <f>'Input|Reported opex'!$C$51</f>
        <v>Corporate depreciation adjustment</v>
      </c>
      <c r="D17" s="114" t="s">
        <v>98</v>
      </c>
      <c r="E17" s="116" t="str">
        <f>'Input|Reported opex'!E51</f>
        <v>$millions</v>
      </c>
      <c r="F17" s="185">
        <f>'Input|Reported opex'!F51</f>
        <v>2017</v>
      </c>
      <c r="J17" s="115">
        <f>IF(J$10='Input|General'!$G$10,'Input|Reported opex'!J51,0)</f>
        <v>0</v>
      </c>
      <c r="K17" s="115">
        <f ca="1">IF(K$10='Input|General'!$G$10,'Input|Reported opex'!K51,0)</f>
        <v>0</v>
      </c>
      <c r="L17" s="115">
        <f ca="1">IF(L$10='Input|General'!$G$10,'Input|Reported opex'!L51,0)</f>
        <v>0</v>
      </c>
      <c r="M17" s="115">
        <f ca="1">IF(M$10='Input|General'!$G$10,'Input|Reported opex'!M51,0)</f>
        <v>0</v>
      </c>
      <c r="N17" s="115">
        <f ca="1">IF(N$10='Input|General'!$G$10,'Input|Reported opex'!N51,0)</f>
        <v>0</v>
      </c>
      <c r="O17" s="115">
        <f ca="1">IF(O$10='Input|General'!$G$10,'Input|Reported opex'!O51,0)</f>
        <v>0</v>
      </c>
      <c r="P17" s="115">
        <f ca="1">IF(P$10='Input|General'!$G$10,'Input|Reported opex'!P51,0)</f>
        <v>0</v>
      </c>
      <c r="Q17" s="115">
        <f ca="1">IF(Q$10='Input|General'!$G$10,'Input|Reported opex'!Q51,0)</f>
        <v>0</v>
      </c>
      <c r="R17" s="115"/>
      <c r="S17" s="115"/>
    </row>
    <row r="18" spans="3:19" ht="10.5" outlineLevel="1">
      <c r="C18" s="130" t="str">
        <f>C17</f>
        <v>Corporate depreciation adjustment</v>
      </c>
      <c r="D18" s="116" t="s">
        <v>30</v>
      </c>
      <c r="E18" s="30" t="str">
        <f>$E$8</f>
        <v>$millions</v>
      </c>
      <c r="F18" s="185">
        <f>$F$8</f>
        <v>2019</v>
      </c>
      <c r="J18" s="122">
        <f ca="1">J17*IF($F17="nominal",LOOKUP($F18,Nominal_to_Real,'Input|Rate of change'!K$25:K$30),INDEX('Input|Rate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K18" s="122">
        <f ca="1">K17*IF($F17="nominal",LOOKUP($F18,Nominal_to_Real,'Input|Rate of change'!L$25:L$30),INDEX('Input|Rate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L18" s="122">
        <f ca="1">L17*IF($F17="nominal",LOOKUP($F18,Nominal_to_Real,'Input|Rate of change'!M$25:M$30),INDEX('Input|Rate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M18" s="122">
        <f ca="1">M17*IF($F17="nominal",LOOKUP($F18,Nominal_to_Real,'Input|Rate of change'!N$25:N$30),INDEX('Input|Rate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N18" s="166">
        <f ca="1">N17*IF($F17="nominal",LOOKUP($F18,Nominal_to_Real,'Input|Rate of change'!O$25:O$30),INDEX('Input|Rate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O18" s="122">
        <f ca="1">O17*IF($F17="nominal",LOOKUP($F18,Nominal_to_Real,'Input|Rate of change'!P$25:P$30),INDEX('Input|Rate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P18" s="122">
        <f ca="1">P17*IF($F17="nominal",LOOKUP($F18,Nominal_to_Real,'Input|Rate of change'!Q$25:Q$30),INDEX('Input|Rate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Q18" s="122">
        <f ca="1">Q17*IF($F17="nominal",LOOKUP($F18,Nominal_to_Real,'Input|Rate of change'!R$25:R$30),INDEX('Input|Rate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R18" s="122">
        <f ca="1">R17*IF($F17="nominal",LOOKUP($F18,Nominal_to_Real,'Input|Rate of change'!S$25:S$30),INDEX('Input|Rate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S18" s="122">
        <f ca="1">S17*IF($F17="nominal",LOOKUP($F18,Nominal_to_Real,'Input|Rate of change'!T$25:T$30),INDEX('Input|Rate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</row>
    <row r="19" spans="3:19" ht="10.5" outlineLevel="1">
      <c r="C19" s="130"/>
      <c r="D19" s="116"/>
      <c r="F19" s="174"/>
      <c r="J19" s="122"/>
      <c r="K19" s="122"/>
      <c r="L19" s="122"/>
      <c r="M19" s="122"/>
      <c r="N19" s="122"/>
      <c r="O19" s="122"/>
      <c r="P19" s="122"/>
      <c r="Q19" s="122"/>
      <c r="R19" s="115"/>
      <c r="S19" s="115"/>
    </row>
    <row r="20" spans="3:19" ht="10.5" outlineLevel="1">
      <c r="C20" s="130" t="str">
        <f>'Input|Reported opex'!$C$52</f>
        <v>Capitalisation adjustment</v>
      </c>
      <c r="D20" s="114" t="s">
        <v>98</v>
      </c>
      <c r="E20" s="30" t="str">
        <f>'Input|Reported opex'!$E$52</f>
        <v>$millions</v>
      </c>
      <c r="F20" s="185">
        <f>'Input|Reported opex'!$F$52</f>
        <v>2017</v>
      </c>
      <c r="J20" s="115">
        <f>IF(J$10='Input|General'!$G$10,'Input|Reported opex'!J52,0)</f>
        <v>0</v>
      </c>
      <c r="K20" s="115">
        <f ca="1">IF(K$10='Input|General'!$G$10,'Input|Reported opex'!K52,0)</f>
        <v>0</v>
      </c>
      <c r="L20" s="115">
        <f ca="1">IF(L$10='Input|General'!$G$10,'Input|Reported opex'!L52,0)</f>
        <v>0</v>
      </c>
      <c r="M20" s="115">
        <f ca="1">IF(M$10='Input|General'!$G$10,'Input|Reported opex'!M52,0)</f>
        <v>0</v>
      </c>
      <c r="N20" s="115">
        <f ca="1">IF(N$10='Input|General'!$G$10,'Input|Reported opex'!N52,0)</f>
        <v>-0.13328844044014879</v>
      </c>
      <c r="O20" s="115">
        <f ca="1">IF(O$10='Input|General'!$G$10,'Input|Reported opex'!O52,0)</f>
        <v>0</v>
      </c>
      <c r="P20" s="115">
        <f ca="1">IF(P$10='Input|General'!$G$10,'Input|Reported opex'!P52,0)</f>
        <v>0</v>
      </c>
      <c r="Q20" s="115">
        <f ca="1">IF(Q$10='Input|General'!$G$10,'Input|Reported opex'!Q52,0)</f>
        <v>0</v>
      </c>
      <c r="R20" s="115"/>
      <c r="S20" s="115"/>
    </row>
    <row r="21" spans="3:19" ht="10.5" outlineLevel="1">
      <c r="C21" s="130" t="str">
        <f>C20</f>
        <v>Capitalisation adjustment</v>
      </c>
      <c r="D21" s="116" t="s">
        <v>30</v>
      </c>
      <c r="E21" s="30" t="str">
        <f>$E$8</f>
        <v>$millions</v>
      </c>
      <c r="F21" s="185">
        <f>$F$8</f>
        <v>2019</v>
      </c>
      <c r="J21" s="122">
        <f ca="1">J20*IF($F20="nominal",LOOKUP($F21,Nominal_to_Real,'Input|Rate of change'!K$25:K$30),INDEX('Input|Rate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K21" s="122">
        <f ca="1">K20*IF($F20="nominal",LOOKUP($F21,Nominal_to_Real,'Input|Rate of change'!L$25:L$30),INDEX('Input|Rate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L21" s="122">
        <f ca="1">L20*IF($F20="nominal",LOOKUP($F21,Nominal_to_Real,'Input|Rate of change'!M$25:M$30),INDEX('Input|Rate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M21" s="122">
        <f ca="1">M20*IF($F20="nominal",LOOKUP($F21,Nominal_to_Real,'Input|Rate of change'!N$25:N$30),INDEX('Input|Rate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N21" s="166">
        <f ca="1">N20*IF($F20="nominal",LOOKUP($F21,Nominal_to_Real,'Input|Rate of change'!O$25:O$30),INDEX('Input|Rate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-0.13901317895705317</v>
      </c>
      <c r="O21" s="122">
        <f ca="1">O20*IF($F20="nominal",LOOKUP($F21,Nominal_to_Real,'Input|Rate of change'!P$25:P$30),INDEX('Input|Rate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P21" s="122">
        <f ca="1">P20*IF($F20="nominal",LOOKUP($F21,Nominal_to_Real,'Input|Rate of change'!Q$25:Q$30),INDEX('Input|Rate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Q21" s="122">
        <f ca="1">Q20*IF($F20="nominal",LOOKUP($F21,Nominal_to_Real,'Input|Rate of change'!R$25:R$30),INDEX('Input|Rate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R21" s="122">
        <f ca="1">R20*IF($F20="nominal",LOOKUP($F21,Nominal_to_Real,'Input|Rate of change'!S$25:S$30),INDEX('Input|Rate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S21" s="122">
        <f ca="1">S20*IF($F20="nominal",LOOKUP($F21,Nominal_to_Real,'Input|Rate of change'!T$25:T$30),INDEX('Input|Rate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</row>
    <row r="22" spans="3:19" ht="10.5" outlineLevel="1">
      <c r="C22" s="130"/>
      <c r="D22" s="116"/>
      <c r="F22" s="174"/>
      <c r="J22" s="122"/>
      <c r="K22" s="122"/>
      <c r="L22" s="122"/>
      <c r="M22" s="122"/>
      <c r="N22" s="122"/>
      <c r="O22" s="122"/>
      <c r="P22" s="122"/>
      <c r="Q22" s="122"/>
      <c r="R22" s="115"/>
      <c r="S22" s="115"/>
    </row>
    <row r="23" spans="3:19" ht="10.5" outlineLevel="1">
      <c r="C23" s="130" t="str">
        <f>'Input|Reported opex'!$C$53</f>
        <v>Service classification adjustment</v>
      </c>
      <c r="D23" s="114" t="s">
        <v>98</v>
      </c>
      <c r="E23" s="30" t="str">
        <f>'Input|Reported opex'!$E$53</f>
        <v>$millions</v>
      </c>
      <c r="F23" s="185">
        <f>'Input|Reported opex'!$F$53</f>
        <v>2017</v>
      </c>
      <c r="J23" s="115">
        <f>IF(J$10='Input|General'!$G$10,'Input|Reported opex'!J53,0)</f>
        <v>0</v>
      </c>
      <c r="K23" s="115">
        <f ca="1">IF(K$10='Input|General'!$G$10,'Input|Reported opex'!K53,0)</f>
        <v>0</v>
      </c>
      <c r="L23" s="115">
        <f ca="1">IF(L$10='Input|General'!$G$10,'Input|Reported opex'!L53,0)</f>
        <v>0</v>
      </c>
      <c r="M23" s="115">
        <f ca="1">IF(M$10='Input|General'!$G$10,'Input|Reported opex'!M53,0)</f>
        <v>0</v>
      </c>
      <c r="N23" s="115">
        <f ca="1">IF(N$10='Input|General'!$G$10,'Input|Reported opex'!N53,0)</f>
        <v>0</v>
      </c>
      <c r="O23" s="115">
        <f ca="1">IF(O$10='Input|General'!$G$10,'Input|Reported opex'!O53,0)</f>
        <v>0</v>
      </c>
      <c r="P23" s="115">
        <f ca="1">IF(P$10='Input|General'!$G$10,'Input|Reported opex'!P53,0)</f>
        <v>0</v>
      </c>
      <c r="Q23" s="115">
        <f ca="1">IF(Q$10='Input|General'!$G$10,'Input|Reported opex'!Q53,0)</f>
        <v>0</v>
      </c>
      <c r="R23" s="115"/>
      <c r="S23" s="115"/>
    </row>
    <row r="24" spans="3:19" ht="10.5" outlineLevel="1">
      <c r="C24" s="130" t="str">
        <f>C23</f>
        <v>Service classification adjustment</v>
      </c>
      <c r="D24" s="116" t="s">
        <v>30</v>
      </c>
      <c r="E24" s="30" t="str">
        <f>$E$8</f>
        <v>$millions</v>
      </c>
      <c r="F24" s="185">
        <f>$F$8</f>
        <v>2019</v>
      </c>
      <c r="J24" s="122">
        <f ca="1"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122">
        <f ca="1"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122">
        <f ca="1"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22">
        <f ca="1"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66">
        <f ca="1"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O24" s="122">
        <f ca="1"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22">
        <f ca="1"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22">
        <f ca="1"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22">
        <f ca="1"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22">
        <f ca="1"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ht="10.5" outlineLevel="1">
      <c r="C25" s="130"/>
      <c r="D25" s="116"/>
      <c r="F25" s="174"/>
      <c r="J25" s="122"/>
      <c r="K25" s="122"/>
      <c r="L25" s="122"/>
      <c r="M25" s="122"/>
      <c r="N25" s="122"/>
      <c r="O25" s="122"/>
      <c r="P25" s="122"/>
      <c r="Q25" s="122"/>
      <c r="R25" s="115"/>
      <c r="S25" s="115"/>
    </row>
    <row r="26" spans="3:19" ht="10.5" outlineLevel="1">
      <c r="C26" s="130" t="str">
        <f>'Input|Reported opex'!$C$54</f>
        <v>Other classification changes</v>
      </c>
      <c r="D26" s="114" t="s">
        <v>98</v>
      </c>
      <c r="E26" s="30" t="str">
        <f>'Input|Reported opex'!$E$54</f>
        <v>$millions</v>
      </c>
      <c r="F26" s="185">
        <f>'Input|Reported opex'!$F$54</f>
        <v>2017</v>
      </c>
      <c r="J26" s="115">
        <f>IF(J$10='Input|General'!$G$10,'Input|Reported opex'!J54,0)</f>
        <v>0</v>
      </c>
      <c r="K26" s="115">
        <f ca="1">IF(K$10='Input|General'!$G$10,'Input|Reported opex'!K54,0)</f>
        <v>0</v>
      </c>
      <c r="L26" s="115">
        <f ca="1">IF(L$10='Input|General'!$G$10,'Input|Reported opex'!L54,0)</f>
        <v>0</v>
      </c>
      <c r="M26" s="115">
        <f ca="1">IF(M$10='Input|General'!$G$10,'Input|Reported opex'!M54,0)</f>
        <v>0</v>
      </c>
      <c r="N26" s="115">
        <f ca="1">IF(N$10='Input|General'!$G$10,'Input|Reported opex'!N54,0)</f>
        <v>0</v>
      </c>
      <c r="O26" s="115">
        <f ca="1">IF(O$10='Input|General'!$G$10,'Input|Reported opex'!O54,0)</f>
        <v>0</v>
      </c>
      <c r="P26" s="115">
        <f ca="1">IF(P$10='Input|General'!$G$10,'Input|Reported opex'!P54,0)</f>
        <v>0</v>
      </c>
      <c r="Q26" s="115">
        <f ca="1">IF(Q$10='Input|General'!$G$10,'Input|Reported opex'!Q54,0)</f>
        <v>0</v>
      </c>
      <c r="R26" s="115"/>
      <c r="S26" s="115"/>
    </row>
    <row r="27" spans="3:19" ht="10.5" outlineLevel="1">
      <c r="C27" s="130" t="str">
        <f>C26</f>
        <v>Other classification changes</v>
      </c>
      <c r="D27" s="116" t="s">
        <v>30</v>
      </c>
      <c r="E27" s="30" t="str">
        <f>$E$8</f>
        <v>$millions</v>
      </c>
      <c r="F27" s="185">
        <f>$F$8</f>
        <v>2019</v>
      </c>
      <c r="J27" s="122">
        <f ca="1">J26*IF($F26="nominal",LOOKUP($F27,Nominal_to_Real,'Input|Rate of change'!K$25:K$30),INDEX('Input|Rate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K27" s="122">
        <f ca="1">K26*IF($F26="nominal",LOOKUP($F27,Nominal_to_Real,'Input|Rate of change'!L$25:L$30),INDEX('Input|Rate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L27" s="122">
        <f ca="1">L26*IF($F26="nominal",LOOKUP($F27,Nominal_to_Real,'Input|Rate of change'!M$25:M$30),INDEX('Input|Rate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M27" s="122">
        <f ca="1">M26*IF($F26="nominal",LOOKUP($F27,Nominal_to_Real,'Input|Rate of change'!N$25:N$30),INDEX('Input|Rate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N27" s="166">
        <f ca="1">N26*IF($F26="nominal",LOOKUP($F27,Nominal_to_Real,'Input|Rate of change'!O$25:O$30),INDEX('Input|Rate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O27" s="122">
        <f ca="1">O26*IF($F26="nominal",LOOKUP($F27,Nominal_to_Real,'Input|Rate of change'!P$25:P$30),INDEX('Input|Rate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P27" s="122">
        <f ca="1">P26*IF($F26="nominal",LOOKUP($F27,Nominal_to_Real,'Input|Rate of change'!Q$25:Q$30),INDEX('Input|Rate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Q27" s="122">
        <f ca="1">Q26*IF($F26="nominal",LOOKUP($F27,Nominal_to_Real,'Input|Rate of change'!R$25:R$30),INDEX('Input|Rate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R27" s="122">
        <f ca="1">R26*IF($F26="nominal",LOOKUP($F27,Nominal_to_Real,'Input|Rate of change'!S$25:S$30),INDEX('Input|Rate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S27" s="122">
        <f ca="1">S26*IF($F26="nominal",LOOKUP($F27,Nominal_to_Real,'Input|Rate of change'!T$25:T$30),INDEX('Input|Rate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</row>
    <row r="28" spans="3:19" ht="10.5" outlineLevel="1">
      <c r="C28" s="130"/>
      <c r="D28" s="116"/>
      <c r="F28" s="174"/>
      <c r="J28" s="122"/>
      <c r="K28" s="122"/>
      <c r="L28" s="122"/>
      <c r="M28" s="122"/>
      <c r="N28" s="122"/>
      <c r="O28" s="122"/>
      <c r="P28" s="122"/>
      <c r="Q28" s="122"/>
      <c r="R28" s="115"/>
      <c r="S28" s="115"/>
    </row>
    <row r="29" spans="3:19" ht="10.5" outlineLevel="1">
      <c r="C29" s="130" t="str">
        <f>'Input|Reported opex'!$C$55</f>
        <v>Adjustment 5</v>
      </c>
      <c r="D29" s="114" t="s">
        <v>98</v>
      </c>
      <c r="E29" s="30" t="str">
        <f>'Input|Reported opex'!$E$55</f>
        <v>$millions</v>
      </c>
      <c r="F29" s="185">
        <f>'Input|Reported opex'!$F$55</f>
        <v>2017</v>
      </c>
      <c r="J29" s="115">
        <f>IF(J$10='Input|General'!$G$10,'Input|Reported opex'!J55,0)</f>
        <v>0</v>
      </c>
      <c r="K29" s="115">
        <f ca="1">IF(K$10='Input|General'!$G$10,'Input|Reported opex'!K55,0)</f>
        <v>0</v>
      </c>
      <c r="L29" s="115">
        <f ca="1">IF(L$10='Input|General'!$G$10,'Input|Reported opex'!L55,0)</f>
        <v>0</v>
      </c>
      <c r="M29" s="115">
        <f ca="1">IF(M$10='Input|General'!$G$10,'Input|Reported opex'!M55,0)</f>
        <v>0</v>
      </c>
      <c r="N29" s="115">
        <f ca="1">IF(N$10='Input|General'!$G$10,'Input|Reported opex'!N55,0)</f>
        <v>0</v>
      </c>
      <c r="O29" s="115">
        <f ca="1">IF(O$10='Input|General'!$G$10,'Input|Reported opex'!O55,0)</f>
        <v>0</v>
      </c>
      <c r="P29" s="115">
        <f ca="1">IF(P$10='Input|General'!$G$10,'Input|Reported opex'!P55,0)</f>
        <v>0</v>
      </c>
      <c r="Q29" s="115">
        <f ca="1">IF(Q$10='Input|General'!$G$10,'Input|Reported opex'!Q55,0)</f>
        <v>0</v>
      </c>
      <c r="R29" s="115">
        <f ca="1">IF(R$10='Input|General'!$G$10,'Input|Reported opex'!R55,0)</f>
        <v>0</v>
      </c>
      <c r="S29" s="115">
        <f ca="1">IF(S$10='Input|General'!$G$10,'Input|Reported opex'!S55,0)</f>
        <v>0</v>
      </c>
    </row>
    <row r="30" spans="3:19" ht="10.5" outlineLevel="1">
      <c r="C30" s="130" t="str">
        <f>C29</f>
        <v>Adjustment 5</v>
      </c>
      <c r="D30" s="116" t="s">
        <v>30</v>
      </c>
      <c r="E30" s="30" t="str">
        <f>$E$8</f>
        <v>$millions</v>
      </c>
      <c r="F30" s="185">
        <f>$F$8</f>
        <v>2019</v>
      </c>
      <c r="J30" s="122">
        <f ca="1">J29*IF($F29="nominal",LOOKUP($F30,Nominal_to_Real,'Input|Rate of change'!K$25:K$30),INDEX('Input|Rate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K30" s="122">
        <f ca="1">K29*IF($F29="nominal",LOOKUP($F30,Nominal_to_Real,'Input|Rate of change'!L$25:L$30),INDEX('Input|Rate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L30" s="122">
        <f ca="1">L29*IF($F29="nominal",LOOKUP($F30,Nominal_to_Real,'Input|Rate of change'!M$25:M$30),INDEX('Input|Rate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M30" s="122">
        <f ca="1">M29*IF($F29="nominal",LOOKUP($F30,Nominal_to_Real,'Input|Rate of change'!N$25:N$30),INDEX('Input|Rate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N30" s="166">
        <f ca="1">N29*IF($F29="nominal",LOOKUP($F30,Nominal_to_Real,'Input|Rate of change'!O$25:O$30),INDEX('Input|Rate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O30" s="122">
        <f ca="1">O29*IF($F29="nominal",LOOKUP($F30,Nominal_to_Real,'Input|Rate of change'!P$25:P$30),INDEX('Input|Rate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P30" s="122">
        <f ca="1">P29*IF($F29="nominal",LOOKUP($F30,Nominal_to_Real,'Input|Rate of change'!Q$25:Q$30),INDEX('Input|Rate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Q30" s="122">
        <f ca="1">Q29*IF($F29="nominal",LOOKUP($F30,Nominal_to_Real,'Input|Rate of change'!R$25:R$30),INDEX('Input|Rate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R30" s="122">
        <f ca="1">R29*IF($F29="nominal",LOOKUP($F30,Nominal_to_Real,'Input|Rate of change'!S$25:S$30),INDEX('Input|Rate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S30" s="122">
        <f ca="1">S29*IF($F29="nominal",LOOKUP($F30,Nominal_to_Real,'Input|Rate of change'!T$25:T$30),INDEX('Input|Rate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</row>
    <row r="31" spans="3:19" ht="10.5" outlineLevel="1">
      <c r="C31" s="130"/>
      <c r="D31" s="116"/>
      <c r="E31" s="116"/>
      <c r="F31" s="174"/>
      <c r="J31" s="122"/>
      <c r="K31" s="122"/>
      <c r="L31" s="122"/>
      <c r="M31" s="122"/>
      <c r="N31" s="122"/>
      <c r="O31" s="122"/>
      <c r="P31" s="122"/>
      <c r="Q31" s="122"/>
      <c r="R31" s="122"/>
      <c r="S31" s="122"/>
    </row>
    <row r="32" spans="3:19" ht="10.5" outlineLevel="1">
      <c r="C32" s="130" t="s">
        <v>94</v>
      </c>
      <c r="D32" s="116" t="s">
        <v>106</v>
      </c>
      <c r="E32" s="116" t="str">
        <f>$E$8</f>
        <v>$millions</v>
      </c>
      <c r="F32" s="185">
        <f>$F$8</f>
        <v>2019</v>
      </c>
      <c r="J32" s="122">
        <f ca="1">SUM(J15,J18,J21,J24,J27,J30)*'Input|Reported opex'!$N$56</f>
        <v>0</v>
      </c>
      <c r="K32" s="122">
        <f ca="1">SUM(K15,K18,K21,K24,K27,K30)*'Input|Reported opex'!$N$56</f>
        <v>0</v>
      </c>
      <c r="L32" s="122">
        <f ca="1">SUM(L15,L18,L21,L24,L27,L30)*'Input|Reported opex'!$N$56</f>
        <v>0</v>
      </c>
      <c r="M32" s="122">
        <f ca="1">SUM(M15,M18,M21,M24,M27,M30)*'Input|Reported opex'!$N$56</f>
        <v>0</v>
      </c>
      <c r="N32" s="122">
        <f ca="1">SUM(N15,N18,N21,N24,N27,N30)*'Input|Reported opex'!$N$56</f>
        <v>0</v>
      </c>
      <c r="O32" s="122">
        <f ca="1">SUM(O15,O18,O21,O24,O27,O30)*'Input|Reported opex'!$N$56</f>
        <v>0</v>
      </c>
      <c r="P32" s="122">
        <f ca="1">SUM(P15,P18,P21,P24,P27,P30)*'Input|Reported opex'!$N$56</f>
        <v>0</v>
      </c>
      <c r="Q32" s="122">
        <f ca="1">SUM(Q15,Q18,Q21,Q24,Q27,Q30)*'Input|Reported opex'!$N$56</f>
        <v>0</v>
      </c>
      <c r="R32" s="122">
        <f ca="1">SUM(R15,R18,R21,R24,R27,R30)*'Input|Reported opex'!$N$56</f>
        <v>0</v>
      </c>
      <c r="S32" s="122">
        <f ca="1">SUM(S15,S18,S21,S24,S27,S30)*'Input|Reported opex'!$N$56</f>
        <v>0</v>
      </c>
    </row>
    <row r="33" spans="1:47" ht="10.5" outlineLevel="1">
      <c r="C33" s="130"/>
      <c r="D33" s="116"/>
      <c r="E33" s="116"/>
      <c r="F33" s="174"/>
      <c r="J33" s="122"/>
      <c r="K33" s="122"/>
      <c r="L33" s="122"/>
      <c r="M33" s="122"/>
      <c r="N33" s="122"/>
      <c r="O33" s="122"/>
      <c r="P33" s="122"/>
      <c r="Q33" s="122"/>
      <c r="R33" s="122"/>
      <c r="S33" s="122"/>
    </row>
    <row r="34" spans="1:47" ht="10.8" outlineLevel="1" thickBot="1">
      <c r="C34" s="130" t="s">
        <v>114</v>
      </c>
      <c r="D34" s="116" t="s">
        <v>106</v>
      </c>
      <c r="E34" s="116" t="str">
        <f>$E$8</f>
        <v>$millions</v>
      </c>
      <c r="F34" s="185">
        <f>$F$8</f>
        <v>2019</v>
      </c>
      <c r="J34" s="159">
        <f ca="1">SUM(J15,J18,J21,J24,J27,J30,J32)</f>
        <v>0</v>
      </c>
      <c r="K34" s="159">
        <f t="shared" ref="K34:S34" ca="1" si="0">SUM(K15,K18,K21,K24,K27,K30,K32)</f>
        <v>0</v>
      </c>
      <c r="L34" s="159">
        <f t="shared" ca="1" si="0"/>
        <v>0</v>
      </c>
      <c r="M34" s="159">
        <f t="shared" ca="1" si="0"/>
        <v>0</v>
      </c>
      <c r="N34" s="159">
        <f t="shared" ca="1" si="0"/>
        <v>4.7206266810542896</v>
      </c>
      <c r="O34" s="159">
        <f t="shared" ca="1" si="0"/>
        <v>0</v>
      </c>
      <c r="P34" s="159">
        <f t="shared" ca="1" si="0"/>
        <v>0</v>
      </c>
      <c r="Q34" s="159">
        <f t="shared" ca="1" si="0"/>
        <v>0</v>
      </c>
      <c r="R34" s="159">
        <f t="shared" ca="1" si="0"/>
        <v>0</v>
      </c>
      <c r="S34" s="159">
        <f t="shared" ca="1" si="0"/>
        <v>0</v>
      </c>
    </row>
    <row r="35" spans="1:47" ht="10.5" thickTop="1">
      <c r="J35" s="113"/>
      <c r="K35" s="113"/>
      <c r="L35" s="113"/>
    </row>
    <row r="36" spans="1:47" s="108" customFormat="1" ht="12.3">
      <c r="A36" s="99"/>
      <c r="B36" s="100" t="s">
        <v>92</v>
      </c>
      <c r="C36" s="99"/>
      <c r="D36" s="99"/>
      <c r="E36" s="99"/>
      <c r="F36" s="101"/>
      <c r="G36" s="101"/>
      <c r="H36" s="101"/>
      <c r="I36" s="101"/>
      <c r="J36" s="102"/>
      <c r="K36" s="103"/>
      <c r="L36" s="102"/>
      <c r="M36" s="103"/>
      <c r="N36" s="102"/>
      <c r="O36" s="102"/>
      <c r="P36" s="102"/>
      <c r="Q36" s="102"/>
      <c r="R36" s="102"/>
      <c r="S36" s="102"/>
      <c r="T36" s="102"/>
      <c r="U36" s="102"/>
      <c r="V36" s="103"/>
      <c r="W36" s="103"/>
      <c r="X36" s="104"/>
      <c r="Y36" s="104"/>
      <c r="Z36" s="104"/>
      <c r="AA36" s="104"/>
      <c r="AB36" s="105"/>
      <c r="AC36" s="106"/>
      <c r="AD36" s="106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</row>
    <row r="37" spans="1:47" outlineLevel="1">
      <c r="J37" s="113"/>
      <c r="K37" s="113"/>
      <c r="L37" s="113"/>
      <c r="M37" s="113"/>
      <c r="N37" s="113"/>
      <c r="O37" s="113"/>
      <c r="P37" s="113"/>
      <c r="Q37" s="113"/>
      <c r="R37" s="113"/>
      <c r="S37" s="113"/>
    </row>
    <row r="38" spans="1:47" ht="10.5" outlineLevel="1">
      <c r="C38" s="70" t="s">
        <v>41</v>
      </c>
      <c r="D38" s="32" t="s">
        <v>7</v>
      </c>
      <c r="E38" s="32" t="s">
        <v>8</v>
      </c>
      <c r="F38" s="32" t="s">
        <v>22</v>
      </c>
      <c r="J38" s="111" t="str">
        <f>IF(RIGHT(J$4,2)&gt;=RIGHT('Input|General'!$G$11,2),IF(RIGHT(J$4,2)&lt;=RIGHT('Input|General'!$G$12,2),J$4,""),"")</f>
        <v/>
      </c>
      <c r="K38" s="111" t="str">
        <f ca="1">IF(RIGHT(K$4,2)&gt;=RIGHT('Input|General'!$G$11,2),IF(RIGHT(K$4,2)&lt;=RIGHT('Input|General'!$G$12,2),K$4,""),"")</f>
        <v/>
      </c>
      <c r="L38" s="111" t="str">
        <f ca="1">IF(RIGHT(L$4,2)&gt;=RIGHT('Input|General'!$G$11,2),IF(RIGHT(L$4,2)&lt;=RIGHT('Input|General'!$G$12,2),L$4,""),"")</f>
        <v/>
      </c>
      <c r="M38" s="111" t="str">
        <f ca="1">IF(RIGHT(M$4,2)&gt;=RIGHT('Input|General'!$G$11,2),IF(RIGHT(M$4,2)&lt;=RIGHT('Input|General'!$G$12,2),M$4,""),"")</f>
        <v/>
      </c>
      <c r="N38" s="111" t="str">
        <f ca="1">IF(RIGHT(N$4,2)&gt;=RIGHT('Input|General'!$G$11,2),IF(RIGHT(N$4,2)&lt;=RIGHT('Input|General'!$G$12,2),N$4,""),"")</f>
        <v/>
      </c>
      <c r="O38" s="171">
        <f ca="1">IF(RIGHT(O$4,2)&gt;=RIGHT('Input|General'!$G$11,2),IF(RIGHT(O$4,2)&lt;=RIGHT('Input|General'!$G$12,2),O$4,""),"")</f>
        <v>2020</v>
      </c>
      <c r="P38" s="171">
        <f ca="1">IF(RIGHT(P$4,2)&gt;=RIGHT('Input|General'!$G$11,2),IF(RIGHT(P$4,2)&lt;=RIGHT('Input|General'!$G$12,2),P$4,""),"")</f>
        <v>2021</v>
      </c>
      <c r="Q38" s="171">
        <f ca="1">IF(RIGHT(Q$4,2)&gt;=RIGHT('Input|General'!$G$11,2),IF(RIGHT(Q$4,2)&lt;=RIGHT('Input|General'!$G$12,2),Q$4,""),"")</f>
        <v>2022</v>
      </c>
      <c r="R38" s="171">
        <f ca="1">IF(RIGHT(R$4,2)&gt;=RIGHT('Input|General'!$G$11,2),IF(RIGHT(R$4,2)&lt;=RIGHT('Input|General'!$G$12,2),R$4,""),"")</f>
        <v>2023</v>
      </c>
      <c r="S38" s="171">
        <f ca="1">IF(RIGHT(S$4,2)&gt;=RIGHT('Input|General'!$G$11,2),IF(RIGHT(S$4,2)&lt;=RIGHT('Input|General'!$G$12,2),S$4,""),"")</f>
        <v>2024</v>
      </c>
    </row>
    <row r="39" spans="1:47" ht="10.5" outlineLevel="1">
      <c r="C39" s="70"/>
      <c r="J39" s="113"/>
      <c r="K39" s="113"/>
      <c r="L39" s="113"/>
      <c r="M39" s="113"/>
      <c r="N39" s="113"/>
      <c r="O39" s="113"/>
      <c r="P39" s="113"/>
      <c r="Q39" s="113"/>
      <c r="R39" s="113"/>
      <c r="S39" s="113"/>
    </row>
    <row r="40" spans="1:47" ht="10.5" outlineLevel="1">
      <c r="B40" s="70"/>
      <c r="C40" s="123"/>
      <c r="J40" s="113"/>
      <c r="K40" s="113"/>
      <c r="L40" s="113"/>
      <c r="M40" s="113"/>
      <c r="N40" s="113"/>
      <c r="O40" s="113"/>
      <c r="P40" s="113"/>
      <c r="Q40" s="113"/>
      <c r="R40" s="113"/>
      <c r="S40" s="113"/>
    </row>
    <row r="41" spans="1:47" outlineLevel="1">
      <c r="C41" s="117" t="s">
        <v>116</v>
      </c>
      <c r="D41" s="116" t="s">
        <v>30</v>
      </c>
      <c r="E41" s="30" t="s">
        <v>31</v>
      </c>
      <c r="F41" s="30" t="s">
        <v>35</v>
      </c>
      <c r="J41" s="124">
        <f>SUMPRODUCT('Input|Rate of change'!K71:K76,'Input|Rate of change'!$P$80:$P$85)</f>
        <v>0</v>
      </c>
      <c r="K41" s="124">
        <f>SUMPRODUCT('Input|Rate of change'!L71:L76,'Input|Rate of change'!$P$80:$P$85)</f>
        <v>0</v>
      </c>
      <c r="L41" s="124">
        <f>SUMPRODUCT('Input|Rate of change'!M71:M76,'Input|Rate of change'!$P$80:$P$85)</f>
        <v>0</v>
      </c>
      <c r="M41" s="124">
        <f>SUMPRODUCT('Input|Rate of change'!N71:N76,'Input|Rate of change'!$P$80:$P$85)</f>
        <v>0</v>
      </c>
      <c r="N41" s="124">
        <f>SUMPRODUCT('Input|Rate of change'!O71:O76,'Input|Rate of change'!$P$80:$P$85)</f>
        <v>0</v>
      </c>
      <c r="O41" s="124">
        <f>SUMPRODUCT('Input|Rate of change'!P71:P76,'Input|Rate of change'!$P$80:$P$85)</f>
        <v>6.6515010053349293E-3</v>
      </c>
      <c r="P41" s="124">
        <f>SUMPRODUCT('Input|Rate of change'!Q71:Q76,'Input|Rate of change'!$P$80:$P$85)</f>
        <v>7.6836940913239645E-3</v>
      </c>
      <c r="Q41" s="124">
        <f>SUMPRODUCT('Input|Rate of change'!R71:R76,'Input|Rate of change'!$P$80:$P$85)</f>
        <v>8.1143438694775173E-3</v>
      </c>
      <c r="R41" s="124">
        <f>SUMPRODUCT('Input|Rate of change'!S71:S76,'Input|Rate of change'!$P$80:$P$85)</f>
        <v>4.4511158074421325E-3</v>
      </c>
      <c r="S41" s="124">
        <f>SUMPRODUCT('Input|Rate of change'!T71:T76,'Input|Rate of change'!$P$80:$P$85)</f>
        <v>4.3545968260421406E-3</v>
      </c>
    </row>
    <row r="42" spans="1:47" outlineLevel="1">
      <c r="J42" s="124"/>
      <c r="K42" s="124"/>
      <c r="L42" s="124"/>
      <c r="M42" s="124"/>
      <c r="N42" s="124"/>
      <c r="O42" s="124"/>
      <c r="P42" s="124"/>
      <c r="Q42" s="124"/>
      <c r="R42" s="124"/>
      <c r="S42" s="124"/>
    </row>
    <row r="43" spans="1:47" outlineLevel="1">
      <c r="C43" s="117" t="s">
        <v>85</v>
      </c>
      <c r="D43" s="116" t="s">
        <v>30</v>
      </c>
      <c r="E43" s="30" t="s">
        <v>31</v>
      </c>
      <c r="F43" s="30" t="s">
        <v>35</v>
      </c>
      <c r="J43" s="124">
        <f>SUMPRODUCT('Input|Rate of change'!K36:K43,'Input|Rate of change'!K47:K54)</f>
        <v>0</v>
      </c>
      <c r="K43" s="124">
        <f>SUMPRODUCT('Input|Rate of change'!L36:L43,'Input|Rate of change'!L47:L54)</f>
        <v>0</v>
      </c>
      <c r="L43" s="124">
        <f>SUMPRODUCT('Input|Rate of change'!M36:M43,'Input|Rate of change'!M47:M54)</f>
        <v>0</v>
      </c>
      <c r="M43" s="124">
        <f>SUMPRODUCT('Input|Rate of change'!N36:N43,'Input|Rate of change'!N47:N54)</f>
        <v>0</v>
      </c>
      <c r="N43" s="124">
        <f>SUMPRODUCT('Input|Rate of change'!O36:O43,'Input|Rate of change'!O47:O54)</f>
        <v>0</v>
      </c>
      <c r="O43" s="124">
        <f>SUMPRODUCT('Input|Rate of change'!P36:P43,'Input|Rate of change'!P47:P54)</f>
        <v>5.3730000000000002E-3</v>
      </c>
      <c r="P43" s="124">
        <f>SUMPRODUCT('Input|Rate of change'!Q36:Q43,'Input|Rate of change'!Q47:Q54)</f>
        <v>5.9699999999999987E-3</v>
      </c>
      <c r="Q43" s="124">
        <f>SUMPRODUCT('Input|Rate of change'!R36:R43,'Input|Rate of change'!R47:R54)</f>
        <v>7.1640000000000002E-3</v>
      </c>
      <c r="R43" s="124">
        <f>SUMPRODUCT('Input|Rate of change'!S36:S43,'Input|Rate of change'!S47:S54)</f>
        <v>7.7610000000000005E-3</v>
      </c>
      <c r="S43" s="124">
        <f>SUMPRODUCT('Input|Rate of change'!T36:T43,'Input|Rate of change'!T47:T54)</f>
        <v>6.5669999999999991E-3</v>
      </c>
    </row>
    <row r="44" spans="1:47" outlineLevel="1">
      <c r="C44" s="117"/>
      <c r="J44" s="124"/>
      <c r="K44" s="124"/>
      <c r="L44" s="124"/>
      <c r="M44" s="124"/>
      <c r="N44" s="124"/>
      <c r="O44" s="124"/>
      <c r="P44" s="124"/>
      <c r="Q44" s="124"/>
      <c r="R44" s="124"/>
      <c r="S44" s="124"/>
    </row>
    <row r="45" spans="1:47" outlineLevel="1">
      <c r="C45" s="117" t="s">
        <v>109</v>
      </c>
      <c r="D45" s="116" t="s">
        <v>30</v>
      </c>
      <c r="E45" s="30" t="s">
        <v>31</v>
      </c>
      <c r="F45" s="30" t="s">
        <v>35</v>
      </c>
      <c r="J45" s="124">
        <f>'Input|Rate of change'!K93</f>
        <v>0</v>
      </c>
      <c r="K45" s="124">
        <f>'Input|Rate of change'!L93</f>
        <v>0</v>
      </c>
      <c r="L45" s="124">
        <f>'Input|Rate of change'!M93</f>
        <v>0</v>
      </c>
      <c r="M45" s="124">
        <f>'Input|Rate of change'!N93</f>
        <v>0</v>
      </c>
      <c r="N45" s="124">
        <f>'Input|Rate of change'!O93</f>
        <v>0</v>
      </c>
      <c r="O45" s="124">
        <f>'Input|Rate of change'!P93</f>
        <v>0</v>
      </c>
      <c r="P45" s="124">
        <f>'Input|Rate of change'!Q93</f>
        <v>0</v>
      </c>
      <c r="Q45" s="124">
        <f>'Input|Rate of change'!R93</f>
        <v>0</v>
      </c>
      <c r="R45" s="124">
        <f>'Input|Rate of change'!S93</f>
        <v>0</v>
      </c>
      <c r="S45" s="124">
        <f>'Input|Rate of change'!T93</f>
        <v>0</v>
      </c>
    </row>
    <row r="46" spans="1:47" outlineLevel="1">
      <c r="C46" s="117"/>
      <c r="J46" s="119"/>
      <c r="K46" s="119"/>
      <c r="L46" s="119"/>
      <c r="M46" s="119"/>
      <c r="N46" s="119"/>
      <c r="O46" s="119"/>
      <c r="P46" s="119"/>
      <c r="Q46" s="119"/>
      <c r="R46" s="119"/>
      <c r="S46" s="119"/>
    </row>
    <row r="47" spans="1:47" ht="10.5" outlineLevel="1">
      <c r="C47" s="125" t="s">
        <v>110</v>
      </c>
      <c r="D47" s="121" t="s">
        <v>30</v>
      </c>
      <c r="E47" s="121" t="s">
        <v>31</v>
      </c>
      <c r="F47" s="121" t="s">
        <v>35</v>
      </c>
      <c r="J47" s="124">
        <f>(1+J41)*(1+J43)*(1-J45)-1</f>
        <v>0</v>
      </c>
      <c r="K47" s="124">
        <f t="shared" ref="K47:S47" si="1">(1+K41)*(1+K43)*(1-K45)-1</f>
        <v>0</v>
      </c>
      <c r="L47" s="124">
        <f t="shared" si="1"/>
        <v>0</v>
      </c>
      <c r="M47" s="124">
        <f t="shared" si="1"/>
        <v>0</v>
      </c>
      <c r="N47" s="124">
        <f t="shared" si="1"/>
        <v>0</v>
      </c>
      <c r="O47" s="124">
        <f t="shared" si="1"/>
        <v>1.2060239520236715E-2</v>
      </c>
      <c r="P47" s="124">
        <f t="shared" si="1"/>
        <v>1.3699565745049158E-2</v>
      </c>
      <c r="Q47" s="124">
        <f t="shared" si="1"/>
        <v>1.5336475028958407E-2</v>
      </c>
      <c r="R47" s="124">
        <f t="shared" si="1"/>
        <v>1.2246660917223595E-2</v>
      </c>
      <c r="S47" s="124">
        <f t="shared" si="1"/>
        <v>1.095019346339865E-2</v>
      </c>
    </row>
    <row r="48" spans="1:47">
      <c r="J48" s="113"/>
      <c r="K48" s="113"/>
      <c r="L48" s="113"/>
      <c r="M48" s="113"/>
      <c r="N48" s="113"/>
      <c r="O48" s="126"/>
      <c r="P48" s="126"/>
      <c r="Q48" s="126"/>
      <c r="R48" s="126"/>
      <c r="S48" s="126"/>
    </row>
    <row r="49" spans="1:47" s="108" customFormat="1" ht="12.3">
      <c r="A49" s="99"/>
      <c r="B49" s="100" t="s">
        <v>95</v>
      </c>
      <c r="C49" s="99"/>
      <c r="D49" s="99"/>
      <c r="E49" s="99"/>
      <c r="F49" s="101"/>
      <c r="G49" s="101"/>
      <c r="H49" s="101"/>
      <c r="I49" s="101"/>
      <c r="J49" s="102"/>
      <c r="K49" s="103"/>
      <c r="L49" s="102"/>
      <c r="M49" s="103"/>
      <c r="N49" s="102"/>
      <c r="O49" s="102"/>
      <c r="P49" s="102"/>
      <c r="Q49" s="102"/>
      <c r="R49" s="102"/>
      <c r="S49" s="102"/>
      <c r="T49" s="102"/>
      <c r="U49" s="102"/>
      <c r="V49" s="103"/>
      <c r="W49" s="103"/>
      <c r="X49" s="104"/>
      <c r="Y49" s="104"/>
      <c r="Z49" s="104"/>
      <c r="AA49" s="104"/>
      <c r="AB49" s="105"/>
      <c r="AC49" s="106"/>
      <c r="AD49" s="106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</row>
    <row r="50" spans="1:47" outlineLevel="1">
      <c r="C50" s="112"/>
      <c r="J50" s="113"/>
      <c r="K50" s="113"/>
      <c r="L50" s="113"/>
    </row>
    <row r="51" spans="1:47" ht="10.5" outlineLevel="1">
      <c r="C51" s="70" t="s">
        <v>111</v>
      </c>
      <c r="D51" s="32" t="s">
        <v>7</v>
      </c>
      <c r="E51" s="32" t="s">
        <v>8</v>
      </c>
      <c r="F51" s="32" t="s">
        <v>22</v>
      </c>
      <c r="J51" s="111" t="str">
        <f>IF(RIGHT(J$4,2)&gt;=RIGHT('Input|General'!$G$11,2),IF(RIGHT(J$4,2)&lt;=RIGHT('Input|General'!$G$12,2),J$4,""),"")</f>
        <v/>
      </c>
      <c r="K51" s="111" t="str">
        <f ca="1">IF(RIGHT(K$4,2)&gt;=RIGHT('Input|General'!$G$11,2),IF(RIGHT(K$4,2)&lt;=RIGHT('Input|General'!$G$12,2),K$4,""),"")</f>
        <v/>
      </c>
      <c r="L51" s="111" t="str">
        <f ca="1">IF(RIGHT(L$4,2)&gt;=RIGHT('Input|General'!$G$11,2),IF(RIGHT(L$4,2)&lt;=RIGHT('Input|General'!$G$12,2),L$4,""),"")</f>
        <v/>
      </c>
      <c r="M51" s="111" t="str">
        <f ca="1">IF(RIGHT(M$4,2)&gt;=RIGHT('Input|General'!$G$11,2),IF(RIGHT(M$4,2)&lt;=RIGHT('Input|General'!$G$12,2),M$4,""),"")</f>
        <v/>
      </c>
      <c r="N51" s="111" t="str">
        <f ca="1">IF(RIGHT(N$4,2)&gt;=RIGHT('Input|General'!$G$11,2),IF(RIGHT(N$4,2)&lt;=RIGHT('Input|General'!$G$12,2),N$4,""),"")</f>
        <v/>
      </c>
      <c r="O51" s="171">
        <f ca="1">IF(RIGHT(O$4,2)&gt;=RIGHT('Input|General'!$G$11,2),IF(RIGHT(O$4,2)&lt;=RIGHT('Input|General'!$G$12,2),O$4,""),"")</f>
        <v>2020</v>
      </c>
      <c r="P51" s="171">
        <f ca="1">IF(RIGHT(P$4,2)&gt;=RIGHT('Input|General'!$G$11,2),IF(RIGHT(P$4,2)&lt;=RIGHT('Input|General'!$G$12,2),P$4,""),"")</f>
        <v>2021</v>
      </c>
      <c r="Q51" s="171">
        <f ca="1">IF(RIGHT(Q$4,2)&gt;=RIGHT('Input|General'!$G$11,2),IF(RIGHT(Q$4,2)&lt;=RIGHT('Input|General'!$G$12,2),Q$4,""),"")</f>
        <v>2022</v>
      </c>
      <c r="R51" s="171">
        <f ca="1">IF(RIGHT(R$4,2)&gt;=RIGHT('Input|General'!$G$11,2),IF(RIGHT(R$4,2)&lt;=RIGHT('Input|General'!$G$12,2),R$4,""),"")</f>
        <v>2023</v>
      </c>
      <c r="S51" s="171">
        <f ca="1">IF(RIGHT(S$4,2)&gt;=RIGHT('Input|General'!$G$11,2),IF(RIGHT(S$4,2)&lt;=RIGHT('Input|General'!$G$12,2),S$4,""),"")</f>
        <v>2024</v>
      </c>
    </row>
    <row r="52" spans="1:47" ht="10.5" outlineLevel="1">
      <c r="C52" s="70"/>
      <c r="J52" s="127"/>
      <c r="K52" s="127"/>
      <c r="L52" s="127"/>
      <c r="M52" s="127"/>
      <c r="N52" s="127"/>
      <c r="O52" s="127"/>
      <c r="P52" s="127"/>
      <c r="Q52" s="127"/>
      <c r="R52" s="127"/>
      <c r="S52" s="127"/>
    </row>
    <row r="53" spans="1:47" outlineLevel="1">
      <c r="C53" s="128" t="str">
        <f>'Input|Step changes'!C12</f>
        <v>Inspection and testing</v>
      </c>
      <c r="D53" s="116" t="s">
        <v>30</v>
      </c>
      <c r="E53" s="30" t="str">
        <f t="shared" ref="E53:E61" si="2">$E$8</f>
        <v>$millions</v>
      </c>
      <c r="F53" s="185">
        <f t="shared" ref="F53:F61" si="3">$F$8</f>
        <v>2019</v>
      </c>
      <c r="J53" s="134">
        <f ca="1">'Input|Step changes'!J12*IF('Input|Step changes'!$F12="nominal",LOOKUP($F53,Nominal_to_Real,'Input|Rate of change'!N$25:N$30),INDEX('Input|Rate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</v>
      </c>
      <c r="K53" s="134">
        <f ca="1">'Input|Step changes'!K12*IF('Input|Step changes'!$F12="nominal",LOOKUP($F53,Nominal_to_Real,'Input|Rate of change'!O$25:O$30),INDEX('Input|Rate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</v>
      </c>
      <c r="L53" s="134">
        <f ca="1">'Input|Step changes'!L12*IF('Input|Step changes'!$F12="nominal",LOOKUP($F53,Nominal_to_Real,'Input|Rate of change'!P$25:P$30),INDEX('Input|Rate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</v>
      </c>
      <c r="M53" s="134">
        <f ca="1">'Input|Step changes'!M12*IF('Input|Step changes'!$F12="nominal",LOOKUP($F53,Nominal_to_Real,'Input|Rate of change'!Q$25:Q$30),INDEX('Input|Rate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</v>
      </c>
      <c r="N53" s="134">
        <f ca="1">'Input|Step changes'!N12*IF('Input|Step changes'!$F12="nominal",LOOKUP($F53,Nominal_to_Real,'Input|Rate of change'!R$25:R$30),INDEX('Input|Rate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</v>
      </c>
      <c r="O53" s="134">
        <f ca="1">'Input|Step changes'!O12*IF('Input|Step changes'!$F12="nominal",LOOKUP($F53,Nominal_to_Real,'Input|Rate of change'!S$25:S$30),INDEX('Input|Rate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0.31241898539999996</v>
      </c>
      <c r="P53" s="134">
        <f ca="1">'Input|Step changes'!P12*IF('Input|Step changes'!$F12="nominal",LOOKUP($F53,Nominal_to_Real,'Input|Rate of change'!T$25:T$30),INDEX('Input|Rate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0.31241898539999996</v>
      </c>
      <c r="Q53" s="134">
        <f ca="1">'Input|Step changes'!Q12*IF('Input|Step changes'!$F12="nominal",LOOKUP($F53,Nominal_to_Real,'Input|Rate of change'!U$25:U$30),INDEX('Input|Rate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0.31241898539999996</v>
      </c>
      <c r="R53" s="134">
        <f ca="1">'Input|Step changes'!R12*IF('Input|Step changes'!$F12="nominal",LOOKUP($F53,Nominal_to_Real,'Input|Rate of change'!V$25:V$30),INDEX('Input|Rate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0.31241898539999996</v>
      </c>
      <c r="S53" s="134">
        <f ca="1">'Input|Step changes'!S12*IF('Input|Step changes'!$F12="nominal",LOOKUP($F53,Nominal_to_Real,'Input|Rate of change'!W$25:W$30),INDEX('Input|Rate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0.31241898539999996</v>
      </c>
    </row>
    <row r="54" spans="1:47" outlineLevel="1">
      <c r="C54" s="128" t="str">
        <f>'Input|Step changes'!C13</f>
        <v>Metering Compliance Type 1-6</v>
      </c>
      <c r="D54" s="116" t="s">
        <v>30</v>
      </c>
      <c r="E54" s="30" t="str">
        <f t="shared" si="2"/>
        <v>$millions</v>
      </c>
      <c r="F54" s="185">
        <f t="shared" si="3"/>
        <v>2019</v>
      </c>
      <c r="J54" s="134">
        <f ca="1">'Input|Step changes'!J13*IF('Input|Step changes'!$F13="nominal",LOOKUP($F54,Nominal_to_Real,'Input|Rate of change'!N$25:N$30),INDEX('Input|Rate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0</v>
      </c>
      <c r="K54" s="134">
        <f ca="1">'Input|Step changes'!K13*IF('Input|Step changes'!$F13="nominal",LOOKUP($F54,Nominal_to_Real,'Input|Rate of change'!O$25:O$30),INDEX('Input|Rate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0</v>
      </c>
      <c r="L54" s="134">
        <f ca="1">'Input|Step changes'!L13*IF('Input|Step changes'!$F13="nominal",LOOKUP($F54,Nominal_to_Real,'Input|Rate of change'!P$25:P$30),INDEX('Input|Rate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0</v>
      </c>
      <c r="M54" s="134">
        <f ca="1">'Input|Step changes'!M13*IF('Input|Step changes'!$F13="nominal",LOOKUP($F54,Nominal_to_Real,'Input|Rate of change'!Q$25:Q$30),INDEX('Input|Rate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0</v>
      </c>
      <c r="N54" s="134">
        <f ca="1">'Input|Step changes'!N13*IF('Input|Step changes'!$F13="nominal",LOOKUP($F54,Nominal_to_Real,'Input|Rate of change'!R$25:R$30),INDEX('Input|Rate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0</v>
      </c>
      <c r="O54" s="134">
        <f ca="1">'Input|Step changes'!O13*IF('Input|Step changes'!$F13="nominal",LOOKUP($F54,Nominal_to_Real,'Input|Rate of change'!S$25:S$30),INDEX('Input|Rate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3.9146023949999997E-2</v>
      </c>
      <c r="P54" s="134">
        <f ca="1">'Input|Step changes'!P13*IF('Input|Step changes'!$F13="nominal",LOOKUP($F54,Nominal_to_Real,'Input|Rate of change'!T$25:T$30),INDEX('Input|Rate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3.9146023949999997E-2</v>
      </c>
      <c r="Q54" s="134">
        <f ca="1">'Input|Step changes'!Q13*IF('Input|Step changes'!$F13="nominal",LOOKUP($F54,Nominal_to_Real,'Input|Rate of change'!U$25:U$30),INDEX('Input|Rate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3.9146023949999997E-2</v>
      </c>
      <c r="R54" s="134">
        <f ca="1">'Input|Step changes'!R13*IF('Input|Step changes'!$F13="nominal",LOOKUP($F54,Nominal_to_Real,'Input|Rate of change'!V$25:V$30),INDEX('Input|Rate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3.9146023949999997E-2</v>
      </c>
      <c r="S54" s="134">
        <f ca="1">'Input|Step changes'!S13*IF('Input|Step changes'!$F13="nominal",LOOKUP($F54,Nominal_to_Real,'Input|Rate of change'!W$25:W$30),INDEX('Input|Rate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3.9146023949999997E-2</v>
      </c>
    </row>
    <row r="55" spans="1:47" outlineLevel="1">
      <c r="C55" s="128" t="str">
        <f>'Input|Step changes'!C14</f>
        <v>Souther Region metering technicians</v>
      </c>
      <c r="D55" s="116" t="s">
        <v>30</v>
      </c>
      <c r="E55" s="30" t="str">
        <f t="shared" si="2"/>
        <v>$millions</v>
      </c>
      <c r="F55" s="185">
        <f t="shared" si="3"/>
        <v>2019</v>
      </c>
      <c r="J55" s="134">
        <f ca="1">'Input|Step changes'!J14*IF('Input|Step changes'!$F14="nominal",LOOKUP($F55,Nominal_to_Real,'Input|Rate of change'!N$25:N$30),INDEX('Input|Rate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</v>
      </c>
      <c r="K55" s="134">
        <f ca="1">'Input|Step changes'!K14*IF('Input|Step changes'!$F14="nominal",LOOKUP($F55,Nominal_to_Real,'Input|Rate of change'!O$25:O$30),INDEX('Input|Rate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</v>
      </c>
      <c r="L55" s="134">
        <f ca="1">'Input|Step changes'!L14*IF('Input|Step changes'!$F14="nominal",LOOKUP($F55,Nominal_to_Real,'Input|Rate of change'!P$25:P$30),INDEX('Input|Rate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</v>
      </c>
      <c r="M55" s="134">
        <f ca="1">'Input|Step changes'!M14*IF('Input|Step changes'!$F14="nominal",LOOKUP($F55,Nominal_to_Real,'Input|Rate of change'!Q$25:Q$30),INDEX('Input|Rate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</v>
      </c>
      <c r="N55" s="134">
        <f ca="1">'Input|Step changes'!N14*IF('Input|Step changes'!$F14="nominal",LOOKUP($F55,Nominal_to_Real,'Input|Rate of change'!R$25:R$30),INDEX('Input|Rate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</v>
      </c>
      <c r="O55" s="134">
        <f ca="1">'Input|Step changes'!O14*IF('Input|Step changes'!$F14="nominal",LOOKUP($F55,Nominal_to_Real,'Input|Rate of change'!S$25:S$30),INDEX('Input|Rate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0.31241898539999996</v>
      </c>
      <c r="P55" s="134">
        <f ca="1">'Input|Step changes'!P14*IF('Input|Step changes'!$F14="nominal",LOOKUP($F55,Nominal_to_Real,'Input|Rate of change'!T$25:T$30),INDEX('Input|Rate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0.31241898539999996</v>
      </c>
      <c r="Q55" s="134">
        <f ca="1">'Input|Step changes'!Q14*IF('Input|Step changes'!$F14="nominal",LOOKUP($F55,Nominal_to_Real,'Input|Rate of change'!U$25:U$30),INDEX('Input|Rate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0.31241898539999996</v>
      </c>
      <c r="R55" s="134">
        <f ca="1">'Input|Step changes'!R14*IF('Input|Step changes'!$F14="nominal",LOOKUP($F55,Nominal_to_Real,'Input|Rate of change'!V$25:V$30),INDEX('Input|Rate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0.31241898539999996</v>
      </c>
      <c r="S55" s="134">
        <f ca="1">'Input|Step changes'!S14*IF('Input|Step changes'!$F14="nominal",LOOKUP($F55,Nominal_to_Real,'Input|Rate of change'!W$25:W$30),INDEX('Input|Rate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0.31241898539999996</v>
      </c>
    </row>
    <row r="56" spans="1:47" outlineLevel="1">
      <c r="C56" s="128" t="str">
        <f>'Input|Step changes'!C15</f>
        <v>New and replacement meter policy</v>
      </c>
      <c r="D56" s="116" t="s">
        <v>30</v>
      </c>
      <c r="E56" s="30" t="str">
        <f t="shared" si="2"/>
        <v>$millions</v>
      </c>
      <c r="F56" s="185">
        <f t="shared" si="3"/>
        <v>2019</v>
      </c>
      <c r="J56" s="134">
        <f ca="1">'Input|Step changes'!J15*IF('Input|Step changes'!$F15="nominal",LOOKUP($F56,Nominal_to_Real,'Input|Rate of change'!N$25:N$30),INDEX('Input|Rate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</v>
      </c>
      <c r="K56" s="134">
        <f ca="1">'Input|Step changes'!K15*IF('Input|Step changes'!$F15="nominal",LOOKUP($F56,Nominal_to_Real,'Input|Rate of change'!O$25:O$30),INDEX('Input|Rate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</v>
      </c>
      <c r="L56" s="134">
        <f ca="1">'Input|Step changes'!L15*IF('Input|Step changes'!$F15="nominal",LOOKUP($F56,Nominal_to_Real,'Input|Rate of change'!P$25:P$30),INDEX('Input|Rate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</v>
      </c>
      <c r="M56" s="134">
        <f ca="1">'Input|Step changes'!M15*IF('Input|Step changes'!$F15="nominal",LOOKUP($F56,Nominal_to_Real,'Input|Rate of change'!Q$25:Q$30),INDEX('Input|Rate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</v>
      </c>
      <c r="N56" s="134">
        <f ca="1">'Input|Step changes'!N15*IF('Input|Step changes'!$F15="nominal",LOOKUP($F56,Nominal_to_Real,'Input|Rate of change'!R$25:R$30),INDEX('Input|Rate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</v>
      </c>
      <c r="O56" s="134">
        <f ca="1">'Input|Step changes'!O15*IF('Input|Step changes'!$F15="nominal",LOOKUP($F56,Nominal_to_Real,'Input|Rate of change'!S$25:S$30),INDEX('Input|Rate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-0.46387429693659654</v>
      </c>
      <c r="P56" s="134">
        <f ca="1">'Input|Step changes'!P15*IF('Input|Step changes'!$F15="nominal",LOOKUP($F56,Nominal_to_Real,'Input|Rate of change'!T$25:T$30),INDEX('Input|Rate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-0.5975268499481875</v>
      </c>
      <c r="Q56" s="134">
        <f ca="1">'Input|Step changes'!Q15*IF('Input|Step changes'!$F15="nominal",LOOKUP($F56,Nominal_to_Real,'Input|Rate of change'!U$25:U$30),INDEX('Input|Rate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-0.73629573721197095</v>
      </c>
      <c r="R56" s="134">
        <f ca="1">'Input|Step changes'!R15*IF('Input|Step changes'!$F15="nominal",LOOKUP($F56,Nominal_to_Real,'Input|Rate of change'!V$25:V$30),INDEX('Input|Rate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-0.87116586865836498</v>
      </c>
      <c r="S56" s="134">
        <f ca="1">'Input|Step changes'!S15*IF('Input|Step changes'!$F15="nominal",LOOKUP($F56,Nominal_to_Real,'Input|Rate of change'!W$25:W$30),INDEX('Input|Rate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-0.99988166193517625</v>
      </c>
    </row>
    <row r="57" spans="1:47" outlineLevel="1">
      <c r="C57" s="128">
        <f>'Input|Step changes'!C16</f>
        <v>0</v>
      </c>
      <c r="D57" s="116" t="s">
        <v>30</v>
      </c>
      <c r="E57" s="30" t="str">
        <f t="shared" si="2"/>
        <v>$millions</v>
      </c>
      <c r="F57" s="185">
        <f t="shared" si="3"/>
        <v>2019</v>
      </c>
      <c r="J57" s="134">
        <f ca="1">'Input|Step changes'!J16*IF('Input|Step changes'!$F16="nominal",LOOKUP($F57,Nominal_to_Real,'Input|Rate of change'!N$25:N$30),INDEX('Input|Rate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K57" s="134">
        <f ca="1">'Input|Step changes'!K16*IF('Input|Step changes'!$F16="nominal",LOOKUP($F57,Nominal_to_Real,'Input|Rate of change'!O$25:O$30),INDEX('Input|Rate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L57" s="134">
        <f ca="1">'Input|Step changes'!L16*IF('Input|Step changes'!$F16="nominal",LOOKUP($F57,Nominal_to_Real,'Input|Rate of change'!P$25:P$30),INDEX('Input|Rate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M57" s="134">
        <f ca="1">'Input|Step changes'!M16*IF('Input|Step changes'!$F16="nominal",LOOKUP($F57,Nominal_to_Real,'Input|Rate of change'!Q$25:Q$30),INDEX('Input|Rate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N57" s="134">
        <f ca="1">'Input|Step changes'!N16*IF('Input|Step changes'!$F16="nominal",LOOKUP($F57,Nominal_to_Real,'Input|Rate of change'!R$25:R$30),INDEX('Input|Rate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O57" s="134">
        <f ca="1">'Input|Step changes'!O16*IF('Input|Step changes'!$F16="nominal",LOOKUP($F57,Nominal_to_Real,'Input|Rate of change'!S$25:S$30),INDEX('Input|Rate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P57" s="134">
        <f ca="1">'Input|Step changes'!P16*IF('Input|Step changes'!$F16="nominal",LOOKUP($F57,Nominal_to_Real,'Input|Rate of change'!T$25:T$30),INDEX('Input|Rate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Q57" s="134">
        <f ca="1">'Input|Step changes'!Q16*IF('Input|Step changes'!$F16="nominal",LOOKUP($F57,Nominal_to_Real,'Input|Rate of change'!U$25:U$30),INDEX('Input|Rate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R57" s="134">
        <f ca="1">'Input|Step changes'!R16*IF('Input|Step changes'!$F16="nominal",LOOKUP($F57,Nominal_to_Real,'Input|Rate of change'!V$25:V$30),INDEX('Input|Rate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S57" s="134">
        <f ca="1">'Input|Step changes'!S16*IF('Input|Step changes'!$F16="nominal",LOOKUP($F57,Nominal_to_Real,'Input|Rate of change'!W$25:W$30),INDEX('Input|Rate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</row>
    <row r="58" spans="1:47" outlineLevel="1">
      <c r="C58" s="128">
        <f>'Input|Step changes'!C17</f>
        <v>0</v>
      </c>
      <c r="D58" s="116" t="s">
        <v>30</v>
      </c>
      <c r="E58" s="30" t="str">
        <f t="shared" si="2"/>
        <v>$millions</v>
      </c>
      <c r="F58" s="185">
        <f t="shared" si="3"/>
        <v>2019</v>
      </c>
      <c r="J58" s="134">
        <f ca="1">'Input|Step changes'!J17*IF('Input|Step changes'!$F17="nominal",LOOKUP($F58,Nominal_to_Real,'Input|Rate of change'!N$25:N$30),INDEX('Input|Rate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K58" s="134">
        <f ca="1">'Input|Step changes'!K17*IF('Input|Step changes'!$F17="nominal",LOOKUP($F58,Nominal_to_Real,'Input|Rate of change'!O$25:O$30),INDEX('Input|Rate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L58" s="134">
        <f ca="1">'Input|Step changes'!L17*IF('Input|Step changes'!$F17="nominal",LOOKUP($F58,Nominal_to_Real,'Input|Rate of change'!P$25:P$30),INDEX('Input|Rate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M58" s="134">
        <f ca="1">'Input|Step changes'!M17*IF('Input|Step changes'!$F17="nominal",LOOKUP($F58,Nominal_to_Real,'Input|Rate of change'!Q$25:Q$30),INDEX('Input|Rate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N58" s="134">
        <f ca="1">'Input|Step changes'!N17*IF('Input|Step changes'!$F17="nominal",LOOKUP($F58,Nominal_to_Real,'Input|Rate of change'!R$25:R$30),INDEX('Input|Rate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O58" s="134">
        <f ca="1">'Input|Step changes'!O17*IF('Input|Step changes'!$F17="nominal",LOOKUP($F58,Nominal_to_Real,'Input|Rate of change'!S$25:S$30),INDEX('Input|Rate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P58" s="134">
        <f ca="1">'Input|Step changes'!P17*IF('Input|Step changes'!$F17="nominal",LOOKUP($F58,Nominal_to_Real,'Input|Rate of change'!T$25:T$30),INDEX('Input|Rate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Q58" s="134">
        <f ca="1">'Input|Step changes'!Q17*IF('Input|Step changes'!$F17="nominal",LOOKUP($F58,Nominal_to_Real,'Input|Rate of change'!U$25:U$30),INDEX('Input|Rate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R58" s="134">
        <f ca="1">'Input|Step changes'!R17*IF('Input|Step changes'!$F17="nominal",LOOKUP($F58,Nominal_to_Real,'Input|Rate of change'!V$25:V$30),INDEX('Input|Rate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S58" s="134">
        <f ca="1">'Input|Step changes'!S17*IF('Input|Step changes'!$F17="nominal",LOOKUP($F58,Nominal_to_Real,'Input|Rate of change'!W$25:W$30),INDEX('Input|Rate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</row>
    <row r="59" spans="1:47" outlineLevel="1">
      <c r="C59" s="128">
        <f>'Input|Step changes'!C18</f>
        <v>0</v>
      </c>
      <c r="D59" s="116" t="s">
        <v>30</v>
      </c>
      <c r="E59" s="30" t="str">
        <f t="shared" si="2"/>
        <v>$millions</v>
      </c>
      <c r="F59" s="185">
        <f t="shared" si="3"/>
        <v>2019</v>
      </c>
      <c r="J59" s="134">
        <f ca="1">'Input|Step changes'!J18*IF('Input|Step changes'!$F18="nominal",LOOKUP($F59,Nominal_to_Real,'Input|Rate of change'!N$25:N$30),INDEX('Input|Rate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K59" s="134">
        <f ca="1">'Input|Step changes'!K18*IF('Input|Step changes'!$F18="nominal",LOOKUP($F59,Nominal_to_Real,'Input|Rate of change'!O$25:O$30),INDEX('Input|Rate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L59" s="134">
        <f ca="1">'Input|Step changes'!L18*IF('Input|Step changes'!$F18="nominal",LOOKUP($F59,Nominal_to_Real,'Input|Rate of change'!P$25:P$30),INDEX('Input|Rate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M59" s="134">
        <f ca="1">'Input|Step changes'!M18*IF('Input|Step changes'!$F18="nominal",LOOKUP($F59,Nominal_to_Real,'Input|Rate of change'!Q$25:Q$30),INDEX('Input|Rate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N59" s="134">
        <f ca="1">'Input|Step changes'!N18*IF('Input|Step changes'!$F18="nominal",LOOKUP($F59,Nominal_to_Real,'Input|Rate of change'!R$25:R$30),INDEX('Input|Rate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O59" s="134">
        <f ca="1">'Input|Step changes'!O18*IF('Input|Step changes'!$F18="nominal",LOOKUP($F59,Nominal_to_Real,'Input|Rate of change'!S$25:S$30),INDEX('Input|Rate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P59" s="134">
        <f ca="1">'Input|Step changes'!P18*IF('Input|Step changes'!$F18="nominal",LOOKUP($F59,Nominal_to_Real,'Input|Rate of change'!T$25:T$30),INDEX('Input|Rate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Q59" s="134">
        <f ca="1">'Input|Step changes'!Q18*IF('Input|Step changes'!$F18="nominal",LOOKUP($F59,Nominal_to_Real,'Input|Rate of change'!U$25:U$30),INDEX('Input|Rate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R59" s="134">
        <f ca="1">'Input|Step changes'!R18*IF('Input|Step changes'!$F18="nominal",LOOKUP($F59,Nominal_to_Real,'Input|Rate of change'!V$25:V$30),INDEX('Input|Rate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S59" s="134">
        <f ca="1">'Input|Step changes'!S18*IF('Input|Step changes'!$F18="nominal",LOOKUP($F59,Nominal_to_Real,'Input|Rate of change'!W$25:W$30),INDEX('Input|Rate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</row>
    <row r="60" spans="1:47" outlineLevel="1">
      <c r="C60" s="128">
        <f>'Input|Step changes'!C19</f>
        <v>0</v>
      </c>
      <c r="D60" s="116" t="s">
        <v>30</v>
      </c>
      <c r="E60" s="30" t="str">
        <f t="shared" si="2"/>
        <v>$millions</v>
      </c>
      <c r="F60" s="185">
        <f t="shared" si="3"/>
        <v>2019</v>
      </c>
      <c r="J60" s="134">
        <f ca="1">'Input|Step changes'!J19*IF('Input|Step changes'!$F19="nominal",LOOKUP($F60,Nominal_to_Real,'Input|Rate of change'!N$25:N$30),INDEX('Input|Rate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K60" s="134">
        <f ca="1">'Input|Step changes'!K19*IF('Input|Step changes'!$F19="nominal",LOOKUP($F60,Nominal_to_Real,'Input|Rate of change'!O$25:O$30),INDEX('Input|Rate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L60" s="134">
        <f ca="1">'Input|Step changes'!L19*IF('Input|Step changes'!$F19="nominal",LOOKUP($F60,Nominal_to_Real,'Input|Rate of change'!P$25:P$30),INDEX('Input|Rate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M60" s="134">
        <f ca="1">'Input|Step changes'!M19*IF('Input|Step changes'!$F19="nominal",LOOKUP($F60,Nominal_to_Real,'Input|Rate of change'!Q$25:Q$30),INDEX('Input|Rate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N60" s="134">
        <f ca="1">'Input|Step changes'!N19*IF('Input|Step changes'!$F19="nominal",LOOKUP($F60,Nominal_to_Real,'Input|Rate of change'!R$25:R$30),INDEX('Input|Rate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O60" s="134">
        <f ca="1">'Input|Step changes'!O19*IF('Input|Step changes'!$F19="nominal",LOOKUP($F60,Nominal_to_Real,'Input|Rate of change'!S$25:S$30),INDEX('Input|Rate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P60" s="134">
        <f ca="1">'Input|Step changes'!P19*IF('Input|Step changes'!$F19="nominal",LOOKUP($F60,Nominal_to_Real,'Input|Rate of change'!T$25:T$30),INDEX('Input|Rate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Q60" s="134">
        <f ca="1">'Input|Step changes'!Q19*IF('Input|Step changes'!$F19="nominal",LOOKUP($F60,Nominal_to_Real,'Input|Rate of change'!U$25:U$30),INDEX('Input|Rate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R60" s="134">
        <f ca="1">'Input|Step changes'!R19*IF('Input|Step changes'!$F19="nominal",LOOKUP($F60,Nominal_to_Real,'Input|Rate of change'!V$25:V$30),INDEX('Input|Rate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S60" s="134">
        <f ca="1">'Input|Step changes'!S19*IF('Input|Step changes'!$F19="nominal",LOOKUP($F60,Nominal_to_Real,'Input|Rate of change'!W$25:W$30),INDEX('Input|Rate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</row>
    <row r="61" spans="1:47" outlineLevel="1">
      <c r="C61" s="128">
        <f>'Input|Step changes'!C20</f>
        <v>0</v>
      </c>
      <c r="D61" s="116" t="s">
        <v>30</v>
      </c>
      <c r="E61" s="30" t="str">
        <f t="shared" si="2"/>
        <v>$millions</v>
      </c>
      <c r="F61" s="185">
        <f t="shared" si="3"/>
        <v>2019</v>
      </c>
      <c r="J61" s="134">
        <f ca="1">'Input|Step changes'!J20*IF('Input|Step changes'!$F20="nominal",LOOKUP($F61,Nominal_to_Real,'Input|Rate of change'!N$25:N$30),INDEX('Input|Rate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K61" s="134">
        <f ca="1">'Input|Step changes'!K20*IF('Input|Step changes'!$F20="nominal",LOOKUP($F61,Nominal_to_Real,'Input|Rate of change'!O$25:O$30),INDEX('Input|Rate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L61" s="134">
        <f ca="1">'Input|Step changes'!L20*IF('Input|Step changes'!$F20="nominal",LOOKUP($F61,Nominal_to_Real,'Input|Rate of change'!P$25:P$30),INDEX('Input|Rate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M61" s="134">
        <f ca="1">'Input|Step changes'!M20*IF('Input|Step changes'!$F20="nominal",LOOKUP($F61,Nominal_to_Real,'Input|Rate of change'!Q$25:Q$30),INDEX('Input|Rate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N61" s="134">
        <f ca="1">'Input|Step changes'!N20*IF('Input|Step changes'!$F20="nominal",LOOKUP($F61,Nominal_to_Real,'Input|Rate of change'!R$25:R$30),INDEX('Input|Rate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O61" s="134">
        <f ca="1">'Input|Step changes'!O20*IF('Input|Step changes'!$F20="nominal",LOOKUP($F61,Nominal_to_Real,'Input|Rate of change'!S$25:S$30),INDEX('Input|Rate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P61" s="134">
        <f ca="1">'Input|Step changes'!P20*IF('Input|Step changes'!$F20="nominal",LOOKUP($F61,Nominal_to_Real,'Input|Rate of change'!T$25:T$30),INDEX('Input|Rate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Q61" s="134">
        <f ca="1">'Input|Step changes'!Q20*IF('Input|Step changes'!$F20="nominal",LOOKUP($F61,Nominal_to_Real,'Input|Rate of change'!U$25:U$30),INDEX('Input|Rate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R61" s="134">
        <f ca="1">'Input|Step changes'!R20*IF('Input|Step changes'!$F20="nominal",LOOKUP($F61,Nominal_to_Real,'Input|Rate of change'!V$25:V$30),INDEX('Input|Rate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S61" s="134">
        <f ca="1">'Input|Step changes'!S20*IF('Input|Step changes'!$F20="nominal",LOOKUP($F61,Nominal_to_Real,'Input|Rate of change'!W$25:W$30),INDEX('Input|Rate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</row>
    <row r="62" spans="1:47" outlineLevel="1">
      <c r="C62" s="128"/>
      <c r="D62" s="116"/>
      <c r="F62" s="118"/>
      <c r="J62" s="135"/>
      <c r="K62" s="135"/>
      <c r="L62" s="135"/>
      <c r="M62" s="135"/>
      <c r="N62" s="135"/>
      <c r="O62" s="135"/>
      <c r="P62" s="135"/>
      <c r="Q62" s="135"/>
      <c r="R62" s="135"/>
      <c r="S62" s="135"/>
    </row>
    <row r="63" spans="1:47" ht="10.5" outlineLevel="1">
      <c r="C63" s="120" t="s">
        <v>48</v>
      </c>
      <c r="D63" s="129" t="s">
        <v>30</v>
      </c>
      <c r="E63" s="129" t="str">
        <f>$E$8</f>
        <v>$millions</v>
      </c>
      <c r="F63" s="178">
        <f>$F$8</f>
        <v>2019</v>
      </c>
      <c r="G63" s="32"/>
      <c r="H63" s="32"/>
      <c r="I63" s="32"/>
      <c r="J63" s="136">
        <f ca="1">SUM(J52:J62)</f>
        <v>0</v>
      </c>
      <c r="K63" s="136">
        <f t="shared" ref="K63:S63" ca="1" si="4">SUM(K52:K62)</f>
        <v>0</v>
      </c>
      <c r="L63" s="136">
        <f t="shared" ca="1" si="4"/>
        <v>0</v>
      </c>
      <c r="M63" s="136">
        <f t="shared" ca="1" si="4"/>
        <v>0</v>
      </c>
      <c r="N63" s="136">
        <f t="shared" ca="1" si="4"/>
        <v>0</v>
      </c>
      <c r="O63" s="136">
        <f t="shared" ca="1" si="4"/>
        <v>0.20010969781340338</v>
      </c>
      <c r="P63" s="136">
        <f t="shared" ca="1" si="4"/>
        <v>6.6457144801812418E-2</v>
      </c>
      <c r="Q63" s="136">
        <f t="shared" ca="1" si="4"/>
        <v>-7.2311742461971029E-2</v>
      </c>
      <c r="R63" s="136">
        <f t="shared" ca="1" si="4"/>
        <v>-0.20718187390836507</v>
      </c>
      <c r="S63" s="136">
        <f t="shared" ca="1" si="4"/>
        <v>-0.33589766718517633</v>
      </c>
    </row>
    <row r="64" spans="1:47" ht="10.5">
      <c r="C64" s="130"/>
      <c r="D64" s="116"/>
      <c r="E64" s="116"/>
      <c r="F64" s="116"/>
      <c r="J64" s="113"/>
      <c r="K64" s="113"/>
      <c r="L64" s="113"/>
      <c r="M64" s="113"/>
      <c r="N64" s="23"/>
      <c r="O64" s="23"/>
      <c r="P64" s="23"/>
      <c r="Q64" s="23"/>
      <c r="R64" s="23"/>
      <c r="S64" s="23"/>
    </row>
    <row r="65" spans="1:47" s="108" customFormat="1" ht="12.3">
      <c r="A65" s="99"/>
      <c r="B65" s="100" t="s">
        <v>96</v>
      </c>
      <c r="C65" s="99"/>
      <c r="D65" s="99"/>
      <c r="E65" s="99"/>
      <c r="F65" s="101"/>
      <c r="G65" s="101"/>
      <c r="H65" s="101"/>
      <c r="I65" s="101"/>
      <c r="J65" s="102"/>
      <c r="K65" s="103"/>
      <c r="L65" s="102"/>
      <c r="M65" s="103"/>
      <c r="N65" s="102"/>
      <c r="O65" s="102"/>
      <c r="P65" s="102"/>
      <c r="Q65" s="102"/>
      <c r="R65" s="102"/>
      <c r="S65" s="102"/>
      <c r="T65" s="102"/>
      <c r="U65" s="102"/>
      <c r="V65" s="103"/>
      <c r="W65" s="103"/>
      <c r="X65" s="104"/>
      <c r="Y65" s="104"/>
      <c r="Z65" s="104"/>
      <c r="AA65" s="104"/>
      <c r="AB65" s="105"/>
      <c r="AC65" s="106"/>
      <c r="AD65" s="106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</row>
    <row r="66" spans="1:47" outlineLevel="1">
      <c r="C66" s="112"/>
      <c r="J66" s="113"/>
      <c r="K66" s="113"/>
      <c r="L66" s="113"/>
    </row>
    <row r="67" spans="1:47" ht="10.5" outlineLevel="1">
      <c r="C67" s="70"/>
      <c r="J67" s="111" t="str">
        <f>IF(RIGHT(J$4,2)&gt;=RIGHT('Input|General'!$G$9,2),IF(RIGHT(J$4,2)&lt;=RIGHT('Input|General'!$G$12,2),J$4,""),"")</f>
        <v/>
      </c>
      <c r="K67" s="111" t="str">
        <f ca="1">IF(RIGHT(K$4,2)&gt;=RIGHT('Input|General'!$G$9,2),IF(RIGHT(K$4,2)&lt;=RIGHT('Input|General'!$G$12,2),K$4,""),"")</f>
        <v/>
      </c>
      <c r="L67" s="111" t="str">
        <f ca="1">IF(RIGHT(L$4,2)&gt;=RIGHT('Input|General'!$G$9,2),IF(RIGHT(L$4,2)&lt;=RIGHT('Input|General'!$G$12,2),L$4,""),"")</f>
        <v/>
      </c>
      <c r="M67" s="171">
        <f ca="1">IF(RIGHT(M$4,2)&gt;=RIGHT('Input|General'!$G$9,2),IF(RIGHT(M$4,2)&lt;=RIGHT('Input|General'!$G$12,2),M$4,""),"")</f>
        <v>2018</v>
      </c>
      <c r="N67" s="171">
        <f ca="1">IF(RIGHT(N$4,2)&gt;=RIGHT('Input|General'!$G$9,2),IF(RIGHT(N$4,2)&lt;=RIGHT('Input|General'!$G$12,2),N$4,""),"")</f>
        <v>2019</v>
      </c>
      <c r="O67" s="171">
        <f ca="1">IF(RIGHT(O$4,2)&gt;=RIGHT('Input|General'!$G$9,2),IF(RIGHT(O$4,2)&lt;=RIGHT('Input|General'!$G$12,2),O$4,""),"")</f>
        <v>2020</v>
      </c>
      <c r="P67" s="171">
        <f ca="1">IF(RIGHT(P$4,2)&gt;=RIGHT('Input|General'!$G$9,2),IF(RIGHT(P$4,2)&lt;=RIGHT('Input|General'!$G$12,2),P$4,""),"")</f>
        <v>2021</v>
      </c>
      <c r="Q67" s="171">
        <f ca="1">IF(RIGHT(Q$4,2)&gt;=RIGHT('Input|General'!$G$9,2),IF(RIGHT(Q$4,2)&lt;=RIGHT('Input|General'!$G$12,2),Q$4,""),"")</f>
        <v>2022</v>
      </c>
      <c r="R67" s="171">
        <f ca="1">IF(RIGHT(R$4,2)&gt;=RIGHT('Input|General'!$G$9,2),IF(RIGHT(R$4,2)&lt;=RIGHT('Input|General'!$G$12,2),R$4,""),"")</f>
        <v>2023</v>
      </c>
      <c r="S67" s="171">
        <f ca="1">IF(RIGHT(S$4,2)&gt;=RIGHT('Input|General'!$G$9,2),IF(RIGHT(S$4,2)&lt;=RIGHT('Input|General'!$G$12,2),S$4,""),"")</f>
        <v>2024</v>
      </c>
    </row>
    <row r="68" spans="1:47" ht="10.5" outlineLevel="1">
      <c r="C68" s="131"/>
      <c r="D68" s="116"/>
      <c r="E68" s="116"/>
      <c r="F68" s="116"/>
      <c r="J68" s="132"/>
      <c r="K68" s="132"/>
      <c r="L68" s="132"/>
      <c r="M68" s="132"/>
      <c r="N68" s="132"/>
      <c r="O68" s="132"/>
      <c r="P68" s="132"/>
      <c r="Q68" s="132"/>
      <c r="R68" s="132"/>
      <c r="S68" s="132"/>
    </row>
    <row r="69" spans="1:47" ht="10.5" outlineLevel="1">
      <c r="C69" s="130" t="s">
        <v>117</v>
      </c>
      <c r="D69" s="133" t="s">
        <v>30</v>
      </c>
      <c r="E69" s="133" t="str">
        <f>$E$8</f>
        <v>$millions</v>
      </c>
      <c r="F69" s="185">
        <f>$F$8</f>
        <v>2019</v>
      </c>
      <c r="J69" s="161">
        <f ca="1">J13</f>
        <v>0</v>
      </c>
      <c r="K69" s="161">
        <f ca="1">K13</f>
        <v>0</v>
      </c>
      <c r="L69" s="161">
        <f ca="1">L13</f>
        <v>0</v>
      </c>
      <c r="M69" s="161">
        <f ca="1">M13</f>
        <v>4.8596398600113426</v>
      </c>
      <c r="N69" s="161">
        <f ca="1">N15</f>
        <v>4.8596398600113426</v>
      </c>
      <c r="O69" s="161">
        <f t="array" aca="1" ref="O69" ca="1">IF(RIGHT(O$4,2)&gt;=RIGHT('Input|General'!$G$11,2),IF(RIGHT(O$4,2)&lt;=RIGHT('Input|General'!$G$12,2),IF(ISBLANK(O67),"",PRODUCT(1+$J47:O47)*SUM($J34:$S34)+O$63),""),"")</f>
        <v>4.9776682673268287</v>
      </c>
      <c r="P69" s="161">
        <f t="array" aca="1" ref="P69" ca="1">IF(RIGHT(P$4,2)&gt;=RIGHT('Input|General'!$G$11,2),IF(RIGHT(P$4,2)&lt;=RIGHT('Input|General'!$G$12,2),IF(ISBLANK(P67),"",PRODUCT(1+$J47:P47)*SUM($J34:$S34)+P$63),""),"")</f>
        <v>4.9094661920391092</v>
      </c>
      <c r="Q69" s="161">
        <f t="array" aca="1" ref="Q69" ca="1">IF(RIGHT(Q$4,2)&gt;=RIGHT('Input|General'!$G$11,2),IF(RIGHT(Q$4,2)&lt;=RIGHT('Input|General'!$G$12,2),IF(ISBLANK(Q67),"",PRODUCT(1+$J47:Q47)*SUM($J34:$S34)+Q$63),""),"")</f>
        <v>4.844971992093301</v>
      </c>
      <c r="R69" s="161">
        <f t="array" aca="1" ref="R69" ca="1">IF(RIGHT(R$4,2)&gt;=RIGHT('Input|General'!$G$11,2),IF(RIGHT(R$4,2)&lt;=RIGHT('Input|General'!$G$12,2),IF(ISBLANK(R67),"",PRODUCT(1+$J47:R47)*SUM($J34:$S34)+R$63),""),"")</f>
        <v>4.7703221671777847</v>
      </c>
      <c r="S69" s="161">
        <f t="array" aca="1" ref="S69" ca="1">IF(RIGHT(S$4,2)&gt;=RIGHT('Input|General'!$G$11,2),IF(RIGHT(S$4,2)&lt;=RIGHT('Input|General'!$G$12,2),IF(ISBLANK(S67),"",PRODUCT(1+$J47:S47)*SUM($J34:$S34)+S$63),""),"")</f>
        <v>4.6961110061157152</v>
      </c>
    </row>
    <row r="70" spans="1:47" ht="10.5" outlineLevel="1">
      <c r="C70" s="130" t="s">
        <v>118</v>
      </c>
      <c r="D70" s="133" t="s">
        <v>30</v>
      </c>
      <c r="E70" s="133" t="str">
        <f>$E$8</f>
        <v>$millions</v>
      </c>
      <c r="F70" s="185">
        <f>$F$8</f>
        <v>2019</v>
      </c>
      <c r="J70" s="161"/>
      <c r="K70" s="161"/>
      <c r="L70" s="161"/>
      <c r="M70" s="161"/>
      <c r="N70" s="161"/>
      <c r="O70" s="161">
        <f ca="1">O69+'Input|Step changes'!O26</f>
        <v>4.9862840639356971</v>
      </c>
      <c r="P70" s="161">
        <f ca="1">P69+'Input|Step changes'!P26</f>
        <v>4.9211242894857659</v>
      </c>
      <c r="Q70" s="161">
        <f ca="1">Q69+'Input|Step changes'!Q26</f>
        <v>4.8577656020337772</v>
      </c>
      <c r="R70" s="161">
        <f ca="1">R69+'Input|Step changes'!R26</f>
        <v>4.7841371332508498</v>
      </c>
      <c r="S70" s="161">
        <f ca="1">S69+'Input|Step changes'!S26</f>
        <v>4.7127696093210787</v>
      </c>
    </row>
    <row r="71" spans="1:47" ht="10.5">
      <c r="C71" s="130"/>
      <c r="D71" s="116"/>
      <c r="E71" s="116"/>
      <c r="F71" s="116"/>
      <c r="J71" s="113"/>
      <c r="K71" s="113"/>
      <c r="L71" s="113"/>
      <c r="M71" s="113"/>
      <c r="N71" s="23"/>
      <c r="O71" s="23"/>
      <c r="P71" s="23"/>
      <c r="Q71" s="23"/>
      <c r="R71" s="23"/>
      <c r="S71" s="23"/>
    </row>
    <row r="72" spans="1:47" s="108" customFormat="1" ht="12.3">
      <c r="A72" s="99"/>
      <c r="B72" s="100" t="s">
        <v>21</v>
      </c>
      <c r="C72" s="99"/>
      <c r="D72" s="99"/>
      <c r="E72" s="99"/>
      <c r="F72" s="101"/>
      <c r="G72" s="101"/>
      <c r="H72" s="101"/>
      <c r="I72" s="101"/>
      <c r="J72" s="102"/>
      <c r="K72" s="103"/>
      <c r="L72" s="102"/>
      <c r="M72" s="103"/>
      <c r="N72" s="102"/>
      <c r="O72" s="102"/>
      <c r="P72" s="102"/>
      <c r="Q72" s="102"/>
      <c r="R72" s="102"/>
      <c r="S72" s="102"/>
      <c r="T72" s="102"/>
      <c r="U72" s="102"/>
      <c r="V72" s="103"/>
      <c r="W72" s="103"/>
      <c r="X72" s="104"/>
      <c r="Y72" s="104"/>
      <c r="Z72" s="104"/>
      <c r="AA72" s="104"/>
      <c r="AB72" s="105"/>
      <c r="AC72" s="106"/>
      <c r="AD72" s="106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</row>
    <row r="73" spans="1:47" hidden="1"/>
    <row r="74" spans="1:47" hidden="1"/>
    <row r="75" spans="1:47" hidden="1"/>
    <row r="76" spans="1:47" hidden="1"/>
    <row r="77" spans="1:47" hidden="1"/>
    <row r="78" spans="1:47" hidden="1"/>
    <row r="79" spans="1:47" hidden="1"/>
    <row r="80" spans="1:47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/>
    <row r="159"/>
    <row r="160"/>
    <row r="161"/>
    <row r="162"/>
    <row r="163"/>
    <row r="164"/>
    <row r="165"/>
    <row r="166"/>
    <row r="167"/>
    <row r="168"/>
    <row r="169"/>
    <row r="170"/>
    <row r="171"/>
  </sheetData>
  <mergeCells count="2">
    <mergeCell ref="J3:L3"/>
    <mergeCell ref="N3:S3"/>
  </mergeCells>
  <conditionalFormatting sqref="S1">
    <cfRule type="cellIs" dxfId="58" priority="67" operator="equal">
      <formula>"Check"</formula>
    </cfRule>
    <cfRule type="cellIs" dxfId="57" priority="68" operator="equal">
      <formula>"Ok"</formula>
    </cfRule>
  </conditionalFormatting>
  <conditionalFormatting sqref="V1">
    <cfRule type="cellIs" dxfId="56" priority="69" operator="equal">
      <formula>"Check"</formula>
    </cfRule>
    <cfRule type="cellIs" dxfId="55" priority="70" operator="equal">
      <formula>"Ok"</formula>
    </cfRule>
  </conditionalFormatting>
  <conditionalFormatting sqref="J12:S13 R17:S17 R19:S20 R22:S23 R25:S26 R28:S28">
    <cfRule type="cellIs" dxfId="54" priority="66" operator="equal">
      <formula>0</formula>
    </cfRule>
  </conditionalFormatting>
  <conditionalFormatting sqref="J13:S13">
    <cfRule type="cellIs" dxfId="53" priority="65" operator="equal">
      <formula>0</formula>
    </cfRule>
  </conditionalFormatting>
  <conditionalFormatting sqref="J41:S45">
    <cfRule type="cellIs" dxfId="52" priority="60" operator="equal">
      <formula>0</formula>
    </cfRule>
  </conditionalFormatting>
  <conditionalFormatting sqref="J47:S47">
    <cfRule type="cellIs" dxfId="51" priority="59" operator="equal">
      <formula>0</formula>
    </cfRule>
  </conditionalFormatting>
  <conditionalFormatting sqref="J53:S61">
    <cfRule type="cellIs" dxfId="50" priority="58" operator="equal">
      <formula>0</formula>
    </cfRule>
  </conditionalFormatting>
  <conditionalFormatting sqref="J15:S16 J31:S34">
    <cfRule type="cellIs" dxfId="49" priority="56" operator="equal">
      <formula>0</formula>
    </cfRule>
  </conditionalFormatting>
  <conditionalFormatting sqref="J15:S16 J31:S34">
    <cfRule type="cellIs" dxfId="48" priority="55" operator="equal">
      <formula>0</formula>
    </cfRule>
  </conditionalFormatting>
  <conditionalFormatting sqref="J69:S70">
    <cfRule type="cellIs" dxfId="47" priority="54" operator="equal">
      <formula>0</formula>
    </cfRule>
  </conditionalFormatting>
  <conditionalFormatting sqref="J69:S70">
    <cfRule type="cellIs" dxfId="46" priority="53" operator="equal">
      <formula>0</formula>
    </cfRule>
  </conditionalFormatting>
  <conditionalFormatting sqref="J63:S63">
    <cfRule type="cellIs" dxfId="45" priority="39" operator="equal">
      <formula>0</formula>
    </cfRule>
  </conditionalFormatting>
  <conditionalFormatting sqref="J26:Q26">
    <cfRule type="cellIs" dxfId="44" priority="16" operator="equal">
      <formula>0</formula>
    </cfRule>
  </conditionalFormatting>
  <conditionalFormatting sqref="J19:Q19 J22:Q22 J25:Q25">
    <cfRule type="cellIs" dxfId="43" priority="34" operator="equal">
      <formula>0</formula>
    </cfRule>
  </conditionalFormatting>
  <conditionalFormatting sqref="J19:Q19 J22:Q22 J25:Q25">
    <cfRule type="cellIs" dxfId="42" priority="33" operator="equal">
      <formula>0</formula>
    </cfRule>
  </conditionalFormatting>
  <conditionalFormatting sqref="J17:Q17">
    <cfRule type="cellIs" dxfId="41" priority="29" operator="equal">
      <formula>0</formula>
    </cfRule>
  </conditionalFormatting>
  <conditionalFormatting sqref="J17:Q17">
    <cfRule type="cellIs" dxfId="40" priority="28" operator="equal">
      <formula>0</formula>
    </cfRule>
  </conditionalFormatting>
  <conditionalFormatting sqref="J28:Q28">
    <cfRule type="cellIs" dxfId="39" priority="19" operator="equal">
      <formula>0</formula>
    </cfRule>
  </conditionalFormatting>
  <conditionalFormatting sqref="J28:Q28">
    <cfRule type="cellIs" dxfId="38" priority="18" operator="equal">
      <formula>0</formula>
    </cfRule>
  </conditionalFormatting>
  <conditionalFormatting sqref="J20:Q20">
    <cfRule type="cellIs" dxfId="37" priority="25" operator="equal">
      <formula>0</formula>
    </cfRule>
  </conditionalFormatting>
  <conditionalFormatting sqref="J20:Q20">
    <cfRule type="cellIs" dxfId="36" priority="24" operator="equal">
      <formula>0</formula>
    </cfRule>
  </conditionalFormatting>
  <conditionalFormatting sqref="J26:Q26">
    <cfRule type="cellIs" dxfId="35" priority="17" operator="equal">
      <formula>0</formula>
    </cfRule>
  </conditionalFormatting>
  <conditionalFormatting sqref="J23:Q23">
    <cfRule type="cellIs" dxfId="34" priority="21" operator="equal">
      <formula>0</formula>
    </cfRule>
  </conditionalFormatting>
  <conditionalFormatting sqref="J23:Q23">
    <cfRule type="cellIs" dxfId="33" priority="20" operator="equal">
      <formula>0</formula>
    </cfRule>
  </conditionalFormatting>
  <conditionalFormatting sqref="J29:S29">
    <cfRule type="cellIs" dxfId="32" priority="11" operator="equal">
      <formula>0</formula>
    </cfRule>
  </conditionalFormatting>
  <conditionalFormatting sqref="J29:S29">
    <cfRule type="cellIs" dxfId="31" priority="12" operator="equal">
      <formula>0</formula>
    </cfRule>
  </conditionalFormatting>
  <conditionalFormatting sqref="J18:S18">
    <cfRule type="cellIs" dxfId="30" priority="10" operator="equal">
      <formula>0</formula>
    </cfRule>
  </conditionalFormatting>
  <conditionalFormatting sqref="J18:S18">
    <cfRule type="cellIs" dxfId="29" priority="9" operator="equal">
      <formula>0</formula>
    </cfRule>
  </conditionalFormatting>
  <conditionalFormatting sqref="J21:S21">
    <cfRule type="cellIs" dxfId="28" priority="8" operator="equal">
      <formula>0</formula>
    </cfRule>
  </conditionalFormatting>
  <conditionalFormatting sqref="J21:S21">
    <cfRule type="cellIs" dxfId="27" priority="7" operator="equal">
      <formula>0</formula>
    </cfRule>
  </conditionalFormatting>
  <conditionalFormatting sqref="J24:S24">
    <cfRule type="cellIs" dxfId="26" priority="6" operator="equal">
      <formula>0</formula>
    </cfRule>
  </conditionalFormatting>
  <conditionalFormatting sqref="J24:S24">
    <cfRule type="cellIs" dxfId="25" priority="5" operator="equal">
      <formula>0</formula>
    </cfRule>
  </conditionalFormatting>
  <conditionalFormatting sqref="J27:S27">
    <cfRule type="cellIs" dxfId="24" priority="4" operator="equal">
      <formula>0</formula>
    </cfRule>
  </conditionalFormatting>
  <conditionalFormatting sqref="J27:S27">
    <cfRule type="cellIs" dxfId="23" priority="3" operator="equal">
      <formula>0</formula>
    </cfRule>
  </conditionalFormatting>
  <conditionalFormatting sqref="J30:S30">
    <cfRule type="cellIs" dxfId="22" priority="2" operator="equal">
      <formula>0</formula>
    </cfRule>
  </conditionalFormatting>
  <conditionalFormatting sqref="J30:S30">
    <cfRule type="cellIs" dxfId="21" priority="1" operator="equal">
      <formula>0</formula>
    </cfRule>
  </conditionalFormatting>
  <dataValidations count="5">
    <dataValidation type="list" allowBlank="1" showInputMessage="1" showErrorMessage="1" sqref="F14" xr:uid="{00000000-0002-0000-0600-000000000000}">
      <formula1>$C$48:$C$48</formula1>
    </dataValidation>
    <dataValidation type="list" allowBlank="1" showInputMessage="1" showErrorMessage="1" sqref="F64 F71" xr:uid="{00000000-0002-0000-0600-000001000000}">
      <formula1>"Real 2010,Real 2011,Real 2012,Real 2013,Real 2014,Real 2015,Nominal"</formula1>
    </dataValidation>
    <dataValidation type="list" allowBlank="1" showInputMessage="1" showErrorMessage="1" sqref="F31 F33 F62" xr:uid="{00000000-0002-0000-0600-000002000000}">
      <formula1>$G$40:$G$46</formula1>
    </dataValidation>
    <dataValidation type="list" allowBlank="1" showInputMessage="1" showErrorMessage="1" sqref="F16" xr:uid="{00000000-0002-0000-0600-000003000000}">
      <formula1>$G$36:$G$43</formula1>
    </dataValidation>
    <dataValidation type="list" allowBlank="1" showInputMessage="1" showErrorMessage="1" sqref="F8" xr:uid="{00000000-0002-0000-0600-000004000000}">
      <formula1>J$4:S$4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5000000}">
          <x14:formula1>
            <xm:f>'Lookup|Tables'!$G$25:$G$32</xm:f>
          </x14:formula1>
          <xm:sqref>F12</xm:sqref>
        </x14:dataValidation>
        <x14:dataValidation type="list" allowBlank="1" showInputMessage="1" showErrorMessage="1" xr:uid="{00000000-0002-0000-0600-000006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600-000007000000}">
          <x14:formula1>
            <xm:f>'Lookup|Tables'!$G$25:$G$42</xm:f>
          </x14:formula1>
          <xm:sqref>F13 F15 F69:F70 F18 F21 F24 F27 F30 F32 F53:F61 F34 F63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</sheetPr>
  <dimension ref="A1:AU32"/>
  <sheetViews>
    <sheetView showGridLines="0" workbookViewId="0"/>
  </sheetViews>
  <sheetFormatPr defaultColWidth="0" defaultRowHeight="10.199999999999999" zeroHeight="1"/>
  <cols>
    <col min="1" max="2" width="1.46484375" style="232" customWidth="1"/>
    <col min="3" max="3" width="42" style="232" customWidth="1"/>
    <col min="4" max="4" width="27.6640625" style="233" customWidth="1"/>
    <col min="5" max="5" width="15.796875" style="233" customWidth="1"/>
    <col min="6" max="6" width="10.6640625" style="233" customWidth="1"/>
    <col min="7" max="9" width="3.33203125" style="233" customWidth="1"/>
    <col min="10" max="23" width="10.796875" style="232" customWidth="1"/>
    <col min="24" max="47" width="0" style="232" hidden="1" customWidth="1"/>
    <col min="48" max="16384" width="10.46484375" style="232" hidden="1"/>
  </cols>
  <sheetData>
    <row r="1" spans="1:47" s="192" customFormat="1" ht="15">
      <c r="B1" s="193" t="str">
        <f>Index!$B$1</f>
        <v>AER opex model</v>
      </c>
      <c r="C1" s="193"/>
      <c r="D1" s="193"/>
      <c r="E1" s="193"/>
      <c r="F1" s="194"/>
      <c r="G1" s="194"/>
      <c r="H1" s="194"/>
      <c r="I1" s="194"/>
      <c r="J1" s="195" t="s">
        <v>2</v>
      </c>
      <c r="L1" s="196" t="s">
        <v>3</v>
      </c>
      <c r="M1" s="197" t="s">
        <v>4</v>
      </c>
      <c r="N1" s="198" t="s">
        <v>5</v>
      </c>
      <c r="O1" s="199" t="s">
        <v>6</v>
      </c>
      <c r="R1" s="196" t="s">
        <v>87</v>
      </c>
      <c r="S1" s="200" t="str">
        <f>IF(COUNTA($W$4:$W$471)=COUNTIF($W$4:$W$461,"OK"),"OK","Check")</f>
        <v>OK</v>
      </c>
      <c r="U1" s="201" t="s">
        <v>24</v>
      </c>
      <c r="V1" s="200" t="str">
        <f>'Check|List'!$S$1</f>
        <v>Ok</v>
      </c>
    </row>
    <row r="2" spans="1:47" s="202" customFormat="1" ht="12.9" thickBot="1">
      <c r="B2" s="203" t="str">
        <f>Index!$C$13</f>
        <v>Output | Models</v>
      </c>
      <c r="C2" s="203"/>
      <c r="D2" s="203"/>
      <c r="E2" s="203"/>
      <c r="F2" s="204"/>
      <c r="G2" s="204"/>
      <c r="H2" s="204"/>
      <c r="I2" s="204"/>
    </row>
    <row r="3" spans="1:47" s="205" customFormat="1" ht="10.5">
      <c r="C3" s="206"/>
      <c r="D3" s="207"/>
      <c r="E3" s="207"/>
      <c r="F3" s="207"/>
      <c r="G3" s="207"/>
      <c r="H3" s="207"/>
      <c r="I3" s="207"/>
      <c r="J3" s="251"/>
      <c r="K3" s="251"/>
      <c r="L3" s="251"/>
      <c r="M3" s="207"/>
      <c r="N3" s="251"/>
      <c r="O3" s="251"/>
      <c r="P3" s="251"/>
      <c r="Q3" s="251"/>
      <c r="R3" s="251"/>
      <c r="S3" s="251"/>
      <c r="T3" s="208"/>
      <c r="U3" s="208"/>
      <c r="V3" s="208"/>
      <c r="W3" s="208"/>
      <c r="X3" s="208"/>
      <c r="Y3" s="208"/>
      <c r="Z3" s="208"/>
    </row>
    <row r="4" spans="1:47" s="220" customFormat="1">
      <c r="A4" s="209"/>
      <c r="B4" s="209"/>
      <c r="C4" s="209"/>
      <c r="D4" s="210" t="s">
        <v>7</v>
      </c>
      <c r="E4" s="210" t="s">
        <v>8</v>
      </c>
      <c r="F4" s="211" t="s">
        <v>22</v>
      </c>
      <c r="G4" s="212"/>
      <c r="H4" s="212"/>
      <c r="I4" s="212"/>
      <c r="J4" s="213">
        <f>'Input|General'!$G$8</f>
        <v>2015</v>
      </c>
      <c r="K4" s="213">
        <f ca="1">IF(OFFSET('Lookup|Tables'!$G$28:$G$43,MATCH('Input|General'!$G$8,'Lookup|Tables'!$G$28:$G$42,0)+1,0,1,1)&lt;='Input|General'!$G$12,OFFSET('Lookup|Tables'!$G$28:$G$43,MATCH('Input|General'!$G$8,'Lookup|Tables'!$G$28:$G$42,0),0,1,1),"")</f>
        <v>2016</v>
      </c>
      <c r="L4" s="213">
        <f ca="1">IF(OFFSET('Lookup|Tables'!$G$28:$G$43,MATCH('Input|General'!$G$8,'Lookup|Tables'!$G$28:$G$42,0)+1,0,1,1)&lt;='Input|General'!$G$12,OFFSET('Lookup|Tables'!$G$28:$G$43,MATCH('Input|General'!$G$8,'Lookup|Tables'!$G$28:$G$42,0)+1,0,1,1),"")</f>
        <v>2017</v>
      </c>
      <c r="M4" s="213">
        <f ca="1">IF(OFFSET('Lookup|Tables'!$G$28:$G$43,MATCH('Input|General'!$G$8,'Lookup|Tables'!$G$28:$G$42,0)+2,0,1,1)&lt;='Input|General'!$G$12,OFFSET('Lookup|Tables'!$G$28:$G$43,MATCH('Input|General'!$G$8,'Lookup|Tables'!$G$28:$G$42,0)+2,0,1,1),"")</f>
        <v>2018</v>
      </c>
      <c r="N4" s="213">
        <f ca="1">IF(OFFSET('Lookup|Tables'!$G$28:$G$43,MATCH('Input|General'!$G$8,'Lookup|Tables'!$G$28:$G$42,0)+3,0,1,1)&lt;='Input|General'!$G$12,OFFSET('Lookup|Tables'!$G$28:$G$43,MATCH('Input|General'!$G$8,'Lookup|Tables'!$G$28:$G$42,0)+3,0,1,1),"")</f>
        <v>2019</v>
      </c>
      <c r="O4" s="213">
        <f ca="1">IF(OFFSET('Lookup|Tables'!$G$28:$G$43,MATCH('Input|General'!$G$8,'Lookup|Tables'!$G$28:$G$42,0)+4,0,1,1)&lt;='Input|General'!$G$12,OFFSET('Lookup|Tables'!$G$28:$G$43,MATCH('Input|General'!$G$8,'Lookup|Tables'!$G$28:$G$42,0)+4,0,1,1),"")</f>
        <v>2020</v>
      </c>
      <c r="P4" s="213">
        <f ca="1">IF(OFFSET('Lookup|Tables'!$G$28:$G$43,MATCH('Input|General'!$G$8,'Lookup|Tables'!$G$28:$G$42,0)+5,0,1,1)&lt;='Input|General'!$G$12,OFFSET('Lookup|Tables'!$G$28:$G$43,MATCH('Input|General'!$G$8,'Lookup|Tables'!$G$28:$G$42,0)+5,0,1,1),"")</f>
        <v>2021</v>
      </c>
      <c r="Q4" s="213">
        <f ca="1">IF(OFFSET('Lookup|Tables'!$G$28:$G$43,MATCH('Input|General'!$G$8,'Lookup|Tables'!$G$28:$G$42,0)+6,0,1,1)&lt;='Input|General'!$G$12,OFFSET('Lookup|Tables'!$G$28:$G$43,MATCH('Input|General'!$G$8,'Lookup|Tables'!$G$28:$G$42,0)+6,0,1,1),"")</f>
        <v>2022</v>
      </c>
      <c r="R4" s="213">
        <f ca="1">IF(OFFSET('Lookup|Tables'!$G$28:$G$43,MATCH('Input|General'!$G$8,'Lookup|Tables'!$G$28:$G$42,0)+7,0,1,1)&lt;='Input|General'!$G$12,OFFSET('Lookup|Tables'!$G$28:$G$43,MATCH('Input|General'!$G$8,'Lookup|Tables'!$G$28:$G$42,0)+7,0,1,1),"")</f>
        <v>2023</v>
      </c>
      <c r="S4" s="213">
        <f ca="1">IF(OFFSET('Lookup|Tables'!$G$28:$G$43,MATCH('Input|General'!$G$8,'Lookup|Tables'!$G$28:$G$42,0)+8,0,1,1)&lt;='Input|General'!$G$12,OFFSET('Lookup|Tables'!$G$28:$G$43,MATCH('Input|General'!$G$8,'Lookup|Tables'!$G$28:$G$42,0)+8,0,1,1),"")</f>
        <v>2024</v>
      </c>
      <c r="T4" s="214"/>
      <c r="U4" s="214"/>
      <c r="V4" s="215"/>
      <c r="W4" s="215"/>
      <c r="X4" s="216"/>
      <c r="Y4" s="216"/>
      <c r="Z4" s="216"/>
      <c r="AA4" s="216"/>
      <c r="AB4" s="217"/>
      <c r="AC4" s="218"/>
      <c r="AD4" s="218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</row>
    <row r="5" spans="1:47" s="221" customFormat="1" ht="3" customHeight="1">
      <c r="D5" s="222"/>
      <c r="E5" s="222"/>
      <c r="F5" s="222"/>
      <c r="G5" s="222"/>
      <c r="H5" s="222"/>
      <c r="I5" s="222"/>
    </row>
    <row r="6" spans="1:47" s="221" customFormat="1" ht="9" customHeight="1">
      <c r="D6" s="222"/>
      <c r="E6" s="222"/>
      <c r="F6" s="222"/>
      <c r="G6" s="222"/>
      <c r="H6" s="222"/>
      <c r="I6" s="222"/>
    </row>
    <row r="7" spans="1:47" s="221" customFormat="1" ht="3" customHeight="1">
      <c r="D7" s="222"/>
      <c r="E7" s="222"/>
      <c r="F7" s="222"/>
      <c r="G7" s="222"/>
      <c r="H7" s="222"/>
      <c r="I7" s="222"/>
    </row>
    <row r="8" spans="1:47" s="231" customFormat="1" ht="12.3">
      <c r="A8" s="223"/>
      <c r="B8" s="224" t="s">
        <v>58</v>
      </c>
      <c r="C8" s="223"/>
      <c r="D8" s="223"/>
      <c r="E8" s="225" t="s">
        <v>15</v>
      </c>
      <c r="F8" s="226">
        <v>2019</v>
      </c>
      <c r="G8" s="227"/>
      <c r="H8" s="227"/>
      <c r="I8" s="227"/>
      <c r="J8" s="228" t="s">
        <v>59</v>
      </c>
      <c r="K8" s="229"/>
      <c r="L8" s="230"/>
      <c r="M8" s="229"/>
      <c r="N8" s="230"/>
      <c r="O8" s="230"/>
      <c r="P8" s="230"/>
      <c r="Q8" s="230"/>
      <c r="R8" s="230"/>
      <c r="S8" s="230"/>
      <c r="T8" s="230"/>
      <c r="U8" s="230"/>
      <c r="V8" s="229"/>
      <c r="W8" s="229"/>
    </row>
    <row r="9" spans="1:47" ht="4.5" customHeight="1"/>
    <row r="10" spans="1:47">
      <c r="M10" s="234"/>
      <c r="N10" s="234"/>
      <c r="O10" s="234"/>
      <c r="P10" s="234"/>
      <c r="Q10" s="234"/>
      <c r="R10" s="234"/>
      <c r="S10" s="234"/>
    </row>
    <row r="11" spans="1:47" ht="10.5">
      <c r="C11" s="235" t="s">
        <v>45</v>
      </c>
      <c r="D11" s="236" t="s">
        <v>7</v>
      </c>
      <c r="E11" s="236" t="s">
        <v>8</v>
      </c>
      <c r="F11" s="236" t="s">
        <v>22</v>
      </c>
      <c r="H11" s="236"/>
      <c r="I11" s="236"/>
      <c r="J11" s="237" t="str">
        <f>IF(RIGHT(J$4,2)&gt;=RIGHT('Input|General'!$G$11,2),IF(RIGHT(J$4,2)&lt;=RIGHT('Input|General'!$G$12,2),J$4,""),"")</f>
        <v/>
      </c>
      <c r="K11" s="237" t="str">
        <f ca="1">IF(RIGHT(K$4,2)&gt;=RIGHT('Input|General'!$G$11,2),IF(RIGHT(K$4,2)&lt;=RIGHT('Input|General'!$G$12,2),K$4,""),"")</f>
        <v/>
      </c>
      <c r="L11" s="237" t="str">
        <f ca="1">IF(RIGHT(L$4,2)&gt;=RIGHT('Input|General'!$G$11,2),IF(RIGHT(L$4,2)&lt;=RIGHT('Input|General'!$G$12,2),L$4,""),"")</f>
        <v/>
      </c>
      <c r="M11" s="237" t="str">
        <f ca="1">IF(RIGHT(M$4,2)&gt;=RIGHT('Input|General'!$G$11,2),IF(RIGHT(M$4,2)&lt;=RIGHT('Input|General'!$G$12,2),M$4,""),"")</f>
        <v/>
      </c>
      <c r="N11" s="237" t="str">
        <f ca="1">IF(RIGHT(N$4,2)&gt;=RIGHT('Input|General'!$G$11,2),IF(RIGHT(N$4,2)&lt;=RIGHT('Input|General'!$G$12,2),N$4,""),"")</f>
        <v/>
      </c>
      <c r="O11" s="237">
        <f ca="1">IF(RIGHT(O$4,2)&gt;=RIGHT('Input|General'!$G$11,2),IF(RIGHT(O$4,2)&lt;=RIGHT('Input|General'!$G$12,2),O$4,""),"")</f>
        <v>2020</v>
      </c>
      <c r="P11" s="237">
        <f ca="1">IF(RIGHT(P$4,2)&gt;=RIGHT('Input|General'!$G$11,2),IF(RIGHT(P$4,2)&lt;=RIGHT('Input|General'!$G$12,2),P$4,""),"")</f>
        <v>2021</v>
      </c>
      <c r="Q11" s="237">
        <f ca="1">IF(RIGHT(Q$4,2)&gt;=RIGHT('Input|General'!$G$11,2),IF(RIGHT(Q$4,2)&lt;=RIGHT('Input|General'!$G$12,2),Q$4,""),"")</f>
        <v>2022</v>
      </c>
      <c r="R11" s="237">
        <f ca="1">IF(RIGHT(R$4,2)&gt;=RIGHT('Input|General'!$G$11,2),IF(RIGHT(R$4,2)&lt;=RIGHT('Input|General'!$G$12,2),R$4,""),"")</f>
        <v>2023</v>
      </c>
      <c r="S11" s="237">
        <f ca="1">IF(RIGHT(S$4,2)&gt;=RIGHT('Input|General'!$G$11,2),IF(RIGHT(S$4,2)&lt;=RIGHT('Input|General'!$G$12,2),S$4,""),"")</f>
        <v>2024</v>
      </c>
      <c r="U11" s="238" t="s">
        <v>56</v>
      </c>
      <c r="V11" s="239"/>
      <c r="W11" s="239"/>
    </row>
    <row r="12" spans="1:47">
      <c r="C12" s="240" t="s">
        <v>57</v>
      </c>
      <c r="D12" s="241" t="s">
        <v>112</v>
      </c>
      <c r="E12" s="233" t="str">
        <f>$E$8</f>
        <v>$millions</v>
      </c>
      <c r="F12" s="242">
        <f>$F$8</f>
        <v>2019</v>
      </c>
      <c r="H12" s="236"/>
      <c r="I12" s="236"/>
      <c r="J12" s="243">
        <f>IF(J11="",0,'Calc|Opex forecast'!J69*IF('Calc|Opex forecast'!$F$69="nominal",LOOKUP($F12,Nominal_to_Real,'Input|Rate of change'!P$25:P$30),INDEX('Input|Rate of change'!$C$14:$O$21,MATCH('Calc|Opex forecast'!$F$69,'Input|Rate of change'!$C$14:$C$21,0),MATCH('Output|Models'!$F12,'Input|Rate of change'!$C$14:$O$14,0)))*IF('Calc|Opex forecast'!$E$69="$millions",1000000,IF('Output|Models'!B47="$000",1000,1))/IF($E12="$millions",1000000,IF($E12="$000",1000,1)))</f>
        <v>0</v>
      </c>
      <c r="K12" s="243">
        <f ca="1">IF(K11="",0,'Calc|Opex forecast'!K69*IF('Calc|Opex forecast'!$F$69="nominal",LOOKUP($F12,Nominal_to_Real,'Input|Rate of change'!Q$25:Q$30),INDEX('Input|Rate of change'!$C$14:$O$21,MATCH('Calc|Opex forecast'!$F$69,'Input|Rate of change'!$C$14:$C$21,0),MATCH('Output|Models'!$F12,'Input|Rate of change'!$C$14:$O$14,0)))*IF('Calc|Opex forecast'!$E$69="$millions",1000000,IF('Output|Models'!C47="$000",1000,1))/IF($E12="$millions",1000000,IF($E12="$000",1000,1)))</f>
        <v>0</v>
      </c>
      <c r="L12" s="243">
        <f ca="1">IF(L11="",0,'Calc|Opex forecast'!L69*IF('Calc|Opex forecast'!$F$69="nominal",LOOKUP($F12,Nominal_to_Real,'Input|Rate of change'!R$25:R$30),INDEX('Input|Rate of change'!$C$14:$O$21,MATCH('Calc|Opex forecast'!$F$69,'Input|Rate of change'!$C$14:$C$21,0),MATCH('Output|Models'!$F12,'Input|Rate of change'!$C$14:$O$14,0)))*IF('Calc|Opex forecast'!$E$69="$millions",1000000,IF('Output|Models'!D47="$000",1000,1))/IF($E12="$millions",1000000,IF($E12="$000",1000,1)))</f>
        <v>0</v>
      </c>
      <c r="M12" s="243">
        <f ca="1">IF(M11="",0,'Calc|Opex forecast'!M69*IF('Calc|Opex forecast'!$F$69="nominal",LOOKUP($F12,Nominal_to_Real,'Input|Rate of change'!S$25:S$30),INDEX('Input|Rate of change'!$C$14:$O$21,MATCH('Calc|Opex forecast'!$F$69,'Input|Rate of change'!$C$14:$C$21,0),MATCH('Output|Models'!$F12,'Input|Rate of change'!$C$14:$O$14,0)))*IF('Calc|Opex forecast'!$E$69="$millions",1000000,IF('Output|Models'!E47="$000",1000,1))/IF($E12="$millions",1000000,IF($E12="$000",1000,1)))</f>
        <v>0</v>
      </c>
      <c r="N12" s="243">
        <f ca="1">IF(N11="",0,'Calc|Opex forecast'!N69*IF('Calc|Opex forecast'!$F$69="nominal",LOOKUP($F12,Nominal_to_Real,'Input|Rate of change'!T$25:T$30),INDEX('Input|Rate of change'!$C$14:$O$21,MATCH('Calc|Opex forecast'!$F$69,'Input|Rate of change'!$C$14:$C$21,0),MATCH('Output|Models'!$F12,'Input|Rate of change'!$C$14:$O$14,0)))*IF('Calc|Opex forecast'!$E$69="$millions",1000000,IF('Output|Models'!F47="$000",1000,1))/IF($E12="$millions",1000000,IF($E12="$000",1000,1)))</f>
        <v>0</v>
      </c>
      <c r="O12" s="243">
        <f ca="1">IF(O11="",0,'Calc|Opex forecast'!O69*IF('Calc|Opex forecast'!$F$69="nominal",LOOKUP($F12,Nominal_to_Real,'Input|Rate of change'!U$25:U$30),INDEX('Input|Rate of change'!$C$14:$O$21,MATCH('Calc|Opex forecast'!$F$69,'Input|Rate of change'!$C$14:$C$21,0),MATCH('Output|Models'!$F12,'Input|Rate of change'!$C$14:$O$14,0)))*IF('Calc|Opex forecast'!$E$69="$millions",1000000,IF('Output|Models'!G47="$000",1000,1))/IF($E12="$millions",1000000,IF($E12="$000",1000,1)))</f>
        <v>4.9776682673268287</v>
      </c>
      <c r="P12" s="243">
        <f ca="1">IF(P11="",0,'Calc|Opex forecast'!P69*IF('Calc|Opex forecast'!$F$69="nominal",LOOKUP($F12,Nominal_to_Real,'Input|Rate of change'!V$25:V$30),INDEX('Input|Rate of change'!$C$14:$O$21,MATCH('Calc|Opex forecast'!$F$69,'Input|Rate of change'!$C$14:$C$21,0),MATCH('Output|Models'!$F12,'Input|Rate of change'!$C$14:$O$14,0)))*IF('Calc|Opex forecast'!$E$69="$millions",1000000,IF('Output|Models'!H47="$000",1000,1))/IF($E12="$millions",1000000,IF($E12="$000",1000,1)))</f>
        <v>4.9094661920391092</v>
      </c>
      <c r="Q12" s="243">
        <f ca="1">IF(Q11="",0,'Calc|Opex forecast'!Q69*IF('Calc|Opex forecast'!$F$69="nominal",LOOKUP($F12,Nominal_to_Real,'Input|Rate of change'!W$25:W$30),INDEX('Input|Rate of change'!$C$14:$O$21,MATCH('Calc|Opex forecast'!$F$69,'Input|Rate of change'!$C$14:$C$21,0),MATCH('Output|Models'!$F12,'Input|Rate of change'!$C$14:$O$14,0)))*IF('Calc|Opex forecast'!$E$69="$millions",1000000,IF('Output|Models'!I47="$000",1000,1))/IF($E12="$millions",1000000,IF($E12="$000",1000,1)))</f>
        <v>4.844971992093301</v>
      </c>
      <c r="R12" s="243">
        <f ca="1">IF(R11="",0,'Calc|Opex forecast'!R69*IF('Calc|Opex forecast'!$F$69="nominal",LOOKUP($F12,Nominal_to_Real,'Input|Rate of change'!X$25:X$30),INDEX('Input|Rate of change'!$C$14:$O$21,MATCH('Calc|Opex forecast'!$F$69,'Input|Rate of change'!$C$14:$C$21,0),MATCH('Output|Models'!$F12,'Input|Rate of change'!$C$14:$O$14,0)))*IF('Calc|Opex forecast'!$E$69="$millions",1000000,IF('Output|Models'!J47="$000",1000,1))/IF($E12="$millions",1000000,IF($E12="$000",1000,1)))</f>
        <v>4.7703221671777847</v>
      </c>
      <c r="S12" s="243">
        <f ca="1">IF(S11="",0,'Calc|Opex forecast'!S69*IF('Calc|Opex forecast'!$F$69="nominal",LOOKUP($F12,Nominal_to_Real,'Input|Rate of change'!Y$25:Y$30),INDEX('Input|Rate of change'!$C$14:$O$21,MATCH('Calc|Opex forecast'!$F$69,'Input|Rate of change'!$C$14:$C$21,0),MATCH('Output|Models'!$F12,'Input|Rate of change'!$C$14:$O$14,0)))*IF('Calc|Opex forecast'!$E$69="$millions",1000000,IF('Output|Models'!K47="$000",1000,1))/IF($E12="$millions",1000000,IF($E12="$000",1000,1)))</f>
        <v>4.6961110061157152</v>
      </c>
      <c r="T12" s="240"/>
      <c r="U12" s="244"/>
    </row>
    <row r="13" spans="1:47" ht="10.5">
      <c r="C13" s="240"/>
      <c r="D13" s="241"/>
      <c r="H13" s="236"/>
      <c r="I13" s="236"/>
      <c r="N13" s="245"/>
      <c r="S13" s="246">
        <f ca="1">SUM(O12:S12)</f>
        <v>24.19853962475274</v>
      </c>
    </row>
    <row r="14" spans="1:47">
      <c r="D14" s="241"/>
      <c r="H14" s="236"/>
      <c r="I14" s="236"/>
      <c r="N14" s="245"/>
      <c r="O14" s="245"/>
      <c r="P14" s="245"/>
      <c r="Q14" s="245"/>
      <c r="R14" s="245"/>
      <c r="S14" s="245"/>
    </row>
    <row r="15" spans="1:47" s="231" customFormat="1" ht="12.3">
      <c r="A15" s="223"/>
      <c r="B15" s="224" t="s">
        <v>21</v>
      </c>
      <c r="C15" s="223"/>
      <c r="D15" s="223"/>
      <c r="E15" s="223"/>
      <c r="F15" s="227"/>
      <c r="G15" s="227"/>
      <c r="H15" s="227"/>
      <c r="I15" s="227"/>
      <c r="J15" s="230"/>
      <c r="K15" s="229"/>
      <c r="L15" s="230"/>
      <c r="M15" s="229"/>
      <c r="N15" s="230"/>
      <c r="O15" s="230"/>
      <c r="P15" s="230"/>
      <c r="Q15" s="230"/>
      <c r="R15" s="230"/>
      <c r="S15" s="230"/>
      <c r="T15" s="230"/>
      <c r="U15" s="230"/>
      <c r="V15" s="229"/>
      <c r="W15" s="229"/>
    </row>
    <row r="16" spans="1:47" hidden="1"/>
    <row r="17" spans="13:19" hidden="1"/>
    <row r="18" spans="13:19" hidden="1"/>
    <row r="19" spans="13:19" hidden="1"/>
    <row r="20" spans="13:19" hidden="1"/>
    <row r="21" spans="13:19" hidden="1">
      <c r="M21" s="247"/>
      <c r="N21" s="247"/>
      <c r="O21" s="247"/>
      <c r="P21" s="247"/>
      <c r="Q21" s="247"/>
      <c r="R21" s="247"/>
      <c r="S21" s="247"/>
    </row>
    <row r="22" spans="13:19" hidden="1"/>
    <row r="23" spans="13:19" hidden="1"/>
    <row r="24" spans="13:19" hidden="1"/>
    <row r="25" spans="13:19" hidden="1"/>
    <row r="26" spans="13:19" hidden="1"/>
    <row r="27" spans="13:19" hidden="1"/>
    <row r="28" spans="13:19" hidden="1"/>
    <row r="29" spans="13:19" hidden="1"/>
    <row r="30" spans="13:19" hidden="1"/>
    <row r="31" spans="13:19" hidden="1"/>
    <row r="32" spans="13:19" hidden="1"/>
  </sheetData>
  <mergeCells count="2">
    <mergeCell ref="J3:L3"/>
    <mergeCell ref="N3:S3"/>
  </mergeCells>
  <conditionalFormatting sqref="S1">
    <cfRule type="cellIs" dxfId="20" priority="4" operator="equal">
      <formula>"Check"</formula>
    </cfRule>
    <cfRule type="cellIs" dxfId="19" priority="5" operator="equal">
      <formula>"Ok"</formula>
    </cfRule>
  </conditionalFormatting>
  <conditionalFormatting sqref="V1">
    <cfRule type="cellIs" dxfId="18" priority="6" operator="equal">
      <formula>"Check"</formula>
    </cfRule>
    <cfRule type="cellIs" dxfId="17" priority="7" operator="equal">
      <formula>"Ok"</formula>
    </cfRule>
  </conditionalFormatting>
  <conditionalFormatting sqref="J12:S12">
    <cfRule type="cellIs" dxfId="16" priority="3" operator="equal">
      <formula>0</formula>
    </cfRule>
  </conditionalFormatting>
  <dataValidations count="2">
    <dataValidation type="list" allowBlank="1" showInputMessage="1" showErrorMessage="1" sqref="F13:F14" xr:uid="{00000000-0002-0000-0700-000000000000}">
      <formula1>#REF!</formula1>
    </dataValidation>
    <dataValidation type="list" allowBlank="1" showInputMessage="1" showErrorMessage="1" sqref="F12" xr:uid="{00000000-0002-0000-0700-000001000000}">
      <formula1>$G$17:$G$23</formula1>
    </dataValidation>
  </dataValidations>
  <hyperlinks>
    <hyperlink ref="J1" location="Index!A1" display="Back to Index" xr:uid="{00000000-0004-0000-0700-000000000000}"/>
    <hyperlink ref="D12" location="'Calc|Opex forecast'!A1" display="Calc | Opex forecast" xr:uid="{00000000-0004-0000-0700-000001000000}"/>
    <hyperlink ref="U1" location="'Check|List'!A1" display="Overall Check:" xr:uid="{00000000-0004-0000-0700-000002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'Lookup|Tables'!$G$25:$G$42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</sheetPr>
  <dimension ref="A1:XER51"/>
  <sheetViews>
    <sheetView showGridLines="0" workbookViewId="0"/>
  </sheetViews>
  <sheetFormatPr defaultColWidth="0" defaultRowHeight="10.199999999999999" zeroHeight="1"/>
  <cols>
    <col min="1" max="2" width="1.46484375" style="8" customWidth="1"/>
    <col min="3" max="3" width="42" style="8" customWidth="1"/>
    <col min="4" max="4" width="17" style="7" customWidth="1"/>
    <col min="5" max="5" width="15.796875" style="7" customWidth="1"/>
    <col min="6" max="6" width="10.6640625" style="7" customWidth="1"/>
    <col min="7" max="7" width="15" style="16" customWidth="1"/>
    <col min="8" max="9" width="5.33203125" style="8" customWidth="1"/>
    <col min="10" max="23" width="10.796875" style="8" customWidth="1"/>
    <col min="24" max="311" width="10.46484375" style="8" hidden="1" customWidth="1"/>
    <col min="312" max="16371" width="10.46484375" style="8" hidden="1"/>
    <col min="16372" max="16372" width="0" style="8" hidden="1"/>
    <col min="16373" max="16384" width="10.46484375" style="8" hidden="1"/>
  </cols>
  <sheetData>
    <row r="1" spans="1:47" s="38" customFormat="1" ht="1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76" t="s">
        <v>24</v>
      </c>
      <c r="V1" s="40" t="str">
        <f>'Check|List'!$S$1</f>
        <v>Ok</v>
      </c>
    </row>
    <row r="2" spans="1:47" s="38" customFormat="1" ht="12.6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3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124</v>
      </c>
      <c r="E10" s="16"/>
      <c r="F10" s="16"/>
      <c r="G10" s="52" t="s">
        <v>12</v>
      </c>
    </row>
    <row r="11" spans="1:47">
      <c r="C11" s="15" t="s">
        <v>13</v>
      </c>
      <c r="D11" s="181" t="s">
        <v>124</v>
      </c>
      <c r="E11" s="16"/>
      <c r="F11" s="16"/>
      <c r="G11" s="52" t="s">
        <v>20</v>
      </c>
    </row>
    <row r="12" spans="1:47">
      <c r="C12" s="15" t="s">
        <v>14</v>
      </c>
      <c r="D12" s="181" t="s">
        <v>124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81" t="s">
        <v>124</v>
      </c>
      <c r="E14" s="16"/>
      <c r="F14" s="16"/>
      <c r="G14" s="52" t="s">
        <v>31</v>
      </c>
    </row>
    <row r="15" spans="1:47">
      <c r="C15" s="15" t="s">
        <v>8</v>
      </c>
      <c r="D15" s="181" t="s">
        <v>124</v>
      </c>
      <c r="E15" s="16"/>
      <c r="F15" s="16"/>
      <c r="G15" s="52" t="s">
        <v>11</v>
      </c>
    </row>
    <row r="16" spans="1:47">
      <c r="C16" s="15" t="s">
        <v>17</v>
      </c>
      <c r="D16" s="181" t="s">
        <v>124</v>
      </c>
      <c r="E16" s="16"/>
      <c r="F16" s="16"/>
      <c r="G16" s="52" t="s">
        <v>18</v>
      </c>
    </row>
    <row r="17" spans="1:47">
      <c r="C17" s="15" t="s">
        <v>36</v>
      </c>
      <c r="D17" s="181" t="s">
        <v>124</v>
      </c>
      <c r="E17" s="16"/>
      <c r="F17" s="16"/>
      <c r="G17" s="52" t="s">
        <v>37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81" t="s">
        <v>124</v>
      </c>
      <c r="E19" s="16"/>
      <c r="F19" s="16"/>
      <c r="G19" s="52" t="s">
        <v>23</v>
      </c>
    </row>
    <row r="20" spans="1:47">
      <c r="C20" s="15" t="s">
        <v>80</v>
      </c>
      <c r="D20" s="181" t="s">
        <v>124</v>
      </c>
      <c r="E20" s="16"/>
      <c r="F20" s="16"/>
      <c r="G20" s="52" t="s">
        <v>80</v>
      </c>
    </row>
    <row r="21" spans="1:47">
      <c r="C21" s="15"/>
      <c r="D21" s="16"/>
      <c r="E21" s="16"/>
      <c r="F21" s="16"/>
      <c r="G21" s="8"/>
    </row>
    <row r="22" spans="1:47" customFormat="1" ht="12.3">
      <c r="A22" s="43"/>
      <c r="B22" s="51" t="s">
        <v>76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 ht="10.5">
      <c r="C24" s="13" t="str">
        <f>B22</f>
        <v>Years</v>
      </c>
      <c r="D24" s="21" t="s">
        <v>7</v>
      </c>
      <c r="E24" s="21"/>
      <c r="F24" s="14"/>
      <c r="G24" s="14" t="s">
        <v>9</v>
      </c>
      <c r="H24" s="14"/>
    </row>
    <row r="25" spans="1:47" ht="10.5">
      <c r="C25" s="15" t="s">
        <v>108</v>
      </c>
      <c r="D25" s="181" t="s">
        <v>124</v>
      </c>
      <c r="E25" s="16"/>
      <c r="F25" s="16"/>
      <c r="G25" s="52" t="s">
        <v>108</v>
      </c>
      <c r="H25" s="14"/>
    </row>
    <row r="26" spans="1:47" ht="10.5">
      <c r="C26" s="168">
        <v>2013</v>
      </c>
      <c r="D26" s="181" t="s">
        <v>124</v>
      </c>
      <c r="E26" s="16"/>
      <c r="F26" s="16"/>
      <c r="G26" s="167">
        <v>2013</v>
      </c>
      <c r="H26" s="14"/>
    </row>
    <row r="27" spans="1:47" ht="10.5">
      <c r="C27" s="168">
        <v>2014</v>
      </c>
      <c r="D27" s="181" t="s">
        <v>124</v>
      </c>
      <c r="E27" s="16"/>
      <c r="F27" s="16"/>
      <c r="G27" s="167">
        <v>2014</v>
      </c>
      <c r="H27" s="14"/>
    </row>
    <row r="28" spans="1:47">
      <c r="C28" s="168">
        <v>2015</v>
      </c>
      <c r="D28" s="181" t="s">
        <v>124</v>
      </c>
      <c r="E28" s="16"/>
      <c r="F28" s="16"/>
      <c r="G28" s="167">
        <v>2015</v>
      </c>
    </row>
    <row r="29" spans="1:47">
      <c r="C29" s="168">
        <v>2016</v>
      </c>
      <c r="D29" s="181" t="s">
        <v>124</v>
      </c>
      <c r="E29" s="16"/>
      <c r="F29" s="16"/>
      <c r="G29" s="167">
        <v>2016</v>
      </c>
    </row>
    <row r="30" spans="1:47">
      <c r="C30" s="168">
        <v>2017</v>
      </c>
      <c r="D30" s="181" t="s">
        <v>124</v>
      </c>
      <c r="E30" s="16"/>
      <c r="F30" s="16"/>
      <c r="G30" s="167">
        <v>2017</v>
      </c>
      <c r="T30" s="17"/>
    </row>
    <row r="31" spans="1:47">
      <c r="C31" s="168">
        <v>2018</v>
      </c>
      <c r="D31" s="181" t="s">
        <v>124</v>
      </c>
      <c r="E31" s="16"/>
      <c r="F31" s="16"/>
      <c r="G31" s="167">
        <v>2018</v>
      </c>
      <c r="T31" s="17"/>
    </row>
    <row r="32" spans="1:47">
      <c r="C32" s="168">
        <v>2019</v>
      </c>
      <c r="D32" s="181" t="s">
        <v>124</v>
      </c>
      <c r="E32" s="16"/>
      <c r="F32" s="16"/>
      <c r="G32" s="167">
        <v>2019</v>
      </c>
      <c r="T32" s="17"/>
    </row>
    <row r="33" spans="1:47">
      <c r="C33" s="168">
        <v>2020</v>
      </c>
      <c r="D33" s="181" t="s">
        <v>124</v>
      </c>
      <c r="E33" s="16"/>
      <c r="F33" s="16"/>
      <c r="G33" s="167">
        <v>2020</v>
      </c>
      <c r="T33" s="17"/>
    </row>
    <row r="34" spans="1:47">
      <c r="C34" s="168">
        <v>2021</v>
      </c>
      <c r="D34" s="181" t="s">
        <v>124</v>
      </c>
      <c r="E34" s="16"/>
      <c r="F34" s="16"/>
      <c r="G34" s="167">
        <v>2021</v>
      </c>
      <c r="T34" s="17"/>
    </row>
    <row r="35" spans="1:47">
      <c r="C35" s="168">
        <v>2022</v>
      </c>
      <c r="D35" s="181" t="s">
        <v>124</v>
      </c>
      <c r="E35" s="16"/>
      <c r="F35" s="16"/>
      <c r="G35" s="167">
        <v>2022</v>
      </c>
      <c r="T35" s="17"/>
    </row>
    <row r="36" spans="1:47">
      <c r="C36" s="168">
        <v>2023</v>
      </c>
      <c r="D36" s="181" t="s">
        <v>124</v>
      </c>
      <c r="E36" s="16"/>
      <c r="F36" s="16"/>
      <c r="G36" s="167">
        <v>2023</v>
      </c>
      <c r="T36" s="17"/>
    </row>
    <row r="37" spans="1:47">
      <c r="C37" s="168">
        <v>2024</v>
      </c>
      <c r="D37" s="181" t="s">
        <v>124</v>
      </c>
      <c r="E37" s="16"/>
      <c r="F37" s="16"/>
      <c r="G37" s="167">
        <v>2024</v>
      </c>
      <c r="T37" s="17"/>
    </row>
    <row r="38" spans="1:47">
      <c r="C38" s="168">
        <v>2025</v>
      </c>
      <c r="D38" s="181" t="s">
        <v>124</v>
      </c>
      <c r="E38" s="16"/>
      <c r="F38" s="16"/>
      <c r="G38" s="167">
        <v>2025</v>
      </c>
      <c r="T38" s="17"/>
    </row>
    <row r="39" spans="1:47">
      <c r="C39" s="168">
        <v>2026</v>
      </c>
      <c r="D39" s="181" t="s">
        <v>124</v>
      </c>
      <c r="E39" s="16"/>
      <c r="F39" s="16"/>
      <c r="G39" s="167">
        <v>2026</v>
      </c>
      <c r="T39" s="17"/>
    </row>
    <row r="40" spans="1:47">
      <c r="C40" s="168">
        <v>2027</v>
      </c>
      <c r="D40" s="181" t="s">
        <v>124</v>
      </c>
      <c r="E40" s="16"/>
      <c r="F40" s="16"/>
      <c r="G40" s="167">
        <v>2027</v>
      </c>
      <c r="T40" s="17"/>
    </row>
    <row r="41" spans="1:47">
      <c r="C41" s="168">
        <v>2028</v>
      </c>
      <c r="D41" s="181" t="s">
        <v>124</v>
      </c>
      <c r="E41" s="16"/>
      <c r="F41" s="16"/>
      <c r="G41" s="167">
        <v>2028</v>
      </c>
      <c r="T41" s="17"/>
    </row>
    <row r="42" spans="1:47">
      <c r="C42" s="168">
        <v>2029</v>
      </c>
      <c r="D42" s="181" t="s">
        <v>124</v>
      </c>
      <c r="E42" s="16"/>
      <c r="F42" s="16"/>
      <c r="G42" s="167">
        <v>2029</v>
      </c>
      <c r="T42" s="17"/>
    </row>
    <row r="43" spans="1:47"/>
    <row r="44" spans="1:47" customFormat="1" ht="12.3">
      <c r="A44" s="43"/>
      <c r="B44" s="51" t="s">
        <v>21</v>
      </c>
      <c r="C44" s="43"/>
      <c r="D44" s="43"/>
      <c r="E44" s="43"/>
      <c r="F44" s="44"/>
      <c r="G44" s="44"/>
      <c r="H44" s="44"/>
      <c r="I44" s="44"/>
      <c r="J44" s="45"/>
      <c r="K44" s="46"/>
      <c r="L44" s="45"/>
      <c r="M44" s="46"/>
      <c r="N44" s="45"/>
      <c r="O44" s="45"/>
      <c r="P44" s="45"/>
      <c r="Q44" s="45"/>
      <c r="R44" s="45"/>
      <c r="S44" s="45"/>
      <c r="T44" s="45"/>
      <c r="U44" s="45"/>
      <c r="V44" s="46"/>
      <c r="W44" s="46"/>
      <c r="X44" s="47"/>
      <c r="Y44" s="47"/>
      <c r="Z44" s="47"/>
      <c r="AA44" s="47"/>
      <c r="AB44" s="48"/>
      <c r="AC44" s="49"/>
      <c r="AD44" s="49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</row>
    <row r="45" spans="1:47" hidden="1"/>
    <row r="46" spans="1:47" hidden="1"/>
    <row r="47" spans="1:47" hidden="1"/>
    <row r="48" spans="1:47" hidden="1"/>
    <row r="49" hidden="1"/>
    <row r="50" hidden="1"/>
    <row r="51" hidden="1"/>
  </sheetData>
  <conditionalFormatting sqref="P14:Q21">
    <cfRule type="expression" dxfId="15" priority="54" stopIfTrue="1">
      <formula>#REF!="Actual"</formula>
    </cfRule>
  </conditionalFormatting>
  <conditionalFormatting sqref="P14:P21">
    <cfRule type="expression" dxfId="14" priority="53" stopIfTrue="1">
      <formula>#REF!="Actual"</formula>
    </cfRule>
  </conditionalFormatting>
  <conditionalFormatting sqref="P43">
    <cfRule type="expression" dxfId="13" priority="51" stopIfTrue="1">
      <formula>#REF!="Actual"</formula>
    </cfRule>
  </conditionalFormatting>
  <conditionalFormatting sqref="Q43">
    <cfRule type="expression" dxfId="12" priority="48" stopIfTrue="1">
      <formula>#REF!="Actual"</formula>
    </cfRule>
  </conditionalFormatting>
  <conditionalFormatting sqref="V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S1">
    <cfRule type="cellIs" dxfId="9" priority="1" operator="equal">
      <formula>"Check"</formula>
    </cfRule>
    <cfRule type="cellIs" dxfId="8" priority="2" operator="equal">
      <formula>"Ok"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</sheetPr>
  <dimension ref="A1:AU23"/>
  <sheetViews>
    <sheetView showGridLines="0" workbookViewId="0"/>
  </sheetViews>
  <sheetFormatPr defaultColWidth="0" defaultRowHeight="10.199999999999999" zeroHeight="1"/>
  <cols>
    <col min="1" max="2" width="1.46484375" style="8" customWidth="1"/>
    <col min="3" max="3" width="42" style="8" customWidth="1"/>
    <col min="4" max="4" width="20.33203125" style="7" bestFit="1" customWidth="1"/>
    <col min="5" max="5" width="15.796875" style="7" customWidth="1"/>
    <col min="6" max="6" width="10.6640625" style="7" customWidth="1"/>
    <col min="7" max="7" width="15" style="16" customWidth="1"/>
    <col min="8" max="9" width="5.33203125" style="8" customWidth="1"/>
    <col min="10" max="20" width="10.796875" style="8" customWidth="1"/>
    <col min="21" max="23" width="10.796875" style="8" hidden="1" customWidth="1"/>
    <col min="24" max="38" width="10.46484375" style="8" hidden="1" customWidth="1"/>
    <col min="39" max="16384" width="10.46484375" style="8" hidden="1"/>
  </cols>
  <sheetData>
    <row r="1" spans="1:47" s="38" customFormat="1" ht="1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76" t="s">
        <v>24</v>
      </c>
      <c r="S1" s="40" t="str">
        <f>IF(COUNTIF(G10:G15,"Check")=0,"Ok","Check")</f>
        <v>Ok</v>
      </c>
      <c r="U1" s="39"/>
      <c r="V1" s="40"/>
    </row>
    <row r="2" spans="1:47" s="38" customFormat="1" ht="12.6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3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 ht="10.5">
      <c r="C10" s="15" t="str">
        <f>Index!C7</f>
        <v>Input | General</v>
      </c>
      <c r="D10" s="34" t="str">
        <f t="shared" ref="D10:D15" si="0"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 ht="10.5">
      <c r="C11" s="15" t="str">
        <f>Index!C9</f>
        <v>Input | Reported opex</v>
      </c>
      <c r="D11" s="34" t="str">
        <f t="shared" si="0"/>
        <v>Input | Reported opex</v>
      </c>
      <c r="E11" s="16" t="s">
        <v>28</v>
      </c>
      <c r="G11" s="18" t="str">
        <f>'Input|Reported opex'!S1</f>
        <v>OK</v>
      </c>
      <c r="H11" s="16"/>
      <c r="T11" s="17"/>
    </row>
    <row r="12" spans="1:47" ht="10.5">
      <c r="C12" s="15" t="str">
        <f>Index!C10</f>
        <v>Input | Rate of change</v>
      </c>
      <c r="D12" s="34" t="str">
        <f t="shared" si="0"/>
        <v>Input | Rate of change</v>
      </c>
      <c r="E12" s="16" t="s">
        <v>28</v>
      </c>
      <c r="F12" s="16"/>
      <c r="G12" s="18" t="str">
        <f>'Input|Rate of change'!T1</f>
        <v>Ok</v>
      </c>
      <c r="H12" s="16"/>
      <c r="T12" s="17"/>
    </row>
    <row r="13" spans="1:47" ht="10.5">
      <c r="C13" s="15" t="str">
        <f>Index!C11</f>
        <v>Input | Step changes</v>
      </c>
      <c r="D13" s="34" t="str">
        <f t="shared" si="0"/>
        <v>Input | Step changes</v>
      </c>
      <c r="E13" s="16" t="s">
        <v>28</v>
      </c>
      <c r="F13" s="16"/>
      <c r="G13" s="18" t="str">
        <f>'Input|Step changes'!S1</f>
        <v>OK</v>
      </c>
      <c r="H13" s="16"/>
      <c r="T13" s="17"/>
    </row>
    <row r="14" spans="1:47" ht="10.5">
      <c r="C14" s="15" t="str">
        <f>Index!C12</f>
        <v>Calc | Opex Forecast</v>
      </c>
      <c r="D14" s="34" t="str">
        <f t="shared" si="0"/>
        <v>Calc | Opex Forecast</v>
      </c>
      <c r="E14" s="16" t="s">
        <v>28</v>
      </c>
      <c r="F14" s="16"/>
      <c r="G14" s="18" t="str">
        <f>'Calc|Opex forecast'!S1</f>
        <v>n/a</v>
      </c>
      <c r="H14" s="16"/>
      <c r="T14" s="17"/>
    </row>
    <row r="15" spans="1:47" ht="10.5">
      <c r="C15" s="15" t="str">
        <f>Index!C13</f>
        <v>Output | Models</v>
      </c>
      <c r="D15" s="34" t="str">
        <f t="shared" si="0"/>
        <v>Output | Models</v>
      </c>
      <c r="E15" s="16" t="s">
        <v>28</v>
      </c>
      <c r="F15" s="16"/>
      <c r="G15" s="18" t="str">
        <f>'Output|Models'!S1</f>
        <v>OK</v>
      </c>
      <c r="H15" s="16"/>
      <c r="T15" s="17"/>
    </row>
    <row r="16" spans="1:47">
      <c r="C16" s="15"/>
    </row>
    <row r="17" spans="1:47" customFormat="1" ht="12.3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C18" s="15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/>
    <row r="23" spans="1:47" hidden="1"/>
  </sheetData>
  <conditionalFormatting sqref="G10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1:G15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1" location="'Input|Reported opex'!A1" display="'Input|Reported opex'!A1" xr:uid="{00000000-0004-0000-0900-000002000000}"/>
    <hyperlink ref="D12" location="'Input|Rate of change'!A1" display="'Input|Rate of change'!A1" xr:uid="{00000000-0004-0000-0900-000003000000}"/>
    <hyperlink ref="D13" location="'Input|Step changes'!A1" display="'Input|Step changes'!A1" xr:uid="{00000000-0004-0000-0900-000004000000}"/>
    <hyperlink ref="D14" location="'Calc|Opex Forecast'!A1" display="'Calc|Opex Forecast'!A1" xr:uid="{00000000-0004-0000-0900-000005000000}"/>
    <hyperlink ref="D15" location="'Output|Models'!A1" display="'Output|Models'!A1" xr:uid="{00000000-0004-0000-0900-000006000000}"/>
    <hyperlink ref="R1" location="'Check|List'!A1" display="Overall Check:" xr:uid="{00000000-0004-0000-0900-000007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A3B04C24F8D74DBE21978B58C569F6" ma:contentTypeVersion="4" ma:contentTypeDescription="Create a new document." ma:contentTypeScope="" ma:versionID="adc0807dace506080b80eaaea3507f1c">
  <xsd:schema xmlns:xsd="http://www.w3.org/2001/XMLSchema" xmlns:xs="http://www.w3.org/2001/XMLSchema" xmlns:p="http://schemas.microsoft.com/office/2006/metadata/properties" xmlns:ns2="4eb6023d-658b-4527-be73-24b0518f0bf9" xmlns:ns3="7aa583b4-7878-4620-ad4f-d1b586498304" targetNamespace="http://schemas.microsoft.com/office/2006/metadata/properties" ma:root="true" ma:fieldsID="a11288c608cf05ce5d6a34290543d294" ns2:_="" ns3:_="">
    <xsd:import namespace="4eb6023d-658b-4527-be73-24b0518f0bf9"/>
    <xsd:import namespace="7aa583b4-7878-4620-ad4f-d1b58649830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6023d-658b-4527-be73-24b0518f0b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583b4-7878-4620-ad4f-d1b5864983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314077-DEEE-41DD-8631-800ECB9287A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4eb6023d-658b-4527-be73-24b0518f0bf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aa583b4-7878-4620-ad4f-d1b58649830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27746F9-C0DE-419D-B9AC-1B8F62C0FC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81F9E0-3D1D-4669-BF1C-7ABA546A16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b6023d-658b-4527-be73-24b0518f0bf9"/>
    <ds:schemaRef ds:uri="7aa583b4-7878-4620-ad4f-d1b586498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dollars</vt:lpstr>
      <vt:lpstr>factor</vt:lpstr>
      <vt:lpstr>millions</vt:lpstr>
      <vt:lpstr>Nominal_to_Real</vt:lpstr>
      <vt:lpstr>number</vt:lpstr>
      <vt:lpstr>percent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2017-07-03T01:52:37Z</dcterms:created>
  <dcterms:modified xsi:type="dcterms:W3CDTF">2018-03-15T06:12:46Z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0x0101003BA3B04C24F8D74DBE21978B58C569F6</vt:lpwstr>
  </property>
</Properties>
</file>