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065" yWindow="1080" windowWidth="18690" windowHeight="10470" tabRatio="685" activeTab="8"/>
  </bookViews>
  <sheets>
    <sheet name="Formats" sheetId="9" r:id="rId1"/>
    <sheet name="Inputs" sheetId="10" r:id="rId2"/>
    <sheet name="LRMC - Demand" sheetId="13" r:id="rId3"/>
    <sheet name="LRMC - Augex" sheetId="15" r:id="rId4"/>
    <sheet name="Selection" sheetId="4" r:id="rId5"/>
    <sheet name="Avoided cost" sheetId="1" r:id="rId6"/>
    <sheet name="SAC - VPN" sheetId="8" r:id="rId7"/>
    <sheet name="LRMC" sheetId="16" r:id="rId8"/>
    <sheet name="Summary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Augex'!$A$5:$AH$406</definedName>
    <definedName name="_xlnm._FilterDatabase" localSheetId="4" hidden="1">Selection!$B$89:$C$133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Summary!$A$1:$E$46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45621"/>
</workbook>
</file>

<file path=xl/calcChain.xml><?xml version="1.0" encoding="utf-8"?>
<calcChain xmlns="http://schemas.openxmlformats.org/spreadsheetml/2006/main">
  <c r="I125" i="10" l="1"/>
  <c r="I191" i="10" l="1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190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35" i="10"/>
  <c r="I106" i="10"/>
  <c r="I107" i="10"/>
  <c r="I108" i="10"/>
  <c r="I109" i="10"/>
  <c r="I110" i="10"/>
  <c r="I111" i="10"/>
  <c r="I112" i="10"/>
  <c r="I113" i="10"/>
  <c r="I114" i="10"/>
  <c r="I118" i="10"/>
  <c r="I119" i="10"/>
  <c r="I120" i="10"/>
  <c r="I121" i="10"/>
  <c r="I122" i="10"/>
  <c r="I123" i="10"/>
  <c r="I124" i="10"/>
  <c r="I127" i="10"/>
  <c r="I128" i="10"/>
  <c r="I129" i="10"/>
  <c r="I240" i="10" l="1"/>
  <c r="G130" i="10"/>
  <c r="G185" i="10"/>
  <c r="B210" i="10" l="1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61" i="10"/>
  <c r="C161" i="10"/>
  <c r="B162" i="10"/>
  <c r="C162" i="10"/>
  <c r="B163" i="10"/>
  <c r="C163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F19" i="10" l="1"/>
  <c r="G19" i="10" s="1"/>
  <c r="H19" i="10" s="1"/>
  <c r="I19" i="10" s="1"/>
  <c r="F18" i="10"/>
  <c r="G18" i="10" s="1"/>
  <c r="H18" i="10" s="1"/>
  <c r="I18" i="10" s="1"/>
  <c r="F17" i="10"/>
  <c r="G17" i="10" s="1"/>
  <c r="H17" i="10" s="1"/>
  <c r="I17" i="10" s="1"/>
  <c r="F16" i="10"/>
  <c r="G16" i="10" s="1"/>
  <c r="H16" i="10" s="1"/>
  <c r="I16" i="10" s="1"/>
  <c r="F15" i="10"/>
  <c r="G15" i="10" s="1"/>
  <c r="H15" i="10" s="1"/>
  <c r="I15" i="10" s="1"/>
  <c r="F74" i="10" l="1"/>
  <c r="G74" i="10"/>
  <c r="E74" i="10"/>
  <c r="F72" i="10"/>
  <c r="I72" i="10"/>
  <c r="E72" i="10"/>
  <c r="G72" i="10"/>
  <c r="H74" i="10"/>
  <c r="I74" i="10"/>
  <c r="F66" i="10"/>
  <c r="G66" i="10" s="1"/>
  <c r="H66" i="10" s="1"/>
  <c r="I66" i="10" s="1"/>
  <c r="F65" i="10"/>
  <c r="G65" i="10" s="1"/>
  <c r="H65" i="10" s="1"/>
  <c r="I65" i="10" s="1"/>
  <c r="F64" i="10"/>
  <c r="G64" i="10" s="1"/>
  <c r="H64" i="10" s="1"/>
  <c r="I64" i="10" s="1"/>
  <c r="F63" i="10"/>
  <c r="G63" i="10" s="1"/>
  <c r="H63" i="10" s="1"/>
  <c r="I63" i="10" s="1"/>
  <c r="F62" i="10"/>
  <c r="G62" i="10" s="1"/>
  <c r="H62" i="10" s="1"/>
  <c r="I62" i="10" s="1"/>
  <c r="F61" i="10"/>
  <c r="G61" i="10" s="1"/>
  <c r="H61" i="10" s="1"/>
  <c r="I61" i="10" s="1"/>
  <c r="F60" i="10"/>
  <c r="G60" i="10" s="1"/>
  <c r="H60" i="10" s="1"/>
  <c r="I60" i="10" s="1"/>
  <c r="F59" i="10"/>
  <c r="G59" i="10" s="1"/>
  <c r="H59" i="10" s="1"/>
  <c r="I59" i="10" s="1"/>
  <c r="H72" i="10" l="1"/>
  <c r="C136" i="4" l="1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D185" i="10" l="1"/>
  <c r="D130" i="10"/>
  <c r="C89" i="4" l="1"/>
  <c r="D6" i="10"/>
  <c r="F49" i="10"/>
  <c r="G49" i="10" s="1"/>
  <c r="H49" i="10" s="1"/>
  <c r="I49" i="10" s="1"/>
  <c r="E8" i="16"/>
  <c r="F8" i="16"/>
  <c r="G8" i="16"/>
  <c r="H8" i="16"/>
  <c r="I8" i="16"/>
  <c r="J8" i="16"/>
  <c r="K8" i="16"/>
  <c r="L8" i="16"/>
  <c r="M8" i="16"/>
  <c r="E25" i="16"/>
  <c r="D25" i="16"/>
  <c r="E26" i="16"/>
  <c r="F25" i="16"/>
  <c r="F26" i="16"/>
  <c r="G25" i="16"/>
  <c r="G26" i="16"/>
  <c r="H25" i="16"/>
  <c r="H26" i="16"/>
  <c r="I25" i="16"/>
  <c r="I26" i="16"/>
  <c r="J25" i="16"/>
  <c r="J26" i="16"/>
  <c r="K25" i="16"/>
  <c r="K26" i="16"/>
  <c r="L25" i="16"/>
  <c r="L26" i="16"/>
  <c r="M25" i="16"/>
  <c r="M26" i="16"/>
  <c r="D8" i="16"/>
  <c r="E17" i="16"/>
  <c r="F17" i="16"/>
  <c r="G17" i="16"/>
  <c r="H17" i="16"/>
  <c r="I17" i="16"/>
  <c r="J17" i="16"/>
  <c r="K17" i="16"/>
  <c r="L17" i="16"/>
  <c r="M17" i="16"/>
  <c r="D34" i="16"/>
  <c r="E9" i="16"/>
  <c r="F9" i="16"/>
  <c r="G9" i="16"/>
  <c r="H9" i="16"/>
  <c r="I9" i="16"/>
  <c r="J9" i="16"/>
  <c r="K9" i="16"/>
  <c r="L9" i="16"/>
  <c r="M9" i="16"/>
  <c r="E27" i="16"/>
  <c r="F27" i="16"/>
  <c r="G27" i="16"/>
  <c r="H27" i="16"/>
  <c r="I27" i="16"/>
  <c r="J27" i="16"/>
  <c r="K27" i="16"/>
  <c r="L27" i="16"/>
  <c r="M27" i="16"/>
  <c r="D9" i="16"/>
  <c r="E18" i="16"/>
  <c r="F18" i="16"/>
  <c r="G18" i="16"/>
  <c r="H18" i="16"/>
  <c r="I18" i="16"/>
  <c r="J18" i="16"/>
  <c r="K18" i="16"/>
  <c r="L18" i="16"/>
  <c r="M18" i="16"/>
  <c r="D35" i="16"/>
  <c r="E10" i="16"/>
  <c r="F10" i="16"/>
  <c r="G10" i="16"/>
  <c r="H10" i="16"/>
  <c r="I10" i="16"/>
  <c r="J10" i="16"/>
  <c r="K10" i="16"/>
  <c r="L10" i="16"/>
  <c r="M10" i="16"/>
  <c r="E28" i="16"/>
  <c r="F28" i="16"/>
  <c r="G28" i="16"/>
  <c r="H28" i="16"/>
  <c r="I28" i="16"/>
  <c r="J28" i="16"/>
  <c r="K28" i="16"/>
  <c r="L28" i="16"/>
  <c r="M28" i="16"/>
  <c r="D10" i="16"/>
  <c r="E19" i="16"/>
  <c r="F19" i="16"/>
  <c r="G19" i="16"/>
  <c r="H19" i="16"/>
  <c r="I19" i="16"/>
  <c r="J19" i="16"/>
  <c r="K19" i="16"/>
  <c r="L19" i="16"/>
  <c r="M19" i="16"/>
  <c r="D36" i="16"/>
  <c r="E11" i="16"/>
  <c r="F11" i="16"/>
  <c r="G11" i="16"/>
  <c r="H11" i="16"/>
  <c r="I11" i="16"/>
  <c r="J11" i="16"/>
  <c r="K11" i="16"/>
  <c r="L11" i="16"/>
  <c r="M11" i="16"/>
  <c r="E29" i="16"/>
  <c r="F29" i="16"/>
  <c r="G29" i="16"/>
  <c r="H29" i="16"/>
  <c r="I29" i="16"/>
  <c r="J29" i="16"/>
  <c r="K29" i="16"/>
  <c r="L29" i="16"/>
  <c r="M29" i="16"/>
  <c r="D11" i="16"/>
  <c r="E20" i="16"/>
  <c r="F20" i="16"/>
  <c r="G20" i="16"/>
  <c r="H20" i="16"/>
  <c r="I20" i="16"/>
  <c r="J20" i="16"/>
  <c r="K20" i="16"/>
  <c r="L20" i="16"/>
  <c r="M20" i="16"/>
  <c r="D37" i="16"/>
  <c r="E12" i="16"/>
  <c r="F12" i="16"/>
  <c r="G12" i="16"/>
  <c r="H12" i="16"/>
  <c r="I12" i="16"/>
  <c r="J12" i="16"/>
  <c r="K12" i="16"/>
  <c r="L12" i="16"/>
  <c r="M12" i="16"/>
  <c r="E30" i="16"/>
  <c r="F30" i="16"/>
  <c r="G30" i="16"/>
  <c r="H30" i="16"/>
  <c r="I30" i="16"/>
  <c r="J30" i="16"/>
  <c r="K30" i="16"/>
  <c r="L30" i="16"/>
  <c r="M30" i="16"/>
  <c r="D12" i="16"/>
  <c r="E21" i="16"/>
  <c r="F21" i="16"/>
  <c r="G21" i="16"/>
  <c r="H21" i="16"/>
  <c r="I21" i="16"/>
  <c r="J21" i="16"/>
  <c r="K21" i="16"/>
  <c r="L21" i="16"/>
  <c r="M21" i="16"/>
  <c r="D38" i="16"/>
  <c r="D43" i="16"/>
  <c r="F43" i="16"/>
  <c r="D44" i="16"/>
  <c r="F44" i="16"/>
  <c r="D45" i="16"/>
  <c r="F45" i="16"/>
  <c r="D46" i="16"/>
  <c r="F46" i="16"/>
  <c r="D42" i="16"/>
  <c r="F42" i="16"/>
  <c r="E31" i="10"/>
  <c r="E23" i="10"/>
  <c r="E32" i="10"/>
  <c r="E24" i="10"/>
  <c r="E33" i="10"/>
  <c r="E25" i="10"/>
  <c r="E34" i="10"/>
  <c r="E26" i="10"/>
  <c r="E35" i="10"/>
  <c r="E27" i="10"/>
  <c r="F22" i="16"/>
  <c r="G22" i="16"/>
  <c r="H22" i="16"/>
  <c r="I22" i="16"/>
  <c r="J22" i="16"/>
  <c r="K22" i="16"/>
  <c r="L22" i="16"/>
  <c r="M22" i="16"/>
  <c r="E22" i="16"/>
  <c r="D17" i="16"/>
  <c r="D18" i="16"/>
  <c r="D19" i="16"/>
  <c r="D20" i="16"/>
  <c r="D21" i="16"/>
  <c r="D22" i="16"/>
  <c r="M13" i="16"/>
  <c r="L13" i="16"/>
  <c r="K13" i="16"/>
  <c r="J13" i="16"/>
  <c r="I13" i="16"/>
  <c r="H13" i="16"/>
  <c r="G13" i="16"/>
  <c r="F13" i="16"/>
  <c r="E13" i="16"/>
  <c r="D13" i="16"/>
  <c r="E5" i="16"/>
  <c r="F5" i="16"/>
  <c r="G5" i="16"/>
  <c r="H5" i="16"/>
  <c r="I5" i="16"/>
  <c r="J5" i="16"/>
  <c r="K5" i="16"/>
  <c r="L5" i="16"/>
  <c r="M5" i="16"/>
  <c r="K406" i="15"/>
  <c r="J406" i="15"/>
  <c r="I406" i="15"/>
  <c r="H406" i="15"/>
  <c r="G406" i="15"/>
  <c r="F406" i="15"/>
  <c r="E406" i="15"/>
  <c r="O406" i="15"/>
  <c r="N406" i="15"/>
  <c r="M406" i="15"/>
  <c r="L406" i="15"/>
  <c r="F5" i="15"/>
  <c r="G5" i="15"/>
  <c r="H5" i="15"/>
  <c r="I5" i="15"/>
  <c r="J5" i="15"/>
  <c r="K5" i="15"/>
  <c r="L5" i="15"/>
  <c r="M5" i="15"/>
  <c r="N5" i="15"/>
  <c r="N63" i="13"/>
  <c r="M63" i="13"/>
  <c r="L63" i="13"/>
  <c r="K63" i="13"/>
  <c r="J63" i="13"/>
  <c r="I63" i="13"/>
  <c r="H63" i="13"/>
  <c r="G63" i="13"/>
  <c r="F63" i="13"/>
  <c r="E63" i="13"/>
  <c r="F5" i="13"/>
  <c r="G5" i="13"/>
  <c r="H5" i="13"/>
  <c r="I5" i="13"/>
  <c r="J5" i="13"/>
  <c r="K5" i="13"/>
  <c r="L5" i="13"/>
  <c r="M5" i="13"/>
  <c r="N5" i="13"/>
  <c r="D86" i="4"/>
  <c r="E86" i="4"/>
  <c r="F86" i="4"/>
  <c r="G86" i="4"/>
  <c r="H86" i="4"/>
  <c r="D85" i="4"/>
  <c r="E85" i="4"/>
  <c r="F85" i="4"/>
  <c r="G85" i="4"/>
  <c r="H85" i="4"/>
  <c r="F50" i="10"/>
  <c r="G50" i="10" s="1"/>
  <c r="H50" i="10" s="1"/>
  <c r="I50" i="10" s="1"/>
  <c r="G40" i="10"/>
  <c r="H40" i="10" s="1"/>
  <c r="I40" i="10" s="1"/>
  <c r="F56" i="10"/>
  <c r="G56" i="10" s="1"/>
  <c r="H56" i="10" s="1"/>
  <c r="I56" i="10" s="1"/>
  <c r="G46" i="10"/>
  <c r="H46" i="10" s="1"/>
  <c r="I46" i="10" s="1"/>
  <c r="F55" i="10"/>
  <c r="G55" i="10" s="1"/>
  <c r="H55" i="10" s="1"/>
  <c r="I55" i="10" s="1"/>
  <c r="G45" i="10"/>
  <c r="H45" i="10" s="1"/>
  <c r="I45" i="10" s="1"/>
  <c r="F54" i="10"/>
  <c r="G54" i="10" s="1"/>
  <c r="H54" i="10" s="1"/>
  <c r="I54" i="10" s="1"/>
  <c r="G44" i="10"/>
  <c r="H44" i="10" s="1"/>
  <c r="I44" i="10" s="1"/>
  <c r="F53" i="10"/>
  <c r="G53" i="10" s="1"/>
  <c r="H53" i="10" s="1"/>
  <c r="I53" i="10" s="1"/>
  <c r="F52" i="10"/>
  <c r="G52" i="10" s="1"/>
  <c r="H52" i="10" s="1"/>
  <c r="I52" i="10" s="1"/>
  <c r="F51" i="10"/>
  <c r="G51" i="10" s="1"/>
  <c r="H51" i="10" s="1"/>
  <c r="I51" i="10" s="1"/>
  <c r="F41" i="10"/>
  <c r="G41" i="10" s="1"/>
  <c r="H41" i="10" s="1"/>
  <c r="I41" i="10" s="1"/>
  <c r="F42" i="10"/>
  <c r="G42" i="10" s="1"/>
  <c r="H42" i="10" s="1"/>
  <c r="I42" i="10" s="1"/>
  <c r="G43" i="10"/>
  <c r="H43" i="10" s="1"/>
  <c r="I43" i="10" s="1"/>
  <c r="G39" i="10"/>
  <c r="H39" i="10" s="1"/>
  <c r="I39" i="10" s="1"/>
  <c r="D7" i="10"/>
  <c r="C190" i="10"/>
  <c r="B190" i="10"/>
  <c r="C135" i="10"/>
  <c r="B135" i="10"/>
  <c r="I35" i="10"/>
  <c r="H35" i="10"/>
  <c r="G35" i="10"/>
  <c r="F35" i="10"/>
  <c r="D35" i="10"/>
  <c r="I34" i="10"/>
  <c r="H34" i="10"/>
  <c r="G34" i="10"/>
  <c r="F34" i="10"/>
  <c r="D34" i="10"/>
  <c r="I33" i="10"/>
  <c r="H33" i="10"/>
  <c r="G33" i="10"/>
  <c r="F33" i="10"/>
  <c r="D33" i="10"/>
  <c r="I32" i="10"/>
  <c r="H32" i="10"/>
  <c r="G32" i="10"/>
  <c r="F32" i="10"/>
  <c r="D32" i="10"/>
  <c r="I31" i="10"/>
  <c r="H31" i="10"/>
  <c r="G31" i="10"/>
  <c r="F31" i="10"/>
  <c r="D31" i="10"/>
  <c r="I27" i="10"/>
  <c r="H27" i="10"/>
  <c r="G27" i="10"/>
  <c r="F27" i="10"/>
  <c r="D27" i="10"/>
  <c r="I26" i="10"/>
  <c r="H26" i="10"/>
  <c r="G26" i="10"/>
  <c r="F26" i="10"/>
  <c r="D26" i="10"/>
  <c r="I25" i="10"/>
  <c r="H25" i="10"/>
  <c r="G25" i="10"/>
  <c r="F25" i="10"/>
  <c r="D25" i="10"/>
  <c r="I24" i="10"/>
  <c r="H24" i="10"/>
  <c r="G24" i="10"/>
  <c r="F24" i="10"/>
  <c r="D24" i="10"/>
  <c r="I23" i="10"/>
  <c r="H23" i="10"/>
  <c r="G23" i="10"/>
  <c r="F23" i="10"/>
  <c r="D23" i="10"/>
  <c r="D9" i="10"/>
  <c r="E9" i="10" s="1"/>
  <c r="F9" i="10" s="1"/>
  <c r="G9" i="10" s="1"/>
  <c r="H9" i="10" s="1"/>
  <c r="I9" i="10" s="1"/>
  <c r="C4" i="6"/>
  <c r="B89" i="4"/>
  <c r="E84" i="4"/>
  <c r="F84" i="4"/>
  <c r="G84" i="4"/>
  <c r="H84" i="4"/>
  <c r="D17" i="6" l="1" a="1"/>
  <c r="D17" i="6" s="1"/>
  <c r="D20" i="6" a="1"/>
  <c r="D20" i="6" s="1"/>
  <c r="D18" i="6" a="1"/>
  <c r="D18" i="6" s="1"/>
  <c r="D21" i="6" a="1"/>
  <c r="D21" i="6" s="1"/>
  <c r="D19" i="6" a="1"/>
  <c r="D19" i="6" s="1"/>
  <c r="D91" i="4"/>
  <c r="D123" i="4"/>
  <c r="D96" i="4"/>
  <c r="D116" i="4"/>
  <c r="D124" i="4"/>
  <c r="D132" i="4"/>
  <c r="D93" i="4"/>
  <c r="D121" i="4"/>
  <c r="D129" i="4"/>
  <c r="E135" i="4"/>
  <c r="D113" i="4"/>
  <c r="D94" i="4"/>
  <c r="D114" i="4"/>
  <c r="D122" i="4"/>
  <c r="D130" i="4"/>
  <c r="D119" i="4"/>
  <c r="D131" i="4"/>
  <c r="E133" i="4"/>
  <c r="D115" i="4"/>
  <c r="D92" i="4"/>
  <c r="D112" i="4"/>
  <c r="D120" i="4"/>
  <c r="D128" i="4"/>
  <c r="D136" i="4"/>
  <c r="D117" i="4"/>
  <c r="D125" i="4"/>
  <c r="D133" i="4"/>
  <c r="D97" i="4"/>
  <c r="D90" i="4"/>
  <c r="D98" i="4"/>
  <c r="D118" i="4"/>
  <c r="D126" i="4"/>
  <c r="D134" i="4"/>
  <c r="D127" i="4"/>
  <c r="D135" i="4"/>
  <c r="C9" i="4"/>
  <c r="C18" i="4" s="1"/>
  <c r="C81" i="4"/>
  <c r="D16" i="1" s="1"/>
  <c r="D57" i="4"/>
  <c r="C79" i="4"/>
  <c r="C59" i="4"/>
  <c r="C47" i="4"/>
  <c r="C48" i="4"/>
  <c r="C49" i="4"/>
  <c r="C50" i="4"/>
  <c r="C51" i="4"/>
  <c r="C70" i="4"/>
  <c r="D8" i="8" s="1"/>
  <c r="D58" i="4"/>
  <c r="C82" i="4"/>
  <c r="D18" i="1" s="1"/>
  <c r="C63" i="4"/>
  <c r="C62" i="4"/>
  <c r="C61" i="4"/>
  <c r="C60" i="4"/>
  <c r="C58" i="4"/>
  <c r="D56" i="4"/>
  <c r="D47" i="4"/>
  <c r="D48" i="4"/>
  <c r="D49" i="4"/>
  <c r="D50" i="4"/>
  <c r="D51" i="4"/>
  <c r="C57" i="4"/>
  <c r="D63" i="4"/>
  <c r="D62" i="4"/>
  <c r="D61" i="4"/>
  <c r="D60" i="4"/>
  <c r="D59" i="4"/>
  <c r="C80" i="4"/>
  <c r="D17" i="1" s="1"/>
  <c r="C56" i="4"/>
  <c r="D240" i="10"/>
  <c r="C6" i="4" l="1"/>
  <c r="C15" i="4" s="1"/>
  <c r="C75" i="4"/>
  <c r="D13" i="8" s="1"/>
  <c r="E13" i="8" s="1"/>
  <c r="F13" i="8" s="1"/>
  <c r="C69" i="4"/>
  <c r="D7" i="8" s="1"/>
  <c r="E7" i="8" s="1"/>
  <c r="G7" i="8" s="1"/>
  <c r="C8" i="4"/>
  <c r="C17" i="4" s="1"/>
  <c r="C10" i="4"/>
  <c r="C19" i="4" s="1"/>
  <c r="C73" i="4"/>
  <c r="D11" i="8" s="1"/>
  <c r="E11" i="8" s="1"/>
  <c r="C72" i="4"/>
  <c r="D10" i="8" s="1"/>
  <c r="E10" i="8" s="1"/>
  <c r="C74" i="4"/>
  <c r="D12" i="8" s="1"/>
  <c r="E12" i="8" s="1"/>
  <c r="C71" i="4"/>
  <c r="D9" i="8" s="1"/>
  <c r="E9" i="8" s="1"/>
  <c r="E67" i="10"/>
  <c r="C7" i="4"/>
  <c r="D18" i="4"/>
  <c r="E18" i="4" s="1"/>
  <c r="F18" i="4" s="1"/>
  <c r="G45" i="16" s="1"/>
  <c r="F11" i="6" s="1"/>
  <c r="F20" i="6" s="1"/>
  <c r="D17" i="4"/>
  <c r="E17" i="4" s="1"/>
  <c r="F17" i="4" s="1"/>
  <c r="G44" i="16" s="1"/>
  <c r="F10" i="6" s="1"/>
  <c r="F19" i="6" s="1"/>
  <c r="E8" i="8"/>
  <c r="D19" i="4"/>
  <c r="E19" i="4" s="1"/>
  <c r="F19" i="4" s="1"/>
  <c r="C42" i="4" l="1"/>
  <c r="C16" i="4"/>
  <c r="C41" i="4"/>
  <c r="F7" i="8"/>
  <c r="H7" i="8" s="1"/>
  <c r="F67" i="10"/>
  <c r="C68" i="4"/>
  <c r="G13" i="8"/>
  <c r="H13" i="8" s="1"/>
  <c r="C40" i="4"/>
  <c r="G12" i="8"/>
  <c r="F12" i="8"/>
  <c r="G11" i="8"/>
  <c r="F11" i="8"/>
  <c r="G46" i="16"/>
  <c r="F12" i="6" s="1"/>
  <c r="F21" i="6" s="1"/>
  <c r="F10" i="8"/>
  <c r="G10" i="8"/>
  <c r="G8" i="8"/>
  <c r="F8" i="8"/>
  <c r="G9" i="8"/>
  <c r="F9" i="8"/>
  <c r="H9" i="8" l="1"/>
  <c r="D6" i="8"/>
  <c r="C76" i="4"/>
  <c r="G67" i="10"/>
  <c r="H8" i="8"/>
  <c r="H18" i="8" s="1"/>
  <c r="H12" i="8"/>
  <c r="H11" i="8"/>
  <c r="H10" i="8"/>
  <c r="I67" i="10" l="1"/>
  <c r="H67" i="10"/>
  <c r="D14" i="8"/>
  <c r="D15" i="8" s="1"/>
  <c r="E6" i="8"/>
  <c r="H17" i="8"/>
  <c r="F25" i="8" s="1"/>
  <c r="C33" i="4" l="1"/>
  <c r="G6" i="8"/>
  <c r="G14" i="8" s="1"/>
  <c r="G15" i="8" s="1"/>
  <c r="F6" i="8"/>
  <c r="E14" i="8"/>
  <c r="E15" i="8" s="1"/>
  <c r="F23" i="8"/>
  <c r="F26" i="8"/>
  <c r="F24" i="8"/>
  <c r="F27" i="8"/>
  <c r="F14" i="8" l="1"/>
  <c r="F15" i="8" s="1"/>
  <c r="H6" i="8"/>
  <c r="D14" i="1"/>
  <c r="D15" i="1" s="1"/>
  <c r="D41" i="4"/>
  <c r="G12" i="1" s="1"/>
  <c r="D42" i="4"/>
  <c r="H12" i="1" s="1"/>
  <c r="D40" i="4"/>
  <c r="F12" i="1" s="1"/>
  <c r="F9" i="1" l="1"/>
  <c r="F8" i="1"/>
  <c r="F7" i="1"/>
  <c r="H9" i="1"/>
  <c r="H7" i="1"/>
  <c r="H8" i="1"/>
  <c r="H19" i="8"/>
  <c r="H14" i="8"/>
  <c r="H15" i="8" s="1"/>
  <c r="G8" i="1"/>
  <c r="G7" i="1"/>
  <c r="G9" i="1"/>
  <c r="E130" i="10" l="1"/>
  <c r="D101" i="4" l="1"/>
  <c r="D95" i="4"/>
  <c r="D109" i="4"/>
  <c r="D102" i="4"/>
  <c r="D100" i="4"/>
  <c r="D110" i="4"/>
  <c r="D99" i="4"/>
  <c r="D105" i="4"/>
  <c r="E129" i="4" l="1"/>
  <c r="E132" i="4"/>
  <c r="E116" i="4"/>
  <c r="E95" i="4"/>
  <c r="E109" i="4"/>
  <c r="E105" i="4"/>
  <c r="E101" i="4"/>
  <c r="E94" i="4"/>
  <c r="E97" i="4"/>
  <c r="E122" i="4"/>
  <c r="E127" i="4"/>
  <c r="E114" i="4"/>
  <c r="E120" i="4"/>
  <c r="E134" i="4"/>
  <c r="E98" i="4"/>
  <c r="E90" i="4"/>
  <c r="E102" i="4"/>
  <c r="E110" i="4"/>
  <c r="E126" i="4"/>
  <c r="E104" i="4"/>
  <c r="E128" i="4"/>
  <c r="E121" i="4"/>
  <c r="E117" i="4"/>
  <c r="E136" i="4"/>
  <c r="E106" i="4"/>
  <c r="E92" i="4"/>
  <c r="E130" i="4"/>
  <c r="E108" i="4"/>
  <c r="E96" i="4"/>
  <c r="E131" i="4"/>
  <c r="E115" i="4"/>
  <c r="E125" i="4"/>
  <c r="E113" i="4"/>
  <c r="E118" i="4"/>
  <c r="E119" i="4"/>
  <c r="E111" i="4"/>
  <c r="E91" i="4"/>
  <c r="E100" i="4"/>
  <c r="E99" i="4"/>
  <c r="E93" i="4"/>
  <c r="E107" i="4"/>
  <c r="E103" i="4" l="1"/>
  <c r="D103" i="4" l="1"/>
  <c r="E89" i="4"/>
  <c r="E185" i="10" l="1"/>
  <c r="E112" i="4" l="1"/>
  <c r="F185" i="10"/>
  <c r="E123" i="4"/>
  <c r="E124" i="4"/>
  <c r="H185" i="10" l="1"/>
  <c r="E137" i="4"/>
  <c r="I185" i="10"/>
  <c r="D26" i="4" l="1"/>
  <c r="E139" i="4"/>
  <c r="D29" i="4"/>
  <c r="D27" i="4"/>
  <c r="D28" i="4"/>
  <c r="D30" i="4"/>
  <c r="E6" i="1" l="1"/>
  <c r="E24" i="8"/>
  <c r="G6" i="1"/>
  <c r="G10" i="1" s="1"/>
  <c r="C11" i="6" s="1"/>
  <c r="C20" i="6" s="1"/>
  <c r="E26" i="8"/>
  <c r="H6" i="1"/>
  <c r="H10" i="1" s="1"/>
  <c r="C12" i="6" s="1"/>
  <c r="C21" i="6" s="1"/>
  <c r="E27" i="8"/>
  <c r="F6" i="1"/>
  <c r="F10" i="1" s="1"/>
  <c r="C10" i="6" s="1"/>
  <c r="C19" i="6" s="1"/>
  <c r="E25" i="8"/>
  <c r="D6" i="1"/>
  <c r="D31" i="4"/>
  <c r="E23" i="8"/>
  <c r="E240" i="10" l="1"/>
  <c r="D106" i="4" l="1"/>
  <c r="D111" i="4"/>
  <c r="F130" i="10"/>
  <c r="D89" i="4"/>
  <c r="D108" i="4"/>
  <c r="D107" i="4"/>
  <c r="D104" i="4"/>
  <c r="D16" i="4" l="1"/>
  <c r="E16" i="4" s="1"/>
  <c r="F16" i="4" s="1"/>
  <c r="H130" i="10"/>
  <c r="D137" i="4"/>
  <c r="D15" i="4"/>
  <c r="I130" i="10"/>
  <c r="D139" i="4" l="1"/>
  <c r="E15" i="4"/>
  <c r="C28" i="4"/>
  <c r="D20" i="4"/>
  <c r="D21" i="4" s="1"/>
  <c r="C26" i="4"/>
  <c r="C29" i="4"/>
  <c r="C30" i="4"/>
  <c r="C27" i="4"/>
  <c r="G43" i="16"/>
  <c r="F9" i="6" s="1"/>
  <c r="F18" i="6" s="1"/>
  <c r="C39" i="4"/>
  <c r="D39" i="4" s="1"/>
  <c r="E12" i="1" s="1"/>
  <c r="C31" i="4" l="1"/>
  <c r="E8" i="1"/>
  <c r="E9" i="1"/>
  <c r="E7" i="1"/>
  <c r="F15" i="4"/>
  <c r="E20" i="4"/>
  <c r="E10" i="1" l="1"/>
  <c r="C9" i="6" s="1"/>
  <c r="C18" i="6" s="1"/>
  <c r="D31" i="8"/>
  <c r="E39" i="8" s="1"/>
  <c r="G42" i="16"/>
  <c r="F8" i="6" s="1"/>
  <c r="F17" i="6" s="1"/>
  <c r="C38" i="4"/>
  <c r="F20" i="4"/>
  <c r="C43" i="4" l="1"/>
  <c r="D38" i="4"/>
  <c r="D12" i="1" s="1"/>
  <c r="D9" i="1" l="1"/>
  <c r="D7" i="1"/>
  <c r="D8" i="1"/>
  <c r="E38" i="4"/>
  <c r="F38" i="4" s="1"/>
  <c r="D23" i="8" s="1"/>
  <c r="G23" i="8" s="1"/>
  <c r="D39" i="8" s="1"/>
  <c r="F39" i="8" s="1"/>
  <c r="E8" i="6" s="1"/>
  <c r="E17" i="6" s="1"/>
  <c r="E39" i="4"/>
  <c r="F39" i="4" s="1"/>
  <c r="D24" i="8" s="1"/>
  <c r="G24" i="8" s="1"/>
  <c r="D40" i="8" s="1"/>
  <c r="E42" i="4"/>
  <c r="F42" i="4" s="1"/>
  <c r="D27" i="8" s="1"/>
  <c r="G27" i="8" s="1"/>
  <c r="D43" i="8" s="1"/>
  <c r="E40" i="4"/>
  <c r="F40" i="4" s="1"/>
  <c r="D25" i="8" s="1"/>
  <c r="G25" i="8" s="1"/>
  <c r="D41" i="8" s="1"/>
  <c r="E41" i="4"/>
  <c r="F41" i="4" s="1"/>
  <c r="D26" i="8" s="1"/>
  <c r="G26" i="8" s="1"/>
  <c r="D42" i="8" s="1"/>
  <c r="D35" i="8" l="1"/>
  <c r="E43" i="8" s="1"/>
  <c r="F43" i="8" s="1"/>
  <c r="E12" i="6" s="1"/>
  <c r="E21" i="6" s="1"/>
  <c r="D32" i="8"/>
  <c r="E40" i="8" s="1"/>
  <c r="F40" i="8" s="1"/>
  <c r="E9" i="6" s="1"/>
  <c r="E18" i="6" s="1"/>
  <c r="D10" i="1"/>
  <c r="C8" i="6" s="1"/>
  <c r="C17" i="6" s="1"/>
  <c r="D33" i="8"/>
  <c r="E41" i="8" s="1"/>
  <c r="F41" i="8" s="1"/>
  <c r="E10" i="6" s="1"/>
  <c r="E19" i="6" s="1"/>
  <c r="D34" i="8"/>
  <c r="E42" i="8" s="1"/>
  <c r="F42" i="8" s="1"/>
  <c r="E11" i="6" s="1"/>
  <c r="E20" i="6" s="1"/>
  <c r="F103" i="4" l="1"/>
  <c r="F110" i="4" l="1"/>
  <c r="F109" i="4" l="1"/>
  <c r="F124" i="4" l="1"/>
  <c r="F133" i="4"/>
  <c r="F112" i="4"/>
  <c r="F123" i="4" l="1"/>
  <c r="F134" i="4" l="1"/>
  <c r="F135" i="4"/>
  <c r="F95" i="4"/>
  <c r="F132" i="4"/>
  <c r="F136" i="4"/>
  <c r="F105" i="4"/>
  <c r="D12" i="6" l="1"/>
  <c r="F129" i="4" l="1"/>
  <c r="F102" i="4"/>
  <c r="F115" i="4"/>
  <c r="F125" i="4"/>
  <c r="F119" i="4"/>
  <c r="F118" i="4" l="1"/>
  <c r="F120" i="4"/>
  <c r="F122" i="4"/>
  <c r="F113" i="4"/>
  <c r="F121" i="4"/>
  <c r="F126" i="4"/>
  <c r="F93" i="4"/>
  <c r="F128" i="4"/>
  <c r="F116" i="4"/>
  <c r="F98" i="4"/>
  <c r="F117" i="4"/>
  <c r="F127" i="4"/>
  <c r="F131" i="4"/>
  <c r="F130" i="4"/>
  <c r="F114" i="4"/>
  <c r="D11" i="6" l="1"/>
  <c r="F90" i="4"/>
  <c r="F94" i="4"/>
  <c r="F91" i="4"/>
  <c r="F100" i="4"/>
  <c r="D10" i="6"/>
  <c r="F99" i="4" l="1"/>
  <c r="F101" i="4"/>
  <c r="F92" i="4"/>
  <c r="F97" i="4"/>
  <c r="F96" i="4"/>
  <c r="F107" i="4" l="1"/>
  <c r="F111" i="4"/>
  <c r="F89" i="4"/>
  <c r="F104" i="4"/>
  <c r="F108" i="4"/>
  <c r="H240" i="10" l="1"/>
  <c r="F106" i="4"/>
  <c r="D9" i="6" s="1"/>
  <c r="F240" i="10"/>
  <c r="D8" i="6"/>
  <c r="G240" i="10"/>
  <c r="F137" i="4" l="1"/>
  <c r="F139" i="4" s="1"/>
</calcChain>
</file>

<file path=xl/comments1.xml><?xml version="1.0" encoding="utf-8"?>
<comments xmlns="http://schemas.openxmlformats.org/spreadsheetml/2006/main">
  <authors>
    <author>May Liao</author>
  </authors>
  <commentList>
    <comment ref="F48" authorId="0">
      <text>
        <r>
          <rPr>
            <b/>
            <sz val="9"/>
            <color indexed="81"/>
            <rFont val="Tahoma"/>
            <family val="2"/>
          </rPr>
          <t>May Liao:</t>
        </r>
        <r>
          <rPr>
            <sz val="9"/>
            <color indexed="81"/>
            <rFont val="Tahoma"/>
            <family val="2"/>
          </rPr>
          <t xml:space="preserve">
2017 refers to 2016 - the AER Final Decision PTRM May 2016 does not have values for the Remaining Asset Life</t>
        </r>
      </text>
    </comment>
  </commentList>
</comments>
</file>

<file path=xl/comments2.xml><?xml version="1.0" encoding="utf-8"?>
<comments xmlns="http://schemas.openxmlformats.org/spreadsheetml/2006/main">
  <authors>
    <author>Danny Jutrisa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add MVA to correct year.</t>
        </r>
      </text>
    </comment>
  </commentList>
</comments>
</file>

<file path=xl/comments3.xml><?xml version="1.0" encoding="utf-8"?>
<comments xmlns="http://schemas.openxmlformats.org/spreadsheetml/2006/main">
  <authors>
    <author>Rohan Harris</author>
    <author>Danny Jutrisa</author>
    <author>Sandeep Kumar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Rohan Harris:</t>
        </r>
        <r>
          <rPr>
            <sz val="9"/>
            <color indexed="81"/>
            <rFont val="Tahoma"/>
            <family val="2"/>
          </rPr>
          <t xml:space="preserve">
Insert names of sub- regions here, and they will flow through to the rest of the model</t>
        </r>
      </text>
    </comment>
    <comment ref="J5" authorId="1">
      <text>
        <r>
          <rPr>
            <b/>
            <sz val="9"/>
            <color indexed="81"/>
            <rFont val="Tahoma"/>
            <family val="2"/>
          </rPr>
          <t>Danny Jutrisa:</t>
        </r>
        <r>
          <rPr>
            <sz val="9"/>
            <color indexed="81"/>
            <rFont val="Tahoma"/>
            <family val="2"/>
          </rPr>
          <t xml:space="preserve">
Need to review this row to split the costs accordingly.</t>
        </r>
      </text>
    </comment>
    <comment ref="O5" authorId="2">
      <text>
        <r>
          <rPr>
            <sz val="9"/>
            <color indexed="81"/>
            <rFont val="Tahoma"/>
            <family val="2"/>
          </rPr>
          <t>Unused capacity</t>
        </r>
      </text>
    </comment>
  </commentList>
</comments>
</file>

<file path=xl/sharedStrings.xml><?xml version="1.0" encoding="utf-8"?>
<sst xmlns="http://schemas.openxmlformats.org/spreadsheetml/2006/main" count="1882" uniqueCount="650">
  <si>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</si>
  <si>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</si>
  <si>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</si>
  <si>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</si>
  <si>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</si>
  <si>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</si>
  <si>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</si>
  <si>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</si>
  <si>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</si>
  <si>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</si>
  <si>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</si>
  <si>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</si>
  <si>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</si>
  <si>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</si>
  <si>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</si>
  <si>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</si>
  <si>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</si>
  <si>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</si>
  <si>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</si>
  <si>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</si>
  <si>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</si>
  <si>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</si>
  <si>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</si>
  <si>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</si>
  <si>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</si>
  <si>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</si>
  <si>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</si>
  <si>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</si>
  <si>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</si>
  <si>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</si>
  <si>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</si>
  <si>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</si>
  <si>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</si>
  <si>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</si>
  <si>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</si>
  <si>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</si>
  <si>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</si>
  <si>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</si>
  <si>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</si>
  <si>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</si>
  <si>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</si>
  <si>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</si>
  <si>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</si>
  <si>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</si>
  <si>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</si>
  <si>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</si>
  <si>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</si>
  <si>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</si>
  <si>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</si>
  <si>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</si>
  <si>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</si>
  <si>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</si>
  <si>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</si>
  <si>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</si>
  <si>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</si>
  <si>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</si>
  <si>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</si>
  <si>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</si>
  <si>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</si>
  <si>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</si>
  <si>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</si>
  <si>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</si>
  <si>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</si>
  <si>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</si>
  <si>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</si>
  <si>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</si>
  <si>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PAL Pricing Model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</si>
  <si>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</si>
  <si>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</si>
  <si>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</si>
  <si>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</si>
  <si>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</si>
  <si>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</si>
  <si>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</si>
  <si>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</si>
  <si>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</si>
  <si>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</si>
  <si>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</si>
  <si>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</si>
  <si>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</si>
  <si>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</si>
  <si>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Residential Single Rate</t>
  </si>
  <si>
    <t>Residential Two Rate 5d</t>
  </si>
  <si>
    <t>Docklands Two Rate 5d</t>
  </si>
  <si>
    <t>Residential Interval</t>
  </si>
  <si>
    <t>Dedicated circuit</t>
  </si>
  <si>
    <t>Hot Water Interval</t>
  </si>
  <si>
    <t>Non-Residential Single Rate</t>
  </si>
  <si>
    <t>Non-Residential Two Rate 5d</t>
  </si>
  <si>
    <t>Non-Residential Interval</t>
  </si>
  <si>
    <t>Non-Residential Two Rate 7d</t>
  </si>
  <si>
    <t>Large Low Voltage Demand</t>
  </si>
  <si>
    <t>Large Low Voltage Demand A</t>
  </si>
  <si>
    <t>Large Low Voltage Demand C</t>
  </si>
  <si>
    <t>Large Low Voltage Demand S</t>
  </si>
  <si>
    <t>Large Low Voltage Demand Docklands</t>
  </si>
  <si>
    <t>Large Low Voltage Demand CXX</t>
  </si>
  <si>
    <t>Large Low Voltage Demand EN.R</t>
  </si>
  <si>
    <t>Large Low Voltage Demand EN.NR</t>
  </si>
  <si>
    <t>Large Low Voltage Demand EN.R CXX</t>
  </si>
  <si>
    <t>Large Low Voltage Demand EN.NRCXX</t>
  </si>
  <si>
    <t>High Voltage Demand</t>
  </si>
  <si>
    <t>High Voltage Demand A</t>
  </si>
  <si>
    <t>High Voltage Demand C</t>
  </si>
  <si>
    <t>High Voltage Demand D1</t>
  </si>
  <si>
    <t>High Voltage Demand D2</t>
  </si>
  <si>
    <t>High Voltage Demand Docklands</t>
  </si>
  <si>
    <t>High Voltage Demand D3</t>
  </si>
  <si>
    <t>High Voltage Demand D4</t>
  </si>
  <si>
    <t>Subtransmission Demand A</t>
  </si>
  <si>
    <t>Subtransmission Demand G</t>
  </si>
  <si>
    <t>Subtransmission Demand S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</si>
  <si>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</si>
  <si>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</si>
  <si>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</si>
  <si>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</si>
  <si>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</si>
  <si>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</si>
  <si>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</si>
  <si>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</si>
  <si>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</si>
  <si>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</si>
  <si>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</si>
  <si>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</si>
  <si>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</si>
  <si>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</si>
  <si>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</si>
  <si>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</si>
  <si>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</si>
  <si>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</si>
  <si>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</si>
  <si>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</si>
  <si>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</si>
  <si>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</si>
  <si>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</si>
  <si>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</si>
  <si>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</si>
  <si>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</si>
  <si>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</si>
  <si>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Climate Saver</t>
  </si>
  <si>
    <t>Climate Saver Interval</t>
  </si>
  <si>
    <t>Residential - Flexible Pricing</t>
  </si>
  <si>
    <t>Residential Docklands  - Flexible Pricing</t>
  </si>
  <si>
    <t>Climate Saver - Flexible Pricing</t>
  </si>
  <si>
    <t>Docklands single rate</t>
  </si>
  <si>
    <t>Residential Two Rate 5d - controlled load</t>
  </si>
  <si>
    <t>Docklands Two Rate 5d - controlled load</t>
  </si>
  <si>
    <t>Public Lighting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</si>
  <si>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</si>
  <si>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</si>
  <si>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</si>
  <si>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</si>
  <si>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</si>
  <si>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</si>
  <si>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</si>
  <si>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</si>
  <si>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</si>
  <si>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</si>
  <si>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</si>
  <si>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</si>
  <si>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</si>
  <si>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</si>
  <si>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Network replacement cost (000,$2015)</t>
  </si>
  <si>
    <t>Tab Format</t>
  </si>
  <si>
    <t>Yellow tab, black font</t>
  </si>
  <si>
    <t>Inputs and assumptions</t>
  </si>
  <si>
    <t>Black tab, white font</t>
  </si>
  <si>
    <t>Calculations</t>
  </si>
  <si>
    <t>Blue tab, black font</t>
  </si>
  <si>
    <t>Output</t>
  </si>
  <si>
    <t>Capital Cost</t>
  </si>
  <si>
    <t>Operating Cost</t>
  </si>
  <si>
    <t>Region</t>
  </si>
  <si>
    <t>Voltage</t>
  </si>
  <si>
    <t>Zone Substation</t>
  </si>
  <si>
    <t>Summer or Winter Peaking</t>
  </si>
  <si>
    <t>Altona Brooklyn</t>
  </si>
  <si>
    <t>Zone Substations</t>
  </si>
  <si>
    <t>AC</t>
  </si>
  <si>
    <t>Summer</t>
  </si>
  <si>
    <t>AL</t>
  </si>
  <si>
    <t>BMH</t>
  </si>
  <si>
    <t>LV</t>
  </si>
  <si>
    <t>LVN</t>
  </si>
  <si>
    <t>WBE</t>
  </si>
  <si>
    <t>Ballarat</t>
  </si>
  <si>
    <t>ART</t>
  </si>
  <si>
    <t>BAN</t>
  </si>
  <si>
    <t>BAS</t>
  </si>
  <si>
    <t>Bendigo</t>
  </si>
  <si>
    <t>BGO</t>
  </si>
  <si>
    <t>CMN</t>
  </si>
  <si>
    <t>CTN</t>
  </si>
  <si>
    <t>EHK</t>
  </si>
  <si>
    <t>MRO</t>
  </si>
  <si>
    <t>Geelong</t>
  </si>
  <si>
    <t>CRO</t>
  </si>
  <si>
    <t>DDL</t>
  </si>
  <si>
    <t>FNS</t>
  </si>
  <si>
    <t>GB</t>
  </si>
  <si>
    <t>GCY</t>
  </si>
  <si>
    <t>GL</t>
  </si>
  <si>
    <t>GLE</t>
  </si>
  <si>
    <t>WIN</t>
  </si>
  <si>
    <t>WPD</t>
  </si>
  <si>
    <t>Horsham</t>
  </si>
  <si>
    <t>CHM</t>
  </si>
  <si>
    <t>Winter</t>
  </si>
  <si>
    <t>HSM</t>
  </si>
  <si>
    <t>NHL</t>
  </si>
  <si>
    <t>STL</t>
  </si>
  <si>
    <t>Keilor</t>
  </si>
  <si>
    <t>SSE</t>
  </si>
  <si>
    <t>SU</t>
  </si>
  <si>
    <t>GSB</t>
  </si>
  <si>
    <t>MLN</t>
  </si>
  <si>
    <t>WND</t>
  </si>
  <si>
    <t>SA</t>
  </si>
  <si>
    <t>Kerang</t>
  </si>
  <si>
    <t>CHA</t>
  </si>
  <si>
    <t>SHL</t>
  </si>
  <si>
    <t>Red Cliffs</t>
  </si>
  <si>
    <t>BBD</t>
  </si>
  <si>
    <t>MBN</t>
  </si>
  <si>
    <t>MDA</t>
  </si>
  <si>
    <t>OYN</t>
  </si>
  <si>
    <t>RVL</t>
  </si>
  <si>
    <t>WMN</t>
  </si>
  <si>
    <t>Shepparton</t>
  </si>
  <si>
    <t>CME</t>
  </si>
  <si>
    <t>ECA</t>
  </si>
  <si>
    <t>KYM</t>
  </si>
  <si>
    <t>MNA</t>
  </si>
  <si>
    <t>NKA</t>
  </si>
  <si>
    <t>SHN</t>
  </si>
  <si>
    <t>SHP</t>
  </si>
  <si>
    <t>STN</t>
  </si>
  <si>
    <t>Terang</t>
  </si>
  <si>
    <t>CDN</t>
  </si>
  <si>
    <t>CLC</t>
  </si>
  <si>
    <t>COB</t>
  </si>
  <si>
    <t>HTN</t>
  </si>
  <si>
    <t>KRT</t>
  </si>
  <si>
    <t>PLD</t>
  </si>
  <si>
    <t>TRG</t>
  </si>
  <si>
    <t>WBL</t>
  </si>
  <si>
    <t>Decription of project</t>
  </si>
  <si>
    <t>Terminal Value</t>
  </si>
  <si>
    <t xml:space="preserve">AL 1 New feeder </t>
  </si>
  <si>
    <t xml:space="preserve">AL 12 Extend feeder to Civic Pde and other works. </t>
  </si>
  <si>
    <t xml:space="preserve">Augment LVN33 19/4.75 </t>
  </si>
  <si>
    <t>BLT15 Re-commission</t>
  </si>
  <si>
    <t>BLT20 exit cable (to 300mm2) and rerate 19/3.75 to 65oC and replace 250mm to 300mm2</t>
  </si>
  <si>
    <t>BLT31 East Leg Tie to offload other feeders</t>
  </si>
  <si>
    <t>HV tie LV3 to LV1 Morris Rd (replace 95mm2 HV cable 500m +T joint)</t>
  </si>
  <si>
    <t xml:space="preserve">LV21 into Point Cook New Feeder Design&amp; Construction </t>
  </si>
  <si>
    <t>LVN21 - LVN24 Feeder load rearrangement</t>
  </si>
  <si>
    <t>LVN22 Augment 1km Cherry La to Princes Fwy</t>
  </si>
  <si>
    <t>LVN23-LVN24 tie in along Foundation Rd</t>
  </si>
  <si>
    <t>TRT Feeders x 6</t>
  </si>
  <si>
    <t xml:space="preserve">TRT next 2 feeders </t>
  </si>
  <si>
    <t>Uprate LV1 (80/45oC)  2.4km</t>
  </si>
  <si>
    <t>Uprate/Augment BLT22 feeder to 65oC</t>
  </si>
  <si>
    <t xml:space="preserve">WBE34 Augment (Robbs Rd&amp; Cunningham Rd) </t>
  </si>
  <si>
    <t>Sub transmission</t>
  </si>
  <si>
    <t>BLTS-BMH 66kV line augmentation Stage 1</t>
  </si>
  <si>
    <t>BLTS-BMH 66kV line augmentation Stage 2</t>
  </si>
  <si>
    <t>BMH transfer to ATS/West DPTS</t>
  </si>
  <si>
    <t xml:space="preserve">BMH ZSS new 66/22kV 25/33 MVA Tr-3 </t>
  </si>
  <si>
    <t>Land for Point Cook zone substation (PCK)</t>
  </si>
  <si>
    <t>New TRT Zone substation with 2 x 33/25MVA Tx+12MVAr Cap bank</t>
  </si>
  <si>
    <t>TRT 3rd Tx &amp; Bus</t>
  </si>
  <si>
    <t xml:space="preserve">WBE 2nd cap bank </t>
  </si>
  <si>
    <t xml:space="preserve">BAN 11 Glentown SWER Aug </t>
  </si>
  <si>
    <t>BAN 6 Evansford P30 Swer Aug</t>
  </si>
  <si>
    <t xml:space="preserve">BAN 6 Glenruel P35 SWER Aug </t>
  </si>
  <si>
    <t>BAN11 uprate feeder backbone to 65oC</t>
  </si>
  <si>
    <t>BAN13 new 1MVAr line cap</t>
  </si>
  <si>
    <t xml:space="preserve">BAN13 uprate feeder exit </t>
  </si>
  <si>
    <t xml:space="preserve">BAN15 uprate feeder exit </t>
  </si>
  <si>
    <t>BAN2 feeder exit augmentation - 300mm2 Cu</t>
  </si>
  <si>
    <t>BAN5 Augment feeder exit - 300 mm2 Cu</t>
  </si>
  <si>
    <t>BAN6 new 1MVAr line cap</t>
  </si>
  <si>
    <t>BAN7 new 1MVAr line cap</t>
  </si>
  <si>
    <t>BAN7 uprate feeder exit</t>
  </si>
  <si>
    <t>BAN8 Daylesford HV ring BAN8/BAN11 HV ABC</t>
  </si>
  <si>
    <t>BAN8 new 1MVAr line cap</t>
  </si>
  <si>
    <t>BAN8/ BAN11 Daylesford feeder tie upgrade - replace 500m with 19/3.25AAC</t>
  </si>
  <si>
    <t>BAS 11 Snakeval 33 SWER Aug</t>
  </si>
  <si>
    <t>BAS 11 Waterloo SWER Aug</t>
  </si>
  <si>
    <t>BAS 21 Capeclear Swer Aug</t>
  </si>
  <si>
    <t xml:space="preserve">BAS 21 Southcross P35 SWER Aug </t>
  </si>
  <si>
    <t xml:space="preserve">BAS 22 Buninyong 267 SWER Aug </t>
  </si>
  <si>
    <t xml:space="preserve">BAS 22 Corindhap P25  SWER Aug </t>
  </si>
  <si>
    <t xml:space="preserve">BAS 22 Dereel South P1 SWER Aug </t>
  </si>
  <si>
    <t xml:space="preserve">BAS 23 Greenhill 14 SWER Aug </t>
  </si>
  <si>
    <t>BAS13/ BAS34 22kV feeder tie</t>
  </si>
  <si>
    <t>BAS14 augment feeder exit to 300mm2 Cu</t>
  </si>
  <si>
    <t>BAS23 feeder uprate to 80oC</t>
  </si>
  <si>
    <t>BAS31 New 22kV Ring Road feeder (Construct)</t>
  </si>
  <si>
    <t>BAS33 New 22kV Sebastopol feeder (Construct)</t>
  </si>
  <si>
    <t>BAW 22 kv Feeders</t>
  </si>
  <si>
    <t>BMH 3 Mountwall 48 Swer Aug</t>
  </si>
  <si>
    <t>BMH 3 Uprate/Augment</t>
  </si>
  <si>
    <t>BMH 4 Augment Stage 2  (5km)</t>
  </si>
  <si>
    <t>BMH 5 Augment stage 2 (2km)</t>
  </si>
  <si>
    <t>BMH 6 augment stage (5.5km)</t>
  </si>
  <si>
    <t>BMH 7 New Feeder</t>
  </si>
  <si>
    <t>BMH06 extension along Fisken Str to offload BMh04 &amp; BMH05 (1.5km of OH line)</t>
  </si>
  <si>
    <t>66kV line BAW - BAS</t>
  </si>
  <si>
    <t>Establish BAN-BAW and BAW to BGR 66kV  - to secure BAW</t>
  </si>
  <si>
    <t>BAW ZSS Ballarat West land purchase</t>
  </si>
  <si>
    <t>BMH - Install second 6 MVAR cap bank (#2)</t>
  </si>
  <si>
    <t>Establish BAW zone substation &amp; Revised protection at BAS &amp;BATS</t>
  </si>
  <si>
    <t>BET 10 BETS-CTN Line reconductor to Marong</t>
  </si>
  <si>
    <t>BET 1Marong South P5 Swer Aug</t>
  </si>
  <si>
    <t>BET 3 to BET 4 Tie to transfer Sandhurst Res</t>
  </si>
  <si>
    <t>BET 4 Floods Rd 36 Swer Aug</t>
  </si>
  <si>
    <t>BET 4 Lockwood Sth Swer Aug</t>
  </si>
  <si>
    <t>BET 4 Reconductor McGlashans line to 19/3.25 AAC</t>
  </si>
  <si>
    <t>BET 4 Replace Lockwood regulator</t>
  </si>
  <si>
    <t>BET 5 Coghill 117 Swer Aug</t>
  </si>
  <si>
    <t>BET 6 Lockwood Rd P1 Swer Aug</t>
  </si>
  <si>
    <t>BET 8 Uprate</t>
  </si>
  <si>
    <t>BETS 22kV Feeder exits BET10</t>
  </si>
  <si>
    <t>BETS 22kV Feeder exits BET9</t>
  </si>
  <si>
    <t>BGO 13 Emu Creek-Pilcher Swer Aug</t>
  </si>
  <si>
    <t>BGO 21 Reconfiguration</t>
  </si>
  <si>
    <t>BGO 23 Extend 66kV line to AXL ZSS Site</t>
  </si>
  <si>
    <t>BGO 23 Longlea Swer Aug</t>
  </si>
  <si>
    <t>BGO 23 Murphy's Lane SWER Aug</t>
  </si>
  <si>
    <t>BGO 31 New feeder</t>
  </si>
  <si>
    <t>BGO 32 New feeder</t>
  </si>
  <si>
    <t>CMN 1 Vaughan SWER upgrade</t>
  </si>
  <si>
    <t>CMN 2 Penrose SWER upgrade</t>
  </si>
  <si>
    <t>CMN 3 to BET 4 Tie to transfer Ravenswood via subsidiary to BETS-CMN Line</t>
  </si>
  <si>
    <t>CMN 4 North Muckleford Swer Aug</t>
  </si>
  <si>
    <t>CMN 5 1.0 MVAr Cap Bk near Don KRC</t>
  </si>
  <si>
    <t>EHK 21/22/33 Rohs Road Tie</t>
  </si>
  <si>
    <t>EHK 22/33 1.0 MVAr Cap Bk White Hills</t>
  </si>
  <si>
    <t>EHK 23 66kV Line section at Epsom Stg 1</t>
  </si>
  <si>
    <t>EHK 23 66kV Line section at Epsom Stg 2</t>
  </si>
  <si>
    <t>EHK 23 66kV Line section at Epsom Stg 3</t>
  </si>
  <si>
    <t>EHK 24 Rheola Swer Aug</t>
  </si>
  <si>
    <t>EHK11 new feeder</t>
  </si>
  <si>
    <t>EHK12 new feeder</t>
  </si>
  <si>
    <t>EHK13 new feeder</t>
  </si>
  <si>
    <t>EHK14 new feeder</t>
  </si>
  <si>
    <t>EHK22 Uprate</t>
  </si>
  <si>
    <t>Future New feeder (subsidiary to BGO-EHK Line)</t>
  </si>
  <si>
    <t>MRO 5 Reconductor 20km of 7/.064 Cu in Dunolly line Stage 2</t>
  </si>
  <si>
    <t>MRO 5 Reconductor of 7/.064 Cu in Dunolly line Stage 1 - 5km</t>
  </si>
  <si>
    <t>MRO 7 1.0 MVAr Cap Bk at Newstead</t>
  </si>
  <si>
    <t xml:space="preserve">MRO 7 Woodstock West SWER Aug </t>
  </si>
  <si>
    <t>Tannery Lane tie (BET 5 / BGO 13)</t>
  </si>
  <si>
    <t>BETS - CTN Thermal Uprate to 80 deg.C</t>
  </si>
  <si>
    <t>BGO-EHK 66kV reconductor to 0.3 line (5.2km)</t>
  </si>
  <si>
    <t>CTN - Part Reconstruct to 331 sq mm Al (10km) Stg2 Marong-Leichardt 5064199</t>
  </si>
  <si>
    <t xml:space="preserve">AXL - Aquire site for new zone substation </t>
  </si>
  <si>
    <t xml:space="preserve">BDR - Aquire site for new zone substation </t>
  </si>
  <si>
    <t>BGO 3rd Transformer &amp; 22kV Bus</t>
  </si>
  <si>
    <t xml:space="preserve">EHK- Install 3rd Transformer, 3rd 22kV bus </t>
  </si>
  <si>
    <t>MRO 3rd Transformer</t>
  </si>
  <si>
    <t>Uprate CMN Cap Bk with an additional 4.5 MVAr step and VAR Controller</t>
  </si>
  <si>
    <t>Uprate MRO Cap Bk with an additional 3.0 MVAr step and VAR Controller</t>
  </si>
  <si>
    <t>CRO Feeder Rearrangement (CRO 13/14/22/32)</t>
  </si>
  <si>
    <t>CRO022 Furner Ave 22kV Tie</t>
  </si>
  <si>
    <t>CRO13 / FNS11 22kV feeder tie</t>
  </si>
  <si>
    <t>CRO13 / GL24 22kV feeder tie</t>
  </si>
  <si>
    <t>FNS 31 New feeder to Lara (Design/Construct)</t>
  </si>
  <si>
    <t>FNS 33 New feeder to Heales rd / Avalon area (Design/Construct)</t>
  </si>
  <si>
    <t>FNS12 St Georges Road upgrade HV U/G cable to 300mm2 Cu</t>
  </si>
  <si>
    <t>GL 12 3rd Phase Barabool Road - Stage 2</t>
  </si>
  <si>
    <t>GL12 3rd Phase Barabool Road, Shift Reg - Stage 1</t>
  </si>
  <si>
    <t>GL12 augment Shelford township to three phase (1.4km P98 - P113)</t>
  </si>
  <si>
    <t>GL13 new feeder to Bannockburn</t>
  </si>
  <si>
    <t>GL15 Augment Ballarat Rd P127 - P144 (2.1km 6/4.75, 7/1.60 ACSR)</t>
  </si>
  <si>
    <t>GL15 Augment Ballarat Rd P144 - P161 (2.0km 6/4.75, 7/1.60 ACSR)</t>
  </si>
  <si>
    <t>GL15 Augment Ballarat Rd P161 - P179 (2.0km 6/4.75, 7/1.60 ACSR)</t>
  </si>
  <si>
    <t>GL15 Augment Ballarat Rd P179 - P196A (1.73km 6/4.75, 7/1.60 ACSR)</t>
  </si>
  <si>
    <t>GL15 Augment Ballarat Rd P196A - P217 (2.4km 6/4.75, 7/1.60 ACSR)</t>
  </si>
  <si>
    <t>GL15 P124A Moorabool Valley regulator to 3 x 200A</t>
  </si>
  <si>
    <t xml:space="preserve">GL15 Shelford Rd Swer Aug </t>
  </si>
  <si>
    <t>GL25 New feeder</t>
  </si>
  <si>
    <t>GLE13 Uprate to 80oC</t>
  </si>
  <si>
    <t>GLE22 - new 22kV feeder to Armstrong Creek</t>
  </si>
  <si>
    <t>GLE24 exit augment to Cu (269m underground cable)</t>
  </si>
  <si>
    <t>GLE31 Curlewis augmention, stage 2 (2,669m augmentation)</t>
  </si>
  <si>
    <t>GLE31 exit augment to Cu (94m underground cable)</t>
  </si>
  <si>
    <t>TQY 5th Feeder - Messmate Road</t>
  </si>
  <si>
    <t>WIN 12 New 1.0MVAR line cap</t>
  </si>
  <si>
    <t>WIN 13 -WIN 11 Feeder Tie</t>
  </si>
  <si>
    <t>WIN 13 -WIN 12 Feeder Tie</t>
  </si>
  <si>
    <t>WPD11 - WIN12 22kV feeder tie</t>
  </si>
  <si>
    <t>WPD32 Subsidiary 22kV line (Ghazeepore Road)</t>
  </si>
  <si>
    <t>At TQY 66 kV/22 kV Feeders</t>
  </si>
  <si>
    <t>At WPD - 66 kV Line works for TQY Lines</t>
  </si>
  <si>
    <t>At WPD -Zone SS 66 kV works for TQY Lines</t>
  </si>
  <si>
    <t xml:space="preserve">DDL-OGE 66kV line(DDL 31 Fdr) </t>
  </si>
  <si>
    <t>DDL-Install 3rd 20/33 MVA transformer and 22kV bus .</t>
  </si>
  <si>
    <t>Future Banockburn zone substation site acquisition.  (BBN)</t>
  </si>
  <si>
    <t>GCY PPS</t>
  </si>
  <si>
    <t xml:space="preserve">GCY-Install 3rd 20/33 MVA transformer &amp; associated bus work  </t>
  </si>
  <si>
    <t>GL Cooling upgrade</t>
  </si>
  <si>
    <t>GL Tx 22 kV CB augmentation</t>
  </si>
  <si>
    <t>GLE - Replace 2 x transformers to 25/33MVA + Full switching</t>
  </si>
  <si>
    <t>Lara Zone SS Site(Heales Rd)</t>
  </si>
  <si>
    <t>Torquay Sound Enclosures</t>
  </si>
  <si>
    <t>Torquay Zone substation 2nd transformer</t>
  </si>
  <si>
    <t>Torquay Zone substation Design &amp; establishment.  I x transformer</t>
  </si>
  <si>
    <t>WPD - Augment Tx 2 transformer.</t>
  </si>
  <si>
    <t>ART 33 HV Line Cap Willaura Line</t>
  </si>
  <si>
    <t xml:space="preserve">HSM 1 &amp; 2 22kV HVOH Feeder Tie </t>
  </si>
  <si>
    <t>HSM 1 &amp; 5 22kV Fdr Tie Switch b/f P104</t>
  </si>
  <si>
    <t>HSM 2 Balmoral South 16 SWER Aug</t>
  </si>
  <si>
    <t>HSM 5 New HV Backbone Route Sub/Sid 66kV .1 ACSR P130 - P163</t>
  </si>
  <si>
    <t>New CHM012 Feeder (Construct)</t>
  </si>
  <si>
    <t>New CHM013 Feeder (Construct)</t>
  </si>
  <si>
    <t>New HSM 22kV Fdr (Construct)</t>
  </si>
  <si>
    <t>STL 5 Grange P1 SWER Aug</t>
  </si>
  <si>
    <t>STL 5 Shirreff and Dawson St, Stawell HV Aug</t>
  </si>
  <si>
    <t>STL 7 Navaree SWER Aug</t>
  </si>
  <si>
    <t>HOTS-HSM #1 Exit Uprate at HSM</t>
  </si>
  <si>
    <t>HOTS-HSM #2 Exit Uprate at HSM</t>
  </si>
  <si>
    <t>ART 3rd Tx</t>
  </si>
  <si>
    <t>ART Install High Capacity Fans</t>
  </si>
  <si>
    <t>STL Upgrade #3 cap bank to 6 MVAr with PLC var control</t>
  </si>
  <si>
    <t>Establish new SU14 feeder to ORICA site</t>
  </si>
  <si>
    <t>GSB 21 &amp; 22 feeders</t>
  </si>
  <si>
    <t>GSB 23 &amp; 24 feeders</t>
  </si>
  <si>
    <t>MLN 13 New HV Sw- Coburns Rd</t>
  </si>
  <si>
    <t>MLN 21 Ferris Rd 3PH steel tie to MLN 11</t>
  </si>
  <si>
    <t>MLN 21 Uprate</t>
  </si>
  <si>
    <t>MLN 31 New 22kV fdr to offload MLN11 &amp; 24</t>
  </si>
  <si>
    <t>MLN12 &amp; 14 HV Rearrangement - Stage 2</t>
  </si>
  <si>
    <t>MLN32 New 22kV Feeder to offload MLN24 &amp; accept 5MW from BMH</t>
  </si>
  <si>
    <t>MLN33 New 22kV Feeder to offload MLN 11, MLN13 and MLN23</t>
  </si>
  <si>
    <t>MLN34 New 22kV fdr  to offload MLN12, 14 &amp; 22</t>
  </si>
  <si>
    <t xml:space="preserve">RBE 4 New 22kV Feeders </t>
  </si>
  <si>
    <t>SSE 11 Stage 2 Augment</t>
  </si>
  <si>
    <t>SSE 11 Uprate + reconductor in McIntyre Rd (design)</t>
  </si>
  <si>
    <t>SSE/SU - SA Feeder tie for offload project</t>
  </si>
  <si>
    <t>SSE13 South to offload SU8 south &amp; SSE14 (former SU1)</t>
  </si>
  <si>
    <t>SU 3 Uprate feeder</t>
  </si>
  <si>
    <t>SU 3,4,5 &amp; 8 HV ties and rearrangement</t>
  </si>
  <si>
    <t>SU 8 Augment Feeder Stage 2</t>
  </si>
  <si>
    <t>SU5 Augment BB &amp; HV Rearrangement to offload SU4</t>
  </si>
  <si>
    <t>Thermal uprate for SSE31 &amp; SSE33 backbone conductor</t>
  </si>
  <si>
    <t xml:space="preserve">TNA Build 5 x 22kV feeders </t>
  </si>
  <si>
    <t xml:space="preserve">TNA next 2 feeder </t>
  </si>
  <si>
    <t xml:space="preserve">TNA next 3 feeders </t>
  </si>
  <si>
    <t>TNA24 to TNA23 HV tie</t>
  </si>
  <si>
    <t xml:space="preserve">WND 12 Hesket Rd Tie P15 SWER Aug </t>
  </si>
  <si>
    <t>WND 12 Kerrie Iso SWER Aug (WND12)</t>
  </si>
  <si>
    <t xml:space="preserve">WND 12 LUCERNEDALE P61 SWER AUG </t>
  </si>
  <si>
    <t>WND 12/13/21/22 reconfiguration (19/3.25 TIE TO ROMSEY)</t>
  </si>
  <si>
    <t>WND 13 Cobaw line aug stage 2</t>
  </si>
  <si>
    <t>WND 13 Cobaw Swer Aug</t>
  </si>
  <si>
    <t>WND 13 Stage 2 Kyneton 2nd feeder to connect to WND 13</t>
  </si>
  <si>
    <t>WND 14 Stage 1 Kyneton 2nd feeder WND 14</t>
  </si>
  <si>
    <t>WND 23 Augment supply to Malmsbury</t>
  </si>
  <si>
    <t>WND 23 Langley Line reconductor WND 23 STG1</t>
  </si>
  <si>
    <t>WND 23 Langley Line reconductor WND 23 STG2</t>
  </si>
  <si>
    <t xml:space="preserve">WND 23 SPRING PLAINS SWER AUG </t>
  </si>
  <si>
    <t>WND 23 Vaughan Springs SWER Aug</t>
  </si>
  <si>
    <t>WND 24  Chanters Lane SWER Aug</t>
  </si>
  <si>
    <t>WND 24  Little Hampton SWER Aug</t>
  </si>
  <si>
    <t>WND 24  Spring Hill East SWER Aug</t>
  </si>
  <si>
    <t>WND 24  Upper Coliban SWER aug</t>
  </si>
  <si>
    <t>WND 24 Lauriston SWER aug</t>
  </si>
  <si>
    <t>DPTS-RBE No1 &amp; No2 and MLN-RBE</t>
  </si>
  <si>
    <t>Establish New DPTS-TRT 66kV line</t>
  </si>
  <si>
    <t>Establish New TNA-TRT 66kV line</t>
  </si>
  <si>
    <t>Reconductor KTS-SSE (P7-P27) (1.5km)</t>
  </si>
  <si>
    <t xml:space="preserve">Reconductor SU-SSE </t>
  </si>
  <si>
    <t>SBY - GSB#1 reconductor parallel cct (P4-P22, P29-P39, P42-P62, P82A-T103) (9.3 kM) (SBY-GSB section)</t>
  </si>
  <si>
    <t>2 x 12MVAR Capbank at SSE</t>
  </si>
  <si>
    <t>3rd transformer st TNA and 3rd bus.</t>
  </si>
  <si>
    <t>Cap Bank at SA</t>
  </si>
  <si>
    <t>Establish TNA with two Tx and 22kV Busses and 12MVAr Cap Bank</t>
  </si>
  <si>
    <t xml:space="preserve">Land for Rockbank East Zone Substation (RBE) </t>
  </si>
  <si>
    <t>Land for Rockbank Zone Substation, RBK</t>
  </si>
  <si>
    <t>MLN - Install 3rd Transformer, 3rd 22kV Bus &amp; 4th 66kV CB</t>
  </si>
  <si>
    <t>SA 22kV transformer CB isolator</t>
  </si>
  <si>
    <t>Transformer fans at SA</t>
  </si>
  <si>
    <t>Uprate MLN cap bank to 12MVAr</t>
  </si>
  <si>
    <t>4 x 1 MVAr Line Caps on SHL 4 and SHL 5.</t>
  </si>
  <si>
    <t>4 x 1 MVAr Line Caps on SHL 7 and SHL 8.</t>
  </si>
  <si>
    <t xml:space="preserve">CHA 3 - Uprate Backbone </t>
  </si>
  <si>
    <t>CHA 6 New line from CHA to Greens Rd</t>
  </si>
  <si>
    <t>KGT4 - Augment Backbone</t>
  </si>
  <si>
    <t>New SHL feeder</t>
  </si>
  <si>
    <t>SHL 2 Nyah line reconductor st2</t>
  </si>
  <si>
    <t>SHL 2 Reconductor and load transfer st3</t>
  </si>
  <si>
    <t>SHL 7 Boys St line reconductor</t>
  </si>
  <si>
    <t>SHL 8 Karinie St tie</t>
  </si>
  <si>
    <t>SHL 8 Williams-Annear tie</t>
  </si>
  <si>
    <t>SHL5 - Quarry Spur Augmentation</t>
  </si>
  <si>
    <t>SHL7 Uprate</t>
  </si>
  <si>
    <t>KGTS - SHL #1 1st 20km of new line</t>
  </si>
  <si>
    <t>KGTS - SHL #1 2nd 20km of new line</t>
  </si>
  <si>
    <t>KGTS - SHL #1 3rd 20km of new line</t>
  </si>
  <si>
    <t>KGTS - SHL #2 6.4km recond to 0.3</t>
  </si>
  <si>
    <t>CHA TX disconnect sw uprate</t>
  </si>
  <si>
    <t>SHL #4 trans 25/33 MVA and 3rd 22kV Bus and replace SHL 1,2,4,7 and 8 feeder CB's due to increased fault levels</t>
  </si>
  <si>
    <t>BBD 13 Reconductor P.57 to P.116 (6.6km)</t>
  </si>
  <si>
    <t>BBD 14 66kV Line section P.16 to P.44 Storey Sth (3.5km)</t>
  </si>
  <si>
    <t>BBD 14 New feeder exit. 6.0 km of new 66kV</t>
  </si>
  <si>
    <t>BBD14/21 Reconductor from Piambie 3 km towards Nyah</t>
  </si>
  <si>
    <t>BBD21 Uprate subsidiary to BBD 14</t>
  </si>
  <si>
    <t>MBN 12-22 Tie</t>
  </si>
  <si>
    <t>MBN 13 Reconductor Cowana Ave</t>
  </si>
  <si>
    <t>MBN 14 / MBN 21 Tie line</t>
  </si>
  <si>
    <t>MBN 21 / RCT 23 Tie line</t>
  </si>
  <si>
    <t>MBN 22 upgrade exit to 630mm Al</t>
  </si>
  <si>
    <t>MBN 23 reconductor feeder exit to 19/4.75 AAC</t>
  </si>
  <si>
    <t>MBN11 New feeder CB</t>
  </si>
  <si>
    <t>MBN23 Uprate</t>
  </si>
  <si>
    <t>MDA 31 Crescent line tie</t>
  </si>
  <si>
    <t>MDA 31 Seventh St line reconductor</t>
  </si>
  <si>
    <t>MDA 32 Pine Ave tie</t>
  </si>
  <si>
    <t>New MDA 22kV Feeder</t>
  </si>
  <si>
    <t>New MDA 22kV Feeder MDA 11</t>
  </si>
  <si>
    <t>New MDA 22kV Feeder MDA 12</t>
  </si>
  <si>
    <t>RCT 21 Thermal Uprate from RCTS to Redcliff</t>
  </si>
  <si>
    <t>RCT 23 Merrinee Nth P1 SWER Aug</t>
  </si>
  <si>
    <t>RVL 1 / RVL 4 Tie reconductor and load transfer</t>
  </si>
  <si>
    <t>RVL 6 Benghazi Rd line reconductor</t>
  </si>
  <si>
    <t>RVL 6 Robinval East Line Recon to 19/3.25 and load transfer to RVL 4</t>
  </si>
  <si>
    <t>RVL 8 / RVL 6 tie</t>
  </si>
  <si>
    <t>RVL 8 / WMN 14 tie</t>
  </si>
  <si>
    <t>WMN 13 Reconductor P.76 to P.131 to 19/3.25 AAC</t>
  </si>
  <si>
    <t>WMN 14 Reconductor P.241 to P.280 to 19/3.25 AAC</t>
  </si>
  <si>
    <t>WMN 22 New feeder</t>
  </si>
  <si>
    <t>WMN14 Margooya Augment</t>
  </si>
  <si>
    <t>Reconductor WETS-RVL</t>
  </si>
  <si>
    <t>WETS-WMN rebuild as double cct to form 2nd WETS-WMN and WETS-RVL</t>
  </si>
  <si>
    <t>MBN Install 3rd TR</t>
  </si>
  <si>
    <t>MDA Capacitor Bank (12 MVAR)</t>
  </si>
  <si>
    <t>MDA Install 3rd transformer &amp; full switching</t>
  </si>
  <si>
    <t>RVL rebuild to 2 x 25/33 MVA Tx Stg 1</t>
  </si>
  <si>
    <t>RVL rebuild to 2 x 25/33 MVA Tx Stg 2</t>
  </si>
  <si>
    <t>WMN Augment No1 transformer</t>
  </si>
  <si>
    <t xml:space="preserve">WMN Cap Bank </t>
  </si>
  <si>
    <t>CME 16 Reconductor Bundalong</t>
  </si>
  <si>
    <t>CME 16 Reconductor Old Spur</t>
  </si>
  <si>
    <t>CME 21 Pole mounted shunt cap</t>
  </si>
  <si>
    <t>CME 21 Reconductor Turnbull</t>
  </si>
  <si>
    <t>CME 22 Pole-mount capacitor</t>
  </si>
  <si>
    <t>CMW Distribution works</t>
  </si>
  <si>
    <t>ECA 10 Thermal uprate Bamawan line</t>
  </si>
  <si>
    <t>ECA 13 New feeder</t>
  </si>
  <si>
    <t>KYM 1 Reconductor Nanneella spur</t>
  </si>
  <si>
    <t>KYM 3 Reconductor Alston line</t>
  </si>
  <si>
    <t>KYM 4 Reconductor Tongala East Line p99-p135</t>
  </si>
  <si>
    <t>MNA 21 Replace exit cable</t>
  </si>
  <si>
    <t>MNA 21 Upgrade regulator</t>
  </si>
  <si>
    <t>MNA 22 Reconductor Mooroopna Local</t>
  </si>
  <si>
    <t>MNA 34 Double circuit</t>
  </si>
  <si>
    <t>MNA 34 Reconductor Pogue</t>
  </si>
  <si>
    <t>MNA New feeder</t>
  </si>
  <si>
    <t>NKA 1 Reconductor 6/.144 ACSR Invergordon line</t>
  </si>
  <si>
    <t>SHN 11 Reconductor 2.1 km section Marungi</t>
  </si>
  <si>
    <t>SHN 11 Reconductor Shepparton North</t>
  </si>
  <si>
    <t>SHN 11 Replace Yabba North reg</t>
  </si>
  <si>
    <t>SHN 14 Replace 185 XLPE exit cable</t>
  </si>
  <si>
    <t>SHN 21 Boulevard tie</t>
  </si>
  <si>
    <t>SHN 22 Thermally uprate Pine Rd</t>
  </si>
  <si>
    <t>SHN 23 Replace 185 XLPE exit cable</t>
  </si>
  <si>
    <t>SHP New Feeders</t>
  </si>
  <si>
    <t>STN 12 Thermal uprate Archer St</t>
  </si>
  <si>
    <t>STN 21 Reconductor Channel Rd</t>
  </si>
  <si>
    <t>STN 21 River Rd tie</t>
  </si>
  <si>
    <t>STN 22 Bradford Rd tie</t>
  </si>
  <si>
    <t>STN 22 Construct Riverview Rafferty tie</t>
  </si>
  <si>
    <t>STN 22 Reconductor John, Hare and Macintosh</t>
  </si>
  <si>
    <t>STN 24 Reconductor Cosgrove Dookie</t>
  </si>
  <si>
    <t>STN New feeder to Lockwood Rd</t>
  </si>
  <si>
    <t>STN New feeder to Poplar Ave</t>
  </si>
  <si>
    <t>TAT Distribution works</t>
  </si>
  <si>
    <t>New SHTS-NKA №3 Line</t>
  </si>
  <si>
    <t>Uprate STN-MNA 66kV line (7.5km)</t>
  </si>
  <si>
    <t>SHN 3rd Transformer</t>
  </si>
  <si>
    <t>Uprate from 6 to 12 MVAr cap bank at SHN</t>
  </si>
  <si>
    <t>AFD 11 New feeder to milk product (ex WBL 2)</t>
  </si>
  <si>
    <t>AFD 12 New feeder to Mepanga ( part of WBL 7)</t>
  </si>
  <si>
    <t xml:space="preserve">AFD 21 New feeder to pick part of WBL3 </t>
  </si>
  <si>
    <t>CDN 1 Centre Spur Rd SWER aug</t>
  </si>
  <si>
    <t>CDN 6 / TRG1 Tie augment</t>
  </si>
  <si>
    <t xml:space="preserve">CDN ZSS feeder exits uprate </t>
  </si>
  <si>
    <t>CLC 3 Barongarook West P10 SWER Aug</t>
  </si>
  <si>
    <t>CLC 3 Mingawalla Swer Aug</t>
  </si>
  <si>
    <t>CLC 5 New subsidiary 22kV works (CLC - P216)</t>
  </si>
  <si>
    <t>CLC 6 / COB 11 Design of tie line for Lavers Hill</t>
  </si>
  <si>
    <t>CLC 6 Box Car Swer Aug</t>
  </si>
  <si>
    <t>CLC 6 Boxcar SWER Aug</t>
  </si>
  <si>
    <t>CLC 6 Recond Laver Hill b/w P 169-193</t>
  </si>
  <si>
    <t>CLC 6 Riverslea P3 swer Aug</t>
  </si>
  <si>
    <t>CLC 6 Riverslea P8 SWER Aug</t>
  </si>
  <si>
    <t>CLC 6 Uprate backbone to 65 deg 14km</t>
  </si>
  <si>
    <t>CLC 7 Uprate backbone b/w pole 135 to pole 199 with 3 by 19/3.25 aac</t>
  </si>
  <si>
    <t>CLC 7 Uprate backbone b/w pole 248 to pole 279 with 3 by 19/3.25 aac</t>
  </si>
  <si>
    <t>CLC006 - re cond pole 386 to pole 388 Gellibrand with 3 by 19/3.25 aac</t>
  </si>
  <si>
    <t>CLC006 - re cond pole 388 to pole 420 Gellibrand with 3 by 19/3.25 aac</t>
  </si>
  <si>
    <t>CLC006 - re cond pole 454 to pole 469 Gellibrand with 3 by 19/3.25 aac</t>
  </si>
  <si>
    <t>CLC006 - re cond pole 471 to pole 486 Gellibrand with 3 by 19/3.25 aac</t>
  </si>
  <si>
    <t xml:space="preserve">CLC006 reconductor Pole 2 CLC-CDN to pole 23 Gellibrand with 3 by 19/3.25 aac  </t>
  </si>
  <si>
    <t>HTN 1 Thermal uprate</t>
  </si>
  <si>
    <t>HTN 2 Strathdownie SWER aug</t>
  </si>
  <si>
    <t>KRT 12 / KRT 31 Tie  Cons</t>
  </si>
  <si>
    <t>LRN set up 22kV distribution works</t>
  </si>
  <si>
    <t>New COB022 feeder to pick up load off CDN001</t>
  </si>
  <si>
    <t xml:space="preserve">New feeder SSN 11 to keenedy's creek </t>
  </si>
  <si>
    <t>New feeder SSN 12 to Lowerheytesbury</t>
  </si>
  <si>
    <t>PLD 1 Add 3rd phase &amp; re conductor - Narrawong</t>
  </si>
  <si>
    <t>PLD 3 Brugman P19 swer Aug</t>
  </si>
  <si>
    <t>PLD 5 Thermal uprate on backbone</t>
  </si>
  <si>
    <t>WBL4 feeder to Allansford</t>
  </si>
  <si>
    <t>Cut in AFD into TRG-WBL #1 line (TRG-AFD &amp; AFD-WBL lines)</t>
  </si>
  <si>
    <t xml:space="preserve">AFD Build zonesubstation at allansford  </t>
  </si>
  <si>
    <t>CDN - 22kV bus uprate</t>
  </si>
  <si>
    <t>CLC - Augment 3rd 10/13.5 MVA transformer with new 20/33 MVA</t>
  </si>
  <si>
    <t>COB - Install Fans on Tx 2</t>
  </si>
  <si>
    <t>KRT Uprate Cap bank (6 to 9MVAr) with VAr control</t>
  </si>
  <si>
    <t>Lorne (LRN) Package Zone Substation (CLC5)</t>
  </si>
  <si>
    <t>PLD Install 3rd transformer</t>
  </si>
  <si>
    <t>PLD Install high capacity fans on transformer (x2)</t>
  </si>
  <si>
    <t>TRG- Install High capacity fans on transformers (x2)</t>
  </si>
  <si>
    <t>Low Voltage Substations</t>
  </si>
  <si>
    <t>Allocation of funds</t>
  </si>
  <si>
    <t>Low Voltage</t>
  </si>
  <si>
    <t>Demand Growth (MVA)</t>
  </si>
  <si>
    <t>Assumed Opex ($2015)</t>
  </si>
  <si>
    <t>Demand driven augex ($2015)</t>
  </si>
  <si>
    <t>Connected to</t>
  </si>
  <si>
    <t>LRMC Estimation</t>
  </si>
  <si>
    <t>Load forecast in MVA</t>
  </si>
  <si>
    <t>NPV</t>
  </si>
  <si>
    <t>Customer Category</t>
  </si>
  <si>
    <t>LRMC before diversity ($/kVA)</t>
  </si>
  <si>
    <t>Forecast Demand Driven Augex ($2015,mn)</t>
  </si>
  <si>
    <t>High Voltage Docklands</t>
  </si>
  <si>
    <t>Non-Residential Flexible Pricing</t>
  </si>
  <si>
    <t>Residential Demand</t>
  </si>
  <si>
    <t>Non-Residential Demand</t>
  </si>
  <si>
    <t>Large low Voltage</t>
  </si>
  <si>
    <t>Medium business demand</t>
  </si>
  <si>
    <t>Medium business opt-out</t>
  </si>
  <si>
    <t>Newstead Trial</t>
  </si>
  <si>
    <t>LRMC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</si>
</sst>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  <numFmt numFmtId="192" formatCode="0.0000%"/>
    <numFmt numFmtId="193" formatCode="_-* #,##0.000000_-;\-* #,##0.000000_-;_-* &quot;-&quot;??_-;_-@_-"/>
    <numFmt numFmtId="194" formatCode="0.00000%"/>
  </numFmts>
  <fonts count="7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rgb="FF00206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/>
        <bgColor theme="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5" fillId="39" borderId="17" applyNumberFormat="0" applyAlignment="0" applyProtection="0"/>
    <xf numFmtId="0" fontId="1" fillId="0" borderId="0"/>
  </cellStyleXfs>
  <cellXfs count="269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5" fontId="54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5" fillId="0" borderId="0" xfId="0" applyFont="1" applyFill="1" applyBorder="1" applyAlignment="1">
      <alignment horizontal="left"/>
    </xf>
    <xf numFmtId="43" fontId="55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6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39" fillId="0" borderId="13" xfId="62" applyNumberFormat="1" applyFont="1" applyBorder="1" applyAlignment="1">
      <alignment horizontal="right"/>
    </xf>
    <xf numFmtId="0" fontId="55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5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165" fontId="57" fillId="0" borderId="0" xfId="0" applyNumberFormat="1" applyFont="1" applyAlignment="1">
      <alignment horizontal="right"/>
    </xf>
    <xf numFmtId="165" fontId="55" fillId="0" borderId="0" xfId="0" applyNumberFormat="1" applyFont="1" applyAlignment="1">
      <alignment horizontal="right"/>
    </xf>
    <xf numFmtId="165" fontId="55" fillId="0" borderId="0" xfId="0" applyNumberFormat="1" applyFont="1"/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165" fontId="39" fillId="33" borderId="13" xfId="0" applyNumberFormat="1" applyFont="1" applyFill="1" applyBorder="1" applyAlignment="1">
      <alignment horizontal="right"/>
    </xf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5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0" fontId="39" fillId="29" borderId="0" xfId="0" applyFont="1" applyFill="1" applyBorder="1"/>
    <xf numFmtId="0" fontId="39" fillId="9" borderId="0" xfId="0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5" fillId="0" borderId="0" xfId="23" applyNumberFormat="1" applyFont="1" applyFill="1" applyBorder="1" applyAlignment="1">
      <alignment horizontal="right"/>
    </xf>
    <xf numFmtId="0" fontId="39" fillId="0" borderId="14" xfId="0" applyFont="1" applyBorder="1" applyAlignment="1">
      <alignment horizontal="left"/>
    </xf>
    <xf numFmtId="170" fontId="43" fillId="0" borderId="14" xfId="23" applyNumberFormat="1" applyFont="1" applyFill="1" applyBorder="1" applyAlignment="1">
      <alignment vertical="center"/>
    </xf>
    <xf numFmtId="0" fontId="57" fillId="0" borderId="0" xfId="0" applyFont="1" applyAlignment="1">
      <alignment horizontal="left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8" fillId="30" borderId="0" xfId="0" applyFont="1" applyFill="1"/>
    <xf numFmtId="0" fontId="58" fillId="30" borderId="0" xfId="0" applyFont="1" applyFill="1" applyBorder="1"/>
    <xf numFmtId="0" fontId="59" fillId="30" borderId="0" xfId="0" applyFont="1" applyFill="1"/>
    <xf numFmtId="0" fontId="60" fillId="0" borderId="0" xfId="0" applyFont="1"/>
    <xf numFmtId="0" fontId="60" fillId="28" borderId="0" xfId="0" applyFont="1" applyFill="1"/>
    <xf numFmtId="0" fontId="59" fillId="30" borderId="0" xfId="0" applyFont="1" applyFill="1" applyAlignment="1">
      <alignment horizontal="right"/>
    </xf>
    <xf numFmtId="0" fontId="58" fillId="30" borderId="0" xfId="0" applyFont="1" applyFill="1" applyAlignment="1">
      <alignment horizontal="center"/>
    </xf>
    <xf numFmtId="0" fontId="61" fillId="30" borderId="0" xfId="0" applyFont="1" applyFill="1" applyBorder="1" applyAlignment="1">
      <alignment horizontal="left"/>
    </xf>
    <xf numFmtId="0" fontId="62" fillId="30" borderId="0" xfId="0" applyFont="1" applyFill="1" applyBorder="1"/>
    <xf numFmtId="0" fontId="61" fillId="30" borderId="0" xfId="0" applyFont="1" applyFill="1" applyBorder="1" applyAlignment="1">
      <alignment horizontal="right"/>
    </xf>
    <xf numFmtId="0" fontId="62" fillId="30" borderId="0" xfId="0" applyFont="1" applyFill="1"/>
    <xf numFmtId="0" fontId="63" fillId="0" borderId="0" xfId="0" applyFont="1"/>
    <xf numFmtId="0" fontId="63" fillId="0" borderId="0" xfId="0" applyFont="1" applyFill="1" applyBorder="1"/>
    <xf numFmtId="0" fontId="61" fillId="30" borderId="0" xfId="0" applyFont="1" applyFill="1"/>
    <xf numFmtId="0" fontId="62" fillId="30" borderId="0" xfId="0" applyFont="1" applyFill="1" applyAlignment="1">
      <alignment horizontal="right"/>
    </xf>
    <xf numFmtId="169" fontId="39" fillId="0" borderId="0" xfId="0" applyNumberFormat="1" applyFont="1" applyBorder="1" applyAlignment="1">
      <alignment horizontal="center"/>
    </xf>
    <xf numFmtId="169" fontId="39" fillId="0" borderId="13" xfId="0" applyNumberFormat="1" applyFont="1" applyBorder="1" applyAlignment="1">
      <alignment horizontal="center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4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64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167" fontId="39" fillId="0" borderId="0" xfId="33" applyNumberFormat="1" applyFont="1" applyFill="1" applyBorder="1" applyAlignment="1">
      <alignment horizontal="right"/>
    </xf>
    <xf numFmtId="3" fontId="39" fillId="0" borderId="0" xfId="0" applyNumberFormat="1" applyFont="1"/>
    <xf numFmtId="0" fontId="0" fillId="40" borderId="0" xfId="0" applyFill="1"/>
    <xf numFmtId="8" fontId="0" fillId="40" borderId="0" xfId="0" applyNumberFormat="1" applyFill="1"/>
    <xf numFmtId="9" fontId="0" fillId="40" borderId="0" xfId="0" applyNumberFormat="1" applyFill="1"/>
    <xf numFmtId="10" fontId="39" fillId="0" borderId="0" xfId="0" applyNumberFormat="1" applyFont="1"/>
    <xf numFmtId="0" fontId="64" fillId="30" borderId="0" xfId="0" applyFont="1" applyFill="1"/>
    <xf numFmtId="0" fontId="46" fillId="32" borderId="0" xfId="0" applyFont="1" applyFill="1"/>
    <xf numFmtId="0" fontId="46" fillId="32" borderId="0" xfId="0" applyFont="1" applyFill="1" applyAlignment="1">
      <alignment horizontal="center"/>
    </xf>
    <xf numFmtId="0" fontId="39" fillId="32" borderId="0" xfId="0" applyFont="1" applyFill="1"/>
    <xf numFmtId="0" fontId="39" fillId="40" borderId="0" xfId="0" applyFont="1" applyFill="1"/>
    <xf numFmtId="0" fontId="46" fillId="42" borderId="0" xfId="0" applyFont="1" applyFill="1" applyBorder="1" applyAlignment="1">
      <alignment horizontal="center"/>
    </xf>
    <xf numFmtId="164" fontId="39" fillId="40" borderId="0" xfId="0" applyNumberFormat="1" applyFont="1" applyFill="1"/>
    <xf numFmtId="190" fontId="39" fillId="40" borderId="0" xfId="0" applyNumberFormat="1" applyFont="1" applyFill="1"/>
    <xf numFmtId="0" fontId="39" fillId="40" borderId="0" xfId="0" applyFont="1" applyFill="1" applyBorder="1"/>
    <xf numFmtId="164" fontId="68" fillId="0" borderId="0" xfId="0" applyNumberFormat="1" applyFont="1" applyFill="1" applyBorder="1" applyAlignment="1">
      <alignment horizontal="center"/>
    </xf>
    <xf numFmtId="8" fontId="69" fillId="40" borderId="0" xfId="0" applyNumberFormat="1" applyFont="1" applyFill="1" applyBorder="1" applyAlignment="1">
      <alignment horizontal="center"/>
    </xf>
    <xf numFmtId="3" fontId="39" fillId="31" borderId="0" xfId="0" applyNumberFormat="1" applyFont="1" applyFill="1"/>
    <xf numFmtId="8" fontId="39" fillId="41" borderId="0" xfId="122" applyNumberFormat="1" applyFont="1" applyFill="1" applyBorder="1" applyAlignment="1">
      <alignment horizontal="left"/>
    </xf>
    <xf numFmtId="0" fontId="46" fillId="42" borderId="0" xfId="0" applyFont="1" applyFill="1" applyBorder="1" applyAlignment="1">
      <alignment horizontal="left"/>
    </xf>
    <xf numFmtId="191" fontId="39" fillId="0" borderId="0" xfId="0" applyNumberFormat="1" applyFont="1" applyAlignment="1">
      <alignment horizontal="center"/>
    </xf>
    <xf numFmtId="191" fontId="39" fillId="0" borderId="0" xfId="0" applyNumberFormat="1" applyFont="1" applyBorder="1" applyAlignment="1">
      <alignment horizontal="center"/>
    </xf>
    <xf numFmtId="191" fontId="39" fillId="0" borderId="13" xfId="0" applyNumberFormat="1" applyFont="1" applyBorder="1" applyAlignment="1">
      <alignment horizontal="center"/>
    </xf>
    <xf numFmtId="0" fontId="46" fillId="32" borderId="14" xfId="0" applyFont="1" applyFill="1" applyBorder="1" applyAlignment="1">
      <alignment horizontal="center" vertical="center" wrapText="1"/>
    </xf>
    <xf numFmtId="0" fontId="46" fillId="32" borderId="14" xfId="0" applyFont="1" applyFill="1" applyBorder="1" applyAlignment="1">
      <alignment vertical="center"/>
    </xf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193" fontId="39" fillId="0" borderId="0" xfId="23" applyNumberFormat="1" applyFont="1"/>
    <xf numFmtId="192" fontId="54" fillId="0" borderId="0" xfId="62" applyNumberFormat="1" applyFont="1" applyBorder="1" applyAlignment="1">
      <alignment horizontal="right"/>
    </xf>
    <xf numFmtId="194" fontId="39" fillId="0" borderId="0" xfId="62" applyNumberFormat="1" applyFont="1" applyBorder="1" applyAlignment="1">
      <alignment horizontal="right"/>
    </xf>
    <xf numFmtId="194" fontId="39" fillId="0" borderId="13" xfId="62" applyNumberFormat="1" applyFont="1" applyBorder="1" applyAlignment="1">
      <alignment horizontal="right"/>
    </xf>
    <xf numFmtId="164" fontId="70" fillId="35" borderId="15" xfId="0" applyNumberFormat="1" applyFont="1" applyFill="1" applyBorder="1" applyAlignment="1">
      <alignment horizontal="right"/>
    </xf>
    <xf numFmtId="164" fontId="70" fillId="35" borderId="0" xfId="0" applyNumberFormat="1" applyFont="1" applyFill="1" applyBorder="1" applyAlignment="1">
      <alignment horizontal="right"/>
    </xf>
    <xf numFmtId="164" fontId="70" fillId="35" borderId="13" xfId="0" applyNumberFormat="1" applyFont="1" applyFill="1" applyBorder="1" applyAlignment="1">
      <alignment horizontal="right"/>
    </xf>
    <xf numFmtId="43" fontId="39" fillId="0" borderId="0" xfId="0" applyNumberFormat="1" applyFont="1"/>
    <xf numFmtId="192" fontId="71" fillId="0" borderId="0" xfId="62" applyNumberFormat="1" applyFont="1" applyBorder="1" applyAlignment="1">
      <alignment horizontal="right"/>
    </xf>
    <xf numFmtId="165" fontId="39" fillId="33" borderId="15" xfId="0" applyNumberFormat="1" applyFont="1" applyFill="1" applyBorder="1" applyAlignment="1">
      <alignment horizontal="right"/>
    </xf>
    <xf numFmtId="165" fontId="39" fillId="33" borderId="0" xfId="0" applyNumberFormat="1" applyFont="1" applyFill="1" applyBorder="1" applyAlignment="1">
      <alignment horizontal="right"/>
    </xf>
    <xf numFmtId="165" fontId="45" fillId="0" borderId="15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167" fontId="72" fillId="0" borderId="0" xfId="33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3" fontId="39" fillId="0" borderId="0" xfId="123" applyNumberFormat="1" applyFont="1" applyBorder="1" applyAlignment="1">
      <alignment horizontal="center"/>
    </xf>
    <xf numFmtId="10" fontId="45" fillId="35" borderId="16" xfId="0" applyNumberFormat="1" applyFont="1" applyFill="1" applyBorder="1" applyAlignment="1">
      <alignment horizontal="center"/>
    </xf>
  </cellXfs>
  <cellStyles count="124">
    <cellStyle name="Assumptions Center Currency" xfId="1"/>
    <cellStyle name="Assumptions Center Date" xfId="2"/>
    <cellStyle name="Assumptions Center Multiple" xfId="3"/>
    <cellStyle name="Assumptions Center Number" xfId="4"/>
    <cellStyle name="Assumptions Center Percentage" xfId="5"/>
    <cellStyle name="Assumptions Center Year" xfId="6"/>
    <cellStyle name="Assumptions Heading" xfId="7"/>
    <cellStyle name="Assumptions Right Currency" xfId="8"/>
    <cellStyle name="Assumptions Right Date" xfId="9"/>
    <cellStyle name="Assumptions Right Multiple" xfId="10"/>
    <cellStyle name="Assumptions Right Number" xfId="11"/>
    <cellStyle name="Assumptions Right Percentage" xfId="12"/>
    <cellStyle name="Assumptions Right Year" xfId="13"/>
    <cellStyle name="Calculation" xfId="122" builtinId="22"/>
    <cellStyle name="CaptionC" xfId="14"/>
    <cellStyle name="CaptionL" xfId="15"/>
    <cellStyle name="Cell Link" xfId="16"/>
    <cellStyle name="Center Currency" xfId="17"/>
    <cellStyle name="Center Date" xfId="18"/>
    <cellStyle name="Center Multiple" xfId="19"/>
    <cellStyle name="Center Number" xfId="20"/>
    <cellStyle name="Center Percentage" xfId="21"/>
    <cellStyle name="Center Year" xfId="22"/>
    <cellStyle name="Comma" xfId="23" builtinId="3"/>
    <cellStyle name="Comma  - Style1" xfId="24"/>
    <cellStyle name="Comma  - Style2" xfId="25"/>
    <cellStyle name="Comma  - Style3" xfId="26"/>
    <cellStyle name="Comma  - Style4" xfId="27"/>
    <cellStyle name="Comma  - Style5" xfId="28"/>
    <cellStyle name="Comma  - Style6" xfId="29"/>
    <cellStyle name="Comma  - Style7" xfId="30"/>
    <cellStyle name="Comma  - Style8" xfId="31"/>
    <cellStyle name="Comma [1]" xfId="32"/>
    <cellStyle name="Currency" xfId="33" builtinId="4"/>
    <cellStyle name="Currency [$0]" xfId="34"/>
    <cellStyle name="Currency [£0]" xfId="35"/>
    <cellStyle name="Euro" xfId="36"/>
    <cellStyle name="fred" xfId="37"/>
    <cellStyle name="Fred%" xfId="38"/>
    <cellStyle name="Grey" xfId="39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/>
    <cellStyle name="Hyperlink" xfId="45" builtinId="8"/>
    <cellStyle name="Hyperlink Arrow" xfId="46"/>
    <cellStyle name="Hyperlink Text" xfId="47"/>
    <cellStyle name="Input $" xfId="48"/>
    <cellStyle name="Input %" xfId="49"/>
    <cellStyle name="Input [yellow]" xfId="50"/>
    <cellStyle name="Input text" xfId="51"/>
    <cellStyle name="Input1" xfId="52"/>
    <cellStyle name="Input3" xfId="53"/>
    <cellStyle name="InputArea" xfId="54"/>
    <cellStyle name="InputAreaDotted" xfId="55"/>
    <cellStyle name="Lookup Table Heading" xfId="56"/>
    <cellStyle name="Lookup Table Label" xfId="57"/>
    <cellStyle name="Lookup Table Number" xfId="58"/>
    <cellStyle name="Model Name" xfId="59"/>
    <cellStyle name="Non crit Input 0.0" xfId="60"/>
    <cellStyle name="Normal" xfId="0" builtinId="0"/>
    <cellStyle name="Normal - Style1" xfId="61"/>
    <cellStyle name="Normal 2" xfId="123"/>
    <cellStyle name="Percent" xfId="62" builtinId="5"/>
    <cellStyle name="Percent [2]" xfId="63"/>
    <cellStyle name="Period Title" xfId="64"/>
    <cellStyle name="PSChar" xfId="65"/>
    <cellStyle name="PSDate" xfId="66"/>
    <cellStyle name="PSDec" xfId="67"/>
    <cellStyle name="PSHeading" xfId="68"/>
    <cellStyle name="PSSpacer" xfId="69"/>
    <cellStyle name="Right Currency" xfId="70"/>
    <cellStyle name="Right Date" xfId="71"/>
    <cellStyle name="Right Multiple" xfId="72"/>
    <cellStyle name="Right Number" xfId="73"/>
    <cellStyle name="Right Percentage" xfId="74"/>
    <cellStyle name="Right Year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ection Number" xfId="114"/>
    <cellStyle name="SEM-BPS-data" xfId="115"/>
    <cellStyle name="SEM-BPS-headdata" xfId="116"/>
    <cellStyle name="SEM-BPS-headkey" xfId="117"/>
    <cellStyle name="SEM-BPS-key" xfId="118"/>
    <cellStyle name="Sheet Title" xfId="119"/>
    <cellStyle name="StaticText" xfId="120"/>
    <cellStyle name="Title" xfId="121" builtinId="1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 Cost, Standalone Cost and Revenue Estimate ('000,$nom)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142199.08517158625</c:v>
                </c:pt>
                <c:pt idx="1">
                  <c:v>57804.732851415225</c:v>
                </c:pt>
                <c:pt idx="2">
                  <c:v>24254.731645859851</c:v>
                </c:pt>
                <c:pt idx="3">
                  <c:v>6334.0139936833893</c:v>
                </c:pt>
                <c:pt idx="4">
                  <c:v>1605.7094029792845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487515.71779505553</c:v>
                </c:pt>
                <c:pt idx="1">
                  <c:v>370455.6020689173</c:v>
                </c:pt>
                <c:pt idx="2">
                  <c:v>288729.51882015733</c:v>
                </c:pt>
                <c:pt idx="3">
                  <c:v>244728.61526043183</c:v>
                </c:pt>
                <c:pt idx="4">
                  <c:v>215311.21758843624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271960.04486893711</c:v>
                </c:pt>
                <c:pt idx="1">
                  <c:v>165714.5035310977</c:v>
                </c:pt>
                <c:pt idx="2">
                  <c:v>155353.04279237241</c:v>
                </c:pt>
                <c:pt idx="3">
                  <c:v>54768.18676104831</c:v>
                </c:pt>
                <c:pt idx="4">
                  <c:v>7683.8480658133285</c:v>
                </c:pt>
              </c:numCache>
            </c:numRef>
          </c:val>
          <c:smooth val="0"/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Summary!$F$17:$F$21</c:f>
              <c:numCache>
                <c:formatCode>#,##0</c:formatCode>
                <c:ptCount val="5"/>
                <c:pt idx="0">
                  <c:v>161172.84364809431</c:v>
                </c:pt>
                <c:pt idx="1">
                  <c:v>100135.76242297464</c:v>
                </c:pt>
                <c:pt idx="2">
                  <c:v>81258.454708157849</c:v>
                </c:pt>
                <c:pt idx="3">
                  <c:v>30677.366922335867</c:v>
                </c:pt>
                <c:pt idx="4">
                  <c:v>2266.6580131149994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68003328"/>
        <c:axId val="368013312"/>
      </c:lineChart>
      <c:catAx>
        <c:axId val="36800332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36801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0133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368003328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22</xdr:row>
      <xdr:rowOff>57150</xdr:rowOff>
    </xdr:from>
    <xdr:to>
      <xdr:col>5</xdr:col>
      <xdr:colOff>1371600</xdr:colOff>
      <xdr:row>44</xdr:row>
      <xdr:rowOff>66675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99"/>
  </sheetPr>
  <dimension ref="A1:R25"/>
  <sheetViews>
    <sheetView showGridLines="0" zoomScaleNormal="100" workbookViewId="0">
      <selection activeCell="C37" sqref="C37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202" customFormat="1" ht="18" customHeight="1">
      <c r="A1" s="198" t="s">
        <v>66</v>
      </c>
      <c r="B1" s="199"/>
      <c r="C1" s="199"/>
      <c r="D1" s="199"/>
      <c r="E1" s="199"/>
      <c r="F1" s="200"/>
      <c r="G1" s="200"/>
      <c r="H1" s="200"/>
      <c r="I1" s="200"/>
      <c r="J1" s="200"/>
      <c r="K1" s="200"/>
      <c r="L1" s="200"/>
      <c r="M1" s="200"/>
      <c r="N1" s="201"/>
      <c r="O1" s="201"/>
      <c r="P1" s="201"/>
      <c r="Q1" s="201"/>
      <c r="R1" s="201"/>
    </row>
    <row r="2" spans="1:18" s="210" customFormat="1" ht="15.75">
      <c r="A2" s="205" t="s">
        <v>112</v>
      </c>
      <c r="B2" s="206"/>
      <c r="C2" s="206"/>
      <c r="D2" s="207"/>
      <c r="E2" s="206"/>
      <c r="F2" s="206"/>
      <c r="G2" s="206"/>
      <c r="H2" s="208"/>
      <c r="I2" s="208"/>
      <c r="J2" s="208"/>
      <c r="K2" s="208"/>
      <c r="L2" s="208"/>
      <c r="M2" s="208"/>
      <c r="N2" s="209"/>
      <c r="O2" s="209"/>
      <c r="P2" s="209"/>
      <c r="Q2" s="209"/>
      <c r="R2" s="209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20" t="s">
        <v>113</v>
      </c>
      <c r="C5" s="220" t="s">
        <v>114</v>
      </c>
      <c r="D5" s="220"/>
      <c r="E5" s="220"/>
      <c r="F5" s="221"/>
      <c r="G5" s="222" t="s">
        <v>115</v>
      </c>
    </row>
    <row r="6" spans="1:18">
      <c r="F6" s="6"/>
      <c r="G6" s="6"/>
    </row>
    <row r="7" spans="1:18">
      <c r="B7" s="1" t="s">
        <v>117</v>
      </c>
      <c r="C7" s="1" t="s">
        <v>161</v>
      </c>
      <c r="F7" s="6"/>
      <c r="G7" s="8" t="s">
        <v>116</v>
      </c>
    </row>
    <row r="8" spans="1:18">
      <c r="F8" s="6"/>
      <c r="G8" s="9"/>
    </row>
    <row r="9" spans="1:18">
      <c r="B9" s="1" t="s">
        <v>118</v>
      </c>
      <c r="C9" s="1" t="s">
        <v>157</v>
      </c>
      <c r="F9" s="6"/>
      <c r="G9" s="10" t="s">
        <v>116</v>
      </c>
    </row>
    <row r="10" spans="1:18">
      <c r="F10" s="6"/>
      <c r="G10" s="6"/>
    </row>
    <row r="11" spans="1:18">
      <c r="B11" s="1" t="s">
        <v>118</v>
      </c>
      <c r="C11" s="1" t="s">
        <v>158</v>
      </c>
      <c r="F11" s="6"/>
      <c r="G11" s="11" t="s">
        <v>116</v>
      </c>
    </row>
    <row r="12" spans="1:18">
      <c r="F12" s="6"/>
      <c r="G12" s="6"/>
    </row>
    <row r="13" spans="1:18">
      <c r="B13" s="1" t="s">
        <v>118</v>
      </c>
      <c r="C13" s="1" t="s">
        <v>159</v>
      </c>
      <c r="F13" s="6"/>
      <c r="G13" s="12" t="s">
        <v>116</v>
      </c>
    </row>
    <row r="14" spans="1:18">
      <c r="F14" s="6"/>
      <c r="G14" s="6"/>
    </row>
    <row r="15" spans="1:18">
      <c r="B15" s="1" t="s">
        <v>118</v>
      </c>
      <c r="C15" s="1" t="s">
        <v>160</v>
      </c>
      <c r="F15" s="6"/>
      <c r="G15" s="13" t="s">
        <v>116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20" t="s">
        <v>163</v>
      </c>
      <c r="C19" s="220" t="s">
        <v>114</v>
      </c>
      <c r="D19" s="220"/>
      <c r="E19" s="220"/>
      <c r="F19" s="221"/>
      <c r="G19" s="222" t="s">
        <v>115</v>
      </c>
    </row>
    <row r="21" spans="2:7">
      <c r="B21" s="1" t="s">
        <v>164</v>
      </c>
      <c r="C21" s="1" t="s">
        <v>165</v>
      </c>
      <c r="G21" s="8" t="s">
        <v>116</v>
      </c>
    </row>
    <row r="23" spans="2:7">
      <c r="B23" s="1" t="s">
        <v>166</v>
      </c>
      <c r="C23" s="1" t="s">
        <v>167</v>
      </c>
      <c r="G23" s="223" t="s">
        <v>167</v>
      </c>
    </row>
    <row r="25" spans="2:7">
      <c r="B25" s="1" t="s">
        <v>168</v>
      </c>
      <c r="C25" s="1" t="s">
        <v>169</v>
      </c>
      <c r="G25" s="224" t="s">
        <v>169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P291"/>
  <sheetViews>
    <sheetView showGridLines="0" zoomScaleNormal="100" workbookViewId="0">
      <pane xSplit="2" ySplit="9" topLeftCell="C10" activePane="bottomRight" state="frozen"/>
      <selection activeCell="H21" sqref="H21"/>
      <selection pane="topRight" activeCell="H21" sqref="H21"/>
      <selection pane="bottomLeft" activeCell="H21" sqref="H21"/>
      <selection pane="bottomRight" activeCell="J129" sqref="J129"/>
    </sheetView>
  </sheetViews>
  <sheetFormatPr defaultRowHeight="12.75"/>
  <cols>
    <col min="1" max="1" width="3.14062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201" customFormat="1" ht="21">
      <c r="A1" s="198" t="s">
        <v>66</v>
      </c>
      <c r="B1" s="198"/>
      <c r="C1" s="198"/>
      <c r="D1" s="203"/>
      <c r="E1" s="204"/>
      <c r="F1" s="204"/>
      <c r="G1" s="200"/>
      <c r="H1" s="200"/>
      <c r="I1" s="200"/>
      <c r="J1" s="200"/>
      <c r="K1" s="200"/>
      <c r="L1" s="200"/>
      <c r="M1" s="200"/>
    </row>
    <row r="2" spans="1:15" s="209" customFormat="1" ht="15.75">
      <c r="A2" s="211" t="s">
        <v>67</v>
      </c>
      <c r="B2" s="208"/>
      <c r="C2" s="208"/>
      <c r="D2" s="212"/>
      <c r="E2" s="212"/>
      <c r="F2" s="208"/>
      <c r="G2" s="208"/>
      <c r="H2" s="208"/>
      <c r="I2" s="208"/>
      <c r="J2" s="208"/>
      <c r="K2" s="208"/>
      <c r="L2" s="208"/>
      <c r="M2" s="208"/>
    </row>
    <row r="3" spans="1:15" s="17" customFormat="1">
      <c r="B3" s="73"/>
      <c r="C3" s="73"/>
      <c r="D3" s="74"/>
      <c r="E3" s="74"/>
      <c r="F3" s="73"/>
      <c r="G3" s="73"/>
      <c r="H3" s="73"/>
      <c r="I3" s="73"/>
      <c r="J3" s="73"/>
      <c r="K3" s="73"/>
      <c r="L3" s="73"/>
      <c r="M3" s="73"/>
    </row>
    <row r="4" spans="1:15">
      <c r="B4" s="1" t="s">
        <v>35</v>
      </c>
      <c r="C4" s="268">
        <v>2.3230798209937155E-2</v>
      </c>
      <c r="D4" s="1"/>
    </row>
    <row r="5" spans="1:15">
      <c r="B5" s="1" t="s">
        <v>27</v>
      </c>
      <c r="C5" s="268">
        <v>4.3470888279073527E-2</v>
      </c>
      <c r="D5" s="1"/>
    </row>
    <row r="6" spans="1:15" s="17" customFormat="1">
      <c r="B6" s="17" t="s">
        <v>119</v>
      </c>
      <c r="C6" s="150">
        <v>2020</v>
      </c>
      <c r="D6" s="14">
        <f>IF(RIGHT(C6,1)="0",5,RIGHT(C6,1)-5)</f>
        <v>5</v>
      </c>
      <c r="E6" s="73"/>
      <c r="F6" s="73"/>
      <c r="G6" s="73"/>
      <c r="H6" s="73"/>
      <c r="I6" s="73"/>
      <c r="J6" s="73"/>
      <c r="K6" s="73"/>
      <c r="L6" s="73"/>
    </row>
    <row r="7" spans="1:15" s="17" customFormat="1">
      <c r="B7" s="17" t="s">
        <v>154</v>
      </c>
      <c r="C7" s="150" t="s">
        <v>156</v>
      </c>
      <c r="D7" s="14">
        <f>IF(C7="VPN",1,2)</f>
        <v>1</v>
      </c>
      <c r="E7" s="73"/>
      <c r="F7" s="73"/>
      <c r="G7" s="73"/>
      <c r="H7" s="73"/>
      <c r="I7" s="73"/>
      <c r="J7" s="73"/>
      <c r="K7" s="73"/>
      <c r="L7" s="73"/>
    </row>
    <row r="8" spans="1:15" s="17" customFormat="1">
      <c r="D8" s="151"/>
      <c r="E8" s="152"/>
      <c r="J8" s="1"/>
    </row>
    <row r="9" spans="1:15">
      <c r="B9" s="153"/>
      <c r="C9" s="153">
        <v>2014</v>
      </c>
      <c r="D9" s="153">
        <f>C9+1</f>
        <v>2015</v>
      </c>
      <c r="E9" s="153">
        <f>D9+1</f>
        <v>2016</v>
      </c>
      <c r="F9" s="153">
        <f t="shared" ref="F9:I9" si="0">E9+1</f>
        <v>2017</v>
      </c>
      <c r="G9" s="153">
        <f t="shared" si="0"/>
        <v>2018</v>
      </c>
      <c r="H9" s="153">
        <f t="shared" si="0"/>
        <v>2019</v>
      </c>
      <c r="I9" s="153">
        <f t="shared" si="0"/>
        <v>2020</v>
      </c>
    </row>
    <row r="10" spans="1:15" s="17" customFormat="1">
      <c r="B10" s="154"/>
      <c r="C10" s="154"/>
      <c r="D10" s="154"/>
      <c r="E10" s="154"/>
      <c r="F10" s="154"/>
      <c r="G10" s="154"/>
      <c r="H10" s="154"/>
      <c r="I10" s="154"/>
    </row>
    <row r="11" spans="1:15">
      <c r="B11" s="1" t="s">
        <v>132</v>
      </c>
      <c r="C11" s="155">
        <v>1.0362915789903879</v>
      </c>
      <c r="D11" s="155">
        <v>1</v>
      </c>
      <c r="E11" s="155">
        <v>0.97465886939571145</v>
      </c>
      <c r="F11" s="155">
        <v>0.94995991169172667</v>
      </c>
      <c r="G11" s="155">
        <v>0.92588685350070821</v>
      </c>
      <c r="H11" s="155">
        <v>0.90242383382135294</v>
      </c>
      <c r="I11" s="155">
        <v>0.87955539358806323</v>
      </c>
    </row>
    <row r="12" spans="1:15">
      <c r="B12" s="5"/>
      <c r="C12" s="5"/>
      <c r="D12" s="1"/>
      <c r="E12" s="1"/>
    </row>
    <row r="14" spans="1:15">
      <c r="B14" s="156" t="s">
        <v>131</v>
      </c>
      <c r="C14" s="76"/>
      <c r="D14" s="156"/>
      <c r="E14" s="77"/>
      <c r="F14" s="77"/>
      <c r="G14" s="77"/>
      <c r="H14" s="77"/>
      <c r="I14" s="77"/>
    </row>
    <row r="15" spans="1:15">
      <c r="B15" s="131" t="s">
        <v>47</v>
      </c>
      <c r="C15" s="263"/>
      <c r="D15" s="157"/>
      <c r="E15" s="261">
        <v>894000</v>
      </c>
      <c r="F15" s="157">
        <f>E15</f>
        <v>894000</v>
      </c>
      <c r="G15" s="157">
        <f t="shared" ref="G15:I15" si="1">F15</f>
        <v>894000</v>
      </c>
      <c r="H15" s="157">
        <f t="shared" si="1"/>
        <v>894000</v>
      </c>
      <c r="I15" s="157">
        <f t="shared" si="1"/>
        <v>894000</v>
      </c>
      <c r="K15" s="125"/>
      <c r="N15" s="158"/>
    </row>
    <row r="16" spans="1:15">
      <c r="B16" s="44" t="s">
        <v>50</v>
      </c>
      <c r="C16" s="264"/>
      <c r="D16" s="79"/>
      <c r="E16" s="262">
        <v>634000</v>
      </c>
      <c r="F16" s="79">
        <f t="shared" ref="F16:I16" si="2">E16</f>
        <v>634000</v>
      </c>
      <c r="G16" s="79">
        <f t="shared" si="2"/>
        <v>634000</v>
      </c>
      <c r="H16" s="79">
        <f t="shared" si="2"/>
        <v>634000</v>
      </c>
      <c r="I16" s="79">
        <f t="shared" si="2"/>
        <v>634000</v>
      </c>
      <c r="N16" s="158"/>
      <c r="O16" s="1" t="s">
        <v>124</v>
      </c>
    </row>
    <row r="17" spans="2:15">
      <c r="B17" s="44" t="s">
        <v>51</v>
      </c>
      <c r="C17" s="264"/>
      <c r="D17" s="79"/>
      <c r="E17" s="262">
        <v>404000</v>
      </c>
      <c r="F17" s="79">
        <f t="shared" ref="F17:I17" si="3">E17</f>
        <v>404000</v>
      </c>
      <c r="G17" s="79">
        <f t="shared" si="3"/>
        <v>404000</v>
      </c>
      <c r="H17" s="79">
        <f t="shared" si="3"/>
        <v>404000</v>
      </c>
      <c r="I17" s="79">
        <f t="shared" si="3"/>
        <v>404000</v>
      </c>
      <c r="N17" s="158"/>
      <c r="O17" s="1" t="s">
        <v>124</v>
      </c>
    </row>
    <row r="18" spans="2:15">
      <c r="B18" s="44" t="s">
        <v>48</v>
      </c>
      <c r="C18" s="264"/>
      <c r="D18" s="79"/>
      <c r="E18" s="262">
        <v>197000</v>
      </c>
      <c r="F18" s="79">
        <f t="shared" ref="F18:I18" si="4">E18</f>
        <v>197000</v>
      </c>
      <c r="G18" s="79">
        <f t="shared" si="4"/>
        <v>197000</v>
      </c>
      <c r="H18" s="79">
        <f t="shared" si="4"/>
        <v>197000</v>
      </c>
      <c r="I18" s="79">
        <f t="shared" si="4"/>
        <v>197000</v>
      </c>
      <c r="N18" s="158"/>
      <c r="O18" s="1" t="s">
        <v>124</v>
      </c>
    </row>
    <row r="19" spans="2:15">
      <c r="B19" s="51" t="s">
        <v>49</v>
      </c>
      <c r="C19" s="81"/>
      <c r="D19" s="81"/>
      <c r="E19" s="159">
        <v>86000</v>
      </c>
      <c r="F19" s="81">
        <f t="shared" ref="F19:I19" si="5">E19</f>
        <v>86000</v>
      </c>
      <c r="G19" s="81">
        <f t="shared" si="5"/>
        <v>86000</v>
      </c>
      <c r="H19" s="81">
        <f t="shared" si="5"/>
        <v>86000</v>
      </c>
      <c r="I19" s="81">
        <f t="shared" si="5"/>
        <v>86000</v>
      </c>
      <c r="N19" s="158"/>
      <c r="O19" s="1" t="s">
        <v>124</v>
      </c>
    </row>
    <row r="20" spans="2:15">
      <c r="E20" s="83"/>
      <c r="O20" s="1" t="s">
        <v>124</v>
      </c>
    </row>
    <row r="21" spans="2:15">
      <c r="B21" s="5"/>
      <c r="C21" s="5"/>
      <c r="E21" s="1"/>
      <c r="G21" s="117"/>
      <c r="H21" s="117"/>
      <c r="O21" s="1" t="s">
        <v>123</v>
      </c>
    </row>
    <row r="22" spans="2:15">
      <c r="B22" s="156" t="s">
        <v>36</v>
      </c>
      <c r="C22" s="156"/>
      <c r="D22" s="118"/>
      <c r="E22" s="77"/>
      <c r="F22" s="77"/>
      <c r="G22" s="77"/>
      <c r="H22" s="77"/>
      <c r="I22" s="77"/>
    </row>
    <row r="23" spans="2:15">
      <c r="B23" s="131" t="s">
        <v>6</v>
      </c>
      <c r="C23" s="160">
        <v>0.8</v>
      </c>
      <c r="D23" s="161">
        <f>$C23</f>
        <v>0.8</v>
      </c>
      <c r="E23" s="161">
        <f t="shared" ref="E23:I27" si="6">$C23</f>
        <v>0.8</v>
      </c>
      <c r="F23" s="161">
        <f t="shared" si="6"/>
        <v>0.8</v>
      </c>
      <c r="G23" s="161">
        <f t="shared" si="6"/>
        <v>0.8</v>
      </c>
      <c r="H23" s="161">
        <f t="shared" si="6"/>
        <v>0.8</v>
      </c>
      <c r="I23" s="161">
        <f t="shared" si="6"/>
        <v>0.8</v>
      </c>
    </row>
    <row r="24" spans="2:15">
      <c r="B24" s="44" t="s">
        <v>23</v>
      </c>
      <c r="C24" s="162">
        <v>0.8</v>
      </c>
      <c r="D24" s="43">
        <f t="shared" ref="D24:D27" si="7">$C24</f>
        <v>0.8</v>
      </c>
      <c r="E24" s="43">
        <f t="shared" si="6"/>
        <v>0.8</v>
      </c>
      <c r="F24" s="43">
        <f t="shared" si="6"/>
        <v>0.8</v>
      </c>
      <c r="G24" s="43">
        <f t="shared" si="6"/>
        <v>0.8</v>
      </c>
      <c r="H24" s="43">
        <f t="shared" si="6"/>
        <v>0.8</v>
      </c>
      <c r="I24" s="43">
        <f t="shared" si="6"/>
        <v>0.8</v>
      </c>
    </row>
    <row r="25" spans="2:15">
      <c r="B25" s="44" t="s">
        <v>5</v>
      </c>
      <c r="C25" s="162">
        <v>0.84599999999999997</v>
      </c>
      <c r="D25" s="43">
        <f t="shared" si="7"/>
        <v>0.84599999999999997</v>
      </c>
      <c r="E25" s="43">
        <f t="shared" si="6"/>
        <v>0.84599999999999997</v>
      </c>
      <c r="F25" s="43">
        <f t="shared" si="6"/>
        <v>0.84599999999999997</v>
      </c>
      <c r="G25" s="43">
        <f t="shared" si="6"/>
        <v>0.84599999999999997</v>
      </c>
      <c r="H25" s="43">
        <f t="shared" si="6"/>
        <v>0.84599999999999997</v>
      </c>
      <c r="I25" s="43">
        <f t="shared" si="6"/>
        <v>0.84599999999999997</v>
      </c>
    </row>
    <row r="26" spans="2:15">
      <c r="B26" s="44" t="s">
        <v>4</v>
      </c>
      <c r="C26" s="162">
        <v>0.9</v>
      </c>
      <c r="D26" s="43">
        <f t="shared" si="7"/>
        <v>0.9</v>
      </c>
      <c r="E26" s="43">
        <f t="shared" si="6"/>
        <v>0.9</v>
      </c>
      <c r="F26" s="43">
        <f t="shared" si="6"/>
        <v>0.9</v>
      </c>
      <c r="G26" s="43">
        <f t="shared" si="6"/>
        <v>0.9</v>
      </c>
      <c r="H26" s="43">
        <f t="shared" si="6"/>
        <v>0.9</v>
      </c>
      <c r="I26" s="43">
        <f t="shared" si="6"/>
        <v>0.9</v>
      </c>
    </row>
    <row r="27" spans="2:15">
      <c r="B27" s="51" t="s">
        <v>11</v>
      </c>
      <c r="C27" s="163">
        <v>0.95</v>
      </c>
      <c r="D27" s="122">
        <f t="shared" si="7"/>
        <v>0.95</v>
      </c>
      <c r="E27" s="122">
        <f t="shared" si="6"/>
        <v>0.95</v>
      </c>
      <c r="F27" s="122">
        <f t="shared" si="6"/>
        <v>0.95</v>
      </c>
      <c r="G27" s="122">
        <f t="shared" si="6"/>
        <v>0.95</v>
      </c>
      <c r="H27" s="122">
        <f t="shared" si="6"/>
        <v>0.95</v>
      </c>
      <c r="I27" s="122">
        <f t="shared" si="6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6" t="s">
        <v>37</v>
      </c>
      <c r="C30" s="156"/>
      <c r="D30" s="118"/>
      <c r="E30" s="77"/>
      <c r="F30" s="77"/>
      <c r="G30" s="77"/>
      <c r="H30" s="77"/>
      <c r="I30" s="77"/>
    </row>
    <row r="31" spans="2:15" ht="12" customHeight="1">
      <c r="B31" s="44" t="s">
        <v>6</v>
      </c>
      <c r="C31" s="162">
        <v>0.35</v>
      </c>
      <c r="D31" s="43">
        <f>$C31</f>
        <v>0.35</v>
      </c>
      <c r="E31" s="43">
        <f t="shared" ref="E31:I35" si="8">$C31</f>
        <v>0.35</v>
      </c>
      <c r="F31" s="43">
        <f t="shared" si="8"/>
        <v>0.35</v>
      </c>
      <c r="G31" s="43">
        <f t="shared" si="8"/>
        <v>0.35</v>
      </c>
      <c r="H31" s="43">
        <f t="shared" si="8"/>
        <v>0.35</v>
      </c>
      <c r="I31" s="43">
        <f t="shared" si="8"/>
        <v>0.35</v>
      </c>
    </row>
    <row r="32" spans="2:15" ht="12" customHeight="1">
      <c r="B32" s="44" t="s">
        <v>23</v>
      </c>
      <c r="C32" s="162">
        <v>0.35</v>
      </c>
      <c r="D32" s="43">
        <f t="shared" ref="D32:D35" si="9">$C32</f>
        <v>0.35</v>
      </c>
      <c r="E32" s="43">
        <f t="shared" si="8"/>
        <v>0.35</v>
      </c>
      <c r="F32" s="43">
        <f t="shared" si="8"/>
        <v>0.35</v>
      </c>
      <c r="G32" s="43">
        <f t="shared" si="8"/>
        <v>0.35</v>
      </c>
      <c r="H32" s="43">
        <f t="shared" si="8"/>
        <v>0.35</v>
      </c>
      <c r="I32" s="43">
        <f t="shared" si="8"/>
        <v>0.35</v>
      </c>
    </row>
    <row r="33" spans="2:11" ht="12" customHeight="1">
      <c r="B33" s="44" t="s">
        <v>5</v>
      </c>
      <c r="C33" s="162">
        <v>0.5</v>
      </c>
      <c r="D33" s="43">
        <f t="shared" si="9"/>
        <v>0.5</v>
      </c>
      <c r="E33" s="43">
        <f t="shared" si="8"/>
        <v>0.5</v>
      </c>
      <c r="F33" s="43">
        <f t="shared" si="8"/>
        <v>0.5</v>
      </c>
      <c r="G33" s="43">
        <f t="shared" si="8"/>
        <v>0.5</v>
      </c>
      <c r="H33" s="43">
        <f t="shared" si="8"/>
        <v>0.5</v>
      </c>
      <c r="I33" s="43">
        <f t="shared" si="8"/>
        <v>0.5</v>
      </c>
    </row>
    <row r="34" spans="2:11" ht="12" customHeight="1">
      <c r="B34" s="44" t="s">
        <v>4</v>
      </c>
      <c r="C34" s="162">
        <v>0.6</v>
      </c>
      <c r="D34" s="43">
        <f t="shared" si="9"/>
        <v>0.6</v>
      </c>
      <c r="E34" s="43">
        <f t="shared" si="8"/>
        <v>0.6</v>
      </c>
      <c r="F34" s="43">
        <f t="shared" si="8"/>
        <v>0.6</v>
      </c>
      <c r="G34" s="43">
        <f t="shared" si="8"/>
        <v>0.6</v>
      </c>
      <c r="H34" s="43">
        <f t="shared" si="8"/>
        <v>0.6</v>
      </c>
      <c r="I34" s="43">
        <f t="shared" si="8"/>
        <v>0.6</v>
      </c>
    </row>
    <row r="35" spans="2:11" ht="12" customHeight="1">
      <c r="B35" s="51" t="s">
        <v>11</v>
      </c>
      <c r="C35" s="163">
        <v>0.7</v>
      </c>
      <c r="D35" s="122">
        <f t="shared" si="9"/>
        <v>0.7</v>
      </c>
      <c r="E35" s="122">
        <f t="shared" si="8"/>
        <v>0.7</v>
      </c>
      <c r="F35" s="122">
        <f t="shared" si="8"/>
        <v>0.7</v>
      </c>
      <c r="G35" s="122">
        <f t="shared" si="8"/>
        <v>0.7</v>
      </c>
      <c r="H35" s="122">
        <f t="shared" si="8"/>
        <v>0.7</v>
      </c>
      <c r="I35" s="122">
        <f t="shared" si="8"/>
        <v>0.7</v>
      </c>
    </row>
    <row r="36" spans="2:11" ht="12" customHeight="1">
      <c r="E36" s="1"/>
    </row>
    <row r="37" spans="2:11" ht="12" customHeight="1">
      <c r="E37" s="1"/>
    </row>
    <row r="38" spans="2:11">
      <c r="B38" s="164" t="s">
        <v>120</v>
      </c>
      <c r="C38" s="164"/>
      <c r="D38" s="164"/>
      <c r="E38" s="77"/>
      <c r="F38" s="108"/>
      <c r="G38" s="108"/>
      <c r="H38" s="108"/>
      <c r="I38" s="108"/>
    </row>
    <row r="39" spans="2:11">
      <c r="B39" s="29" t="s">
        <v>11</v>
      </c>
      <c r="C39" s="165"/>
      <c r="D39" s="165"/>
      <c r="E39" s="166">
        <v>50</v>
      </c>
      <c r="F39" s="256">
        <v>50</v>
      </c>
      <c r="G39" s="167">
        <f t="shared" ref="G39:I39" si="10">F39</f>
        <v>50</v>
      </c>
      <c r="H39" s="167">
        <f t="shared" si="10"/>
        <v>50</v>
      </c>
      <c r="I39" s="167">
        <f t="shared" si="10"/>
        <v>50</v>
      </c>
      <c r="K39" s="125"/>
    </row>
    <row r="40" spans="2:11">
      <c r="B40" s="2" t="s">
        <v>14</v>
      </c>
      <c r="C40" s="168"/>
      <c r="D40" s="168"/>
      <c r="E40" s="169">
        <v>51</v>
      </c>
      <c r="F40" s="257">
        <v>51</v>
      </c>
      <c r="G40" s="170">
        <f t="shared" ref="G40:I40" si="11">F40</f>
        <v>51</v>
      </c>
      <c r="H40" s="170">
        <f t="shared" si="11"/>
        <v>51</v>
      </c>
      <c r="I40" s="170">
        <f t="shared" si="11"/>
        <v>51</v>
      </c>
      <c r="K40" s="125"/>
    </row>
    <row r="41" spans="2:11">
      <c r="B41" s="2" t="s">
        <v>15</v>
      </c>
      <c r="C41" s="168"/>
      <c r="D41" s="168"/>
      <c r="E41" s="171">
        <v>15</v>
      </c>
      <c r="F41" s="170">
        <f t="shared" ref="F41:I41" si="12">E41</f>
        <v>15</v>
      </c>
      <c r="G41" s="170">
        <f t="shared" si="12"/>
        <v>15</v>
      </c>
      <c r="H41" s="170">
        <f t="shared" si="12"/>
        <v>15</v>
      </c>
      <c r="I41" s="170">
        <f t="shared" si="12"/>
        <v>15</v>
      </c>
      <c r="J41" s="172"/>
    </row>
    <row r="42" spans="2:11">
      <c r="B42" s="18" t="s">
        <v>16</v>
      </c>
      <c r="C42" s="168"/>
      <c r="D42" s="168"/>
      <c r="E42" s="171">
        <v>25</v>
      </c>
      <c r="F42" s="170">
        <f t="shared" ref="F42:I42" si="13">E42</f>
        <v>25</v>
      </c>
      <c r="G42" s="170">
        <f t="shared" si="13"/>
        <v>25</v>
      </c>
      <c r="H42" s="170">
        <f t="shared" si="13"/>
        <v>25</v>
      </c>
      <c r="I42" s="170">
        <f t="shared" si="13"/>
        <v>25</v>
      </c>
      <c r="J42" s="172"/>
    </row>
    <row r="43" spans="2:11">
      <c r="B43" s="2" t="s">
        <v>17</v>
      </c>
      <c r="C43" s="168"/>
      <c r="D43" s="168"/>
      <c r="E43" s="169">
        <v>13</v>
      </c>
      <c r="F43" s="257">
        <v>13</v>
      </c>
      <c r="G43" s="170">
        <f t="shared" ref="G43:I43" si="14">F43</f>
        <v>13</v>
      </c>
      <c r="H43" s="170">
        <f t="shared" si="14"/>
        <v>13</v>
      </c>
      <c r="I43" s="170">
        <f t="shared" si="14"/>
        <v>13</v>
      </c>
    </row>
    <row r="44" spans="2:11">
      <c r="B44" s="2" t="s">
        <v>18</v>
      </c>
      <c r="C44" s="168"/>
      <c r="D44" s="168"/>
      <c r="E44" s="169">
        <v>6</v>
      </c>
      <c r="F44" s="257">
        <v>6</v>
      </c>
      <c r="G44" s="170">
        <f t="shared" ref="G44:I44" si="15">F44</f>
        <v>6</v>
      </c>
      <c r="H44" s="170">
        <f t="shared" si="15"/>
        <v>6</v>
      </c>
      <c r="I44" s="170">
        <f t="shared" si="15"/>
        <v>6</v>
      </c>
    </row>
    <row r="45" spans="2:11">
      <c r="B45" s="2" t="s">
        <v>19</v>
      </c>
      <c r="C45" s="168"/>
      <c r="D45" s="168"/>
      <c r="E45" s="169">
        <v>15</v>
      </c>
      <c r="F45" s="257">
        <v>15</v>
      </c>
      <c r="G45" s="170">
        <f t="shared" ref="G45:I45" si="16">F45</f>
        <v>15</v>
      </c>
      <c r="H45" s="170">
        <f t="shared" si="16"/>
        <v>15</v>
      </c>
      <c r="I45" s="170">
        <f t="shared" si="16"/>
        <v>15</v>
      </c>
    </row>
    <row r="46" spans="2:11">
      <c r="B46" s="32" t="s">
        <v>134</v>
      </c>
      <c r="C46" s="173"/>
      <c r="D46" s="173"/>
      <c r="E46" s="174">
        <v>26.503508507474454</v>
      </c>
      <c r="F46" s="258">
        <v>25.606197014581664</v>
      </c>
      <c r="G46" s="175">
        <f t="shared" ref="G46:I46" si="17">F46</f>
        <v>25.606197014581664</v>
      </c>
      <c r="H46" s="175">
        <f t="shared" si="17"/>
        <v>25.606197014581664</v>
      </c>
      <c r="I46" s="175">
        <f t="shared" si="17"/>
        <v>25.606197014581664</v>
      </c>
    </row>
    <row r="47" spans="2:11">
      <c r="E47" s="1"/>
    </row>
    <row r="48" spans="2:11">
      <c r="B48" s="164" t="s">
        <v>121</v>
      </c>
      <c r="C48" s="164"/>
      <c r="D48" s="164"/>
      <c r="E48" s="77"/>
      <c r="F48" s="108"/>
      <c r="G48" s="108"/>
      <c r="H48" s="108"/>
      <c r="I48" s="108"/>
    </row>
    <row r="49" spans="2:11">
      <c r="B49" s="29" t="s">
        <v>11</v>
      </c>
      <c r="C49" s="165"/>
      <c r="D49" s="165"/>
      <c r="E49" s="176">
        <v>37.119466451026568</v>
      </c>
      <c r="F49" s="167">
        <f t="shared" ref="F49:I49" si="18">E49</f>
        <v>37.119466451026568</v>
      </c>
      <c r="G49" s="167">
        <f t="shared" si="18"/>
        <v>37.119466451026568</v>
      </c>
      <c r="H49" s="167">
        <f t="shared" si="18"/>
        <v>37.119466451026568</v>
      </c>
      <c r="I49" s="167">
        <f t="shared" si="18"/>
        <v>37.119466451026568</v>
      </c>
      <c r="K49" s="125"/>
    </row>
    <row r="50" spans="2:11">
      <c r="B50" s="2" t="s">
        <v>14</v>
      </c>
      <c r="C50" s="168"/>
      <c r="D50" s="168"/>
      <c r="E50" s="177">
        <v>31.097664167363369</v>
      </c>
      <c r="F50" s="170">
        <f t="shared" ref="F50:I50" si="19">E50</f>
        <v>31.097664167363369</v>
      </c>
      <c r="G50" s="170">
        <f t="shared" si="19"/>
        <v>31.097664167363369</v>
      </c>
      <c r="H50" s="170">
        <f t="shared" si="19"/>
        <v>31.097664167363369</v>
      </c>
      <c r="I50" s="170">
        <f t="shared" si="19"/>
        <v>31.097664167363369</v>
      </c>
    </row>
    <row r="51" spans="2:11">
      <c r="B51" s="2" t="s">
        <v>15</v>
      </c>
      <c r="C51" s="168"/>
      <c r="D51" s="168"/>
      <c r="E51" s="177">
        <v>0.81213039720019342</v>
      </c>
      <c r="F51" s="170">
        <f t="shared" ref="F51:I51" si="20">E51</f>
        <v>0.81213039720019342</v>
      </c>
      <c r="G51" s="170">
        <f t="shared" si="20"/>
        <v>0.81213039720019342</v>
      </c>
      <c r="H51" s="170">
        <f t="shared" si="20"/>
        <v>0.81213039720019342</v>
      </c>
      <c r="I51" s="170">
        <f t="shared" si="20"/>
        <v>0.81213039720019342</v>
      </c>
    </row>
    <row r="52" spans="2:11">
      <c r="B52" s="18" t="s">
        <v>16</v>
      </c>
      <c r="C52" s="168"/>
      <c r="D52" s="168"/>
      <c r="E52" s="177">
        <v>8.1149067241880299</v>
      </c>
      <c r="F52" s="170">
        <f t="shared" ref="F52:I52" si="21">E52</f>
        <v>8.1149067241880299</v>
      </c>
      <c r="G52" s="170">
        <f t="shared" si="21"/>
        <v>8.1149067241880299</v>
      </c>
      <c r="H52" s="170">
        <f t="shared" si="21"/>
        <v>8.1149067241880299</v>
      </c>
      <c r="I52" s="170">
        <f t="shared" si="21"/>
        <v>8.1149067241880299</v>
      </c>
    </row>
    <row r="53" spans="2:11">
      <c r="B53" s="2" t="s">
        <v>17</v>
      </c>
      <c r="C53" s="168"/>
      <c r="D53" s="168"/>
      <c r="E53" s="177">
        <v>9.731537213186531</v>
      </c>
      <c r="F53" s="170">
        <f t="shared" ref="F53:I53" si="22">E53</f>
        <v>9.731537213186531</v>
      </c>
      <c r="G53" s="170">
        <f t="shared" si="22"/>
        <v>9.731537213186531</v>
      </c>
      <c r="H53" s="170">
        <f t="shared" si="22"/>
        <v>9.731537213186531</v>
      </c>
      <c r="I53" s="170">
        <f t="shared" si="22"/>
        <v>9.731537213186531</v>
      </c>
    </row>
    <row r="54" spans="2:11">
      <c r="B54" s="2" t="s">
        <v>18</v>
      </c>
      <c r="C54" s="168"/>
      <c r="D54" s="168"/>
      <c r="E54" s="177">
        <v>4.8792170589104265</v>
      </c>
      <c r="F54" s="170">
        <f t="shared" ref="F54:I54" si="23">E54</f>
        <v>4.8792170589104265</v>
      </c>
      <c r="G54" s="170">
        <f t="shared" si="23"/>
        <v>4.8792170589104265</v>
      </c>
      <c r="H54" s="170">
        <f t="shared" si="23"/>
        <v>4.8792170589104265</v>
      </c>
      <c r="I54" s="170">
        <f t="shared" si="23"/>
        <v>4.8792170589104265</v>
      </c>
    </row>
    <row r="55" spans="2:11">
      <c r="B55" s="2" t="s">
        <v>19</v>
      </c>
      <c r="C55" s="168"/>
      <c r="D55" s="168"/>
      <c r="E55" s="177">
        <v>9.4076424298216583</v>
      </c>
      <c r="F55" s="170">
        <f t="shared" ref="F55:I55" si="24">E55</f>
        <v>9.4076424298216583</v>
      </c>
      <c r="G55" s="170">
        <f t="shared" si="24"/>
        <v>9.4076424298216583</v>
      </c>
      <c r="H55" s="170">
        <f t="shared" si="24"/>
        <v>9.4076424298216583</v>
      </c>
      <c r="I55" s="170">
        <f t="shared" si="24"/>
        <v>9.4076424298216583</v>
      </c>
    </row>
    <row r="56" spans="2:11">
      <c r="B56" s="51" t="s">
        <v>134</v>
      </c>
      <c r="C56" s="173"/>
      <c r="D56" s="173"/>
      <c r="E56" s="178">
        <v>24.427466469391831</v>
      </c>
      <c r="F56" s="175">
        <f t="shared" ref="F56:I56" si="25">E56</f>
        <v>24.427466469391831</v>
      </c>
      <c r="G56" s="175">
        <f t="shared" si="25"/>
        <v>24.427466469391831</v>
      </c>
      <c r="H56" s="175">
        <f t="shared" si="25"/>
        <v>24.427466469391831</v>
      </c>
      <c r="I56" s="175">
        <f t="shared" si="25"/>
        <v>24.427466469391831</v>
      </c>
    </row>
    <row r="57" spans="2:11">
      <c r="E57" s="1"/>
    </row>
    <row r="58" spans="2:11">
      <c r="B58" s="164" t="s">
        <v>135</v>
      </c>
      <c r="C58" s="164"/>
      <c r="D58" s="164"/>
      <c r="E58" s="77"/>
      <c r="F58" s="77"/>
      <c r="G58" s="77"/>
      <c r="H58" s="77"/>
      <c r="I58" s="77"/>
    </row>
    <row r="59" spans="2:11">
      <c r="B59" s="2" t="s">
        <v>11</v>
      </c>
      <c r="C59" s="168"/>
      <c r="D59" s="168"/>
      <c r="E59" s="179">
        <v>397867.63609644753</v>
      </c>
      <c r="F59" s="265">
        <f>E59</f>
        <v>397867.63609644753</v>
      </c>
      <c r="G59" s="225">
        <f t="shared" ref="G59:I59" si="26">F59</f>
        <v>397867.63609644753</v>
      </c>
      <c r="H59" s="225">
        <f t="shared" si="26"/>
        <v>397867.63609644753</v>
      </c>
      <c r="I59" s="225">
        <f t="shared" si="26"/>
        <v>397867.63609644753</v>
      </c>
      <c r="J59" s="259"/>
      <c r="K59" s="125"/>
    </row>
    <row r="60" spans="2:11">
      <c r="B60" s="2" t="s">
        <v>14</v>
      </c>
      <c r="C60" s="168"/>
      <c r="D60" s="168"/>
      <c r="E60" s="179">
        <v>2500252.1932535786</v>
      </c>
      <c r="F60" s="265">
        <f t="shared" ref="F60:I60" si="27">E60</f>
        <v>2500252.1932535786</v>
      </c>
      <c r="G60" s="225">
        <f t="shared" si="27"/>
        <v>2500252.1932535786</v>
      </c>
      <c r="H60" s="225">
        <f t="shared" si="27"/>
        <v>2500252.1932535786</v>
      </c>
      <c r="I60" s="225">
        <f t="shared" si="27"/>
        <v>2500252.1932535786</v>
      </c>
      <c r="J60" s="259"/>
    </row>
    <row r="61" spans="2:11">
      <c r="B61" s="2" t="s">
        <v>15</v>
      </c>
      <c r="C61" s="168"/>
      <c r="D61" s="168"/>
      <c r="E61" s="179">
        <v>13339.144448176357</v>
      </c>
      <c r="F61" s="265">
        <f t="shared" ref="F61:I61" si="28">E61</f>
        <v>13339.144448176357</v>
      </c>
      <c r="G61" s="225">
        <f t="shared" si="28"/>
        <v>13339.144448176357</v>
      </c>
      <c r="H61" s="225">
        <f t="shared" si="28"/>
        <v>13339.144448176357</v>
      </c>
      <c r="I61" s="225">
        <f t="shared" si="28"/>
        <v>13339.144448176357</v>
      </c>
    </row>
    <row r="62" spans="2:11">
      <c r="B62" s="18" t="s">
        <v>16</v>
      </c>
      <c r="C62" s="168"/>
      <c r="D62" s="168"/>
      <c r="E62" s="179">
        <v>12648.851520772008</v>
      </c>
      <c r="F62" s="265">
        <f t="shared" ref="F62:I62" si="29">E62</f>
        <v>12648.851520772008</v>
      </c>
      <c r="G62" s="225">
        <f t="shared" si="29"/>
        <v>12648.851520772008</v>
      </c>
      <c r="H62" s="225">
        <f t="shared" si="29"/>
        <v>12648.851520772008</v>
      </c>
      <c r="I62" s="225">
        <f t="shared" si="29"/>
        <v>12648.851520772008</v>
      </c>
    </row>
    <row r="63" spans="2:11">
      <c r="B63" s="2" t="s">
        <v>17</v>
      </c>
      <c r="C63" s="168"/>
      <c r="D63" s="168"/>
      <c r="E63" s="179">
        <v>15642.34525838385</v>
      </c>
      <c r="F63" s="265">
        <f t="shared" ref="F63:I63" si="30">E63</f>
        <v>15642.34525838385</v>
      </c>
      <c r="G63" s="225">
        <f t="shared" si="30"/>
        <v>15642.34525838385</v>
      </c>
      <c r="H63" s="225">
        <f t="shared" si="30"/>
        <v>15642.34525838385</v>
      </c>
      <c r="I63" s="225">
        <f t="shared" si="30"/>
        <v>15642.34525838385</v>
      </c>
    </row>
    <row r="64" spans="2:11">
      <c r="B64" s="2" t="s">
        <v>18</v>
      </c>
      <c r="C64" s="168"/>
      <c r="D64" s="168"/>
      <c r="E64" s="179">
        <v>93503.473915467912</v>
      </c>
      <c r="F64" s="265">
        <f t="shared" ref="F64:I64" si="31">E64</f>
        <v>93503.473915467912</v>
      </c>
      <c r="G64" s="225">
        <f t="shared" si="31"/>
        <v>93503.473915467912</v>
      </c>
      <c r="H64" s="225">
        <f t="shared" si="31"/>
        <v>93503.473915467912</v>
      </c>
      <c r="I64" s="225">
        <f t="shared" si="31"/>
        <v>93503.473915467912</v>
      </c>
    </row>
    <row r="65" spans="2:16">
      <c r="B65" s="2" t="s">
        <v>19</v>
      </c>
      <c r="C65" s="168"/>
      <c r="D65" s="168"/>
      <c r="E65" s="179">
        <v>148698.20945306667</v>
      </c>
      <c r="F65" s="265">
        <f t="shared" ref="F65:I65" si="32">E65</f>
        <v>148698.20945306667</v>
      </c>
      <c r="G65" s="225">
        <f t="shared" si="32"/>
        <v>148698.20945306667</v>
      </c>
      <c r="H65" s="225">
        <f t="shared" si="32"/>
        <v>148698.20945306667</v>
      </c>
      <c r="I65" s="225">
        <f t="shared" si="32"/>
        <v>148698.20945306667</v>
      </c>
    </row>
    <row r="66" spans="2:16">
      <c r="B66" s="32" t="s">
        <v>134</v>
      </c>
      <c r="C66" s="168"/>
      <c r="D66" s="168"/>
      <c r="E66" s="179">
        <v>101674.87028654</v>
      </c>
      <c r="F66" s="265">
        <f t="shared" ref="F66:I66" si="33">E66</f>
        <v>101674.87028654</v>
      </c>
      <c r="G66" s="225">
        <f t="shared" si="33"/>
        <v>101674.87028654</v>
      </c>
      <c r="H66" s="225">
        <f t="shared" si="33"/>
        <v>101674.87028654</v>
      </c>
      <c r="I66" s="225">
        <f t="shared" si="33"/>
        <v>101674.87028654</v>
      </c>
    </row>
    <row r="67" spans="2:16">
      <c r="B67" s="19" t="s">
        <v>3</v>
      </c>
      <c r="C67" s="19"/>
      <c r="D67" s="21"/>
      <c r="E67" s="21">
        <f>SUM(E59:E66)</f>
        <v>3283626.7242324338</v>
      </c>
      <c r="F67" s="21">
        <f t="shared" ref="F67:I67" si="34">SUM(F59:F66)</f>
        <v>3283626.7242324338</v>
      </c>
      <c r="G67" s="21">
        <f t="shared" si="34"/>
        <v>3283626.7242324338</v>
      </c>
      <c r="H67" s="21">
        <f t="shared" si="34"/>
        <v>3283626.7242324338</v>
      </c>
      <c r="I67" s="21">
        <f t="shared" si="34"/>
        <v>3283626.7242324338</v>
      </c>
      <c r="K67" s="181"/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6" t="s">
        <v>137</v>
      </c>
      <c r="C70" s="76"/>
      <c r="D70" s="130"/>
      <c r="E70" s="77"/>
      <c r="F70" s="77"/>
      <c r="G70" s="77"/>
      <c r="H70" s="77"/>
      <c r="I70" s="77"/>
    </row>
    <row r="71" spans="2:16">
      <c r="B71" s="44" t="s">
        <v>69</v>
      </c>
      <c r="C71" s="180"/>
      <c r="D71" s="180"/>
      <c r="E71" s="182">
        <v>227208.57397562551</v>
      </c>
      <c r="F71" s="182">
        <v>231054.92102490133</v>
      </c>
      <c r="G71" s="182">
        <v>238437.543917806</v>
      </c>
      <c r="H71" s="182">
        <v>243472.28311841775</v>
      </c>
      <c r="I71" s="182">
        <v>249985.63510446332</v>
      </c>
      <c r="K71" s="125"/>
      <c r="L71" s="110"/>
      <c r="M71" s="110"/>
      <c r="N71" s="110"/>
    </row>
    <row r="72" spans="2:16">
      <c r="B72" s="44" t="s">
        <v>41</v>
      </c>
      <c r="C72" s="180"/>
      <c r="D72" s="180"/>
      <c r="E72" s="182">
        <f>E71*68%</f>
        <v>154501.83030342535</v>
      </c>
      <c r="F72" s="182">
        <f t="shared" ref="F72:I72" si="35">F71*68%</f>
        <v>157117.34629693293</v>
      </c>
      <c r="G72" s="182">
        <f t="shared" si="35"/>
        <v>162137.5298641081</v>
      </c>
      <c r="H72" s="182">
        <f t="shared" si="35"/>
        <v>165561.15252052408</v>
      </c>
      <c r="I72" s="182">
        <f t="shared" si="35"/>
        <v>169990.23187103507</v>
      </c>
      <c r="K72" s="183"/>
      <c r="L72" s="183"/>
      <c r="M72" s="183"/>
      <c r="N72" s="183"/>
    </row>
    <row r="73" spans="2:16">
      <c r="B73" s="44" t="s">
        <v>8</v>
      </c>
      <c r="C73" s="180"/>
      <c r="D73" s="180"/>
      <c r="E73" s="184">
        <v>107893.79738398262</v>
      </c>
      <c r="F73" s="184">
        <v>94800.106674881201</v>
      </c>
      <c r="G73" s="184">
        <v>100976.71379708598</v>
      </c>
      <c r="H73" s="184">
        <v>107998.95393364347</v>
      </c>
      <c r="I73" s="184">
        <v>109188.68686225275</v>
      </c>
    </row>
    <row r="74" spans="2:16">
      <c r="B74" s="44" t="s">
        <v>148</v>
      </c>
      <c r="C74" s="180"/>
      <c r="D74" s="180"/>
      <c r="E74" s="182">
        <f>E71*9%</f>
        <v>20448.771657806294</v>
      </c>
      <c r="F74" s="182">
        <f t="shared" ref="F74:I74" si="36">F71*9%</f>
        <v>20794.942892241117</v>
      </c>
      <c r="G74" s="182">
        <f t="shared" si="36"/>
        <v>21459.378952602539</v>
      </c>
      <c r="H74" s="182">
        <f t="shared" si="36"/>
        <v>21912.505480657597</v>
      </c>
      <c r="I74" s="182">
        <f t="shared" si="36"/>
        <v>22498.707159401696</v>
      </c>
      <c r="K74" s="183"/>
      <c r="L74" s="183"/>
      <c r="M74" s="183"/>
      <c r="N74" s="183"/>
    </row>
    <row r="75" spans="2:16">
      <c r="B75" s="2" t="s">
        <v>39</v>
      </c>
      <c r="C75" s="180"/>
      <c r="D75" s="180"/>
      <c r="E75" s="182">
        <v>2992.2484206374374</v>
      </c>
      <c r="F75" s="182">
        <v>6588.8577166085506</v>
      </c>
      <c r="G75" s="182">
        <v>10911.11768746742</v>
      </c>
      <c r="H75" s="182">
        <v>15298.932017290164</v>
      </c>
      <c r="I75" s="182">
        <v>19837.330166553736</v>
      </c>
    </row>
    <row r="76" spans="2:16">
      <c r="B76" s="32" t="s">
        <v>40</v>
      </c>
      <c r="C76" s="185"/>
      <c r="D76" s="185"/>
      <c r="E76" s="186">
        <v>64710.599206995517</v>
      </c>
      <c r="F76" s="186">
        <v>63125.106904084219</v>
      </c>
      <c r="G76" s="186">
        <v>45025.146806653356</v>
      </c>
      <c r="H76" s="186">
        <v>54030.533421437489</v>
      </c>
      <c r="I76" s="186">
        <v>47398.40617592635</v>
      </c>
      <c r="K76" s="183"/>
      <c r="L76" s="183"/>
      <c r="M76" s="183"/>
      <c r="N76" s="183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3"/>
      <c r="L78" s="183"/>
      <c r="M78" s="183"/>
      <c r="N78" s="183"/>
    </row>
    <row r="79" spans="2:16">
      <c r="B79" s="140" t="s">
        <v>28</v>
      </c>
      <c r="C79" s="141"/>
      <c r="D79" s="142"/>
      <c r="E79" s="77"/>
      <c r="F79" s="77"/>
      <c r="G79" s="77"/>
      <c r="H79" s="77"/>
      <c r="I79" s="77"/>
    </row>
    <row r="80" spans="2:16">
      <c r="B80" s="187" t="s">
        <v>81</v>
      </c>
      <c r="C80" s="188" t="s">
        <v>6</v>
      </c>
      <c r="D80" s="189">
        <v>2132775483.5235205</v>
      </c>
      <c r="E80" s="189">
        <v>2040084491.1435311</v>
      </c>
      <c r="F80" s="189">
        <v>2020419147.501261</v>
      </c>
      <c r="G80" s="189">
        <v>2272899089.5894732</v>
      </c>
      <c r="H80" s="189">
        <v>2331076405.8972816</v>
      </c>
      <c r="I80" s="189">
        <v>2509366847.1791286</v>
      </c>
    </row>
    <row r="81" spans="2:9">
      <c r="B81" s="187" t="s">
        <v>139</v>
      </c>
      <c r="C81" s="188" t="s">
        <v>6</v>
      </c>
      <c r="D81" s="189">
        <v>27120108.935924806</v>
      </c>
      <c r="E81" s="189">
        <v>32830411.22500781</v>
      </c>
      <c r="F81" s="189">
        <v>32815805.873356834</v>
      </c>
      <c r="G81" s="189">
        <v>27776324.977725558</v>
      </c>
      <c r="H81" s="189">
        <v>28624275.838168614</v>
      </c>
      <c r="I81" s="189">
        <v>27810060.710982971</v>
      </c>
    </row>
    <row r="82" spans="2:9">
      <c r="B82" s="187" t="s">
        <v>140</v>
      </c>
      <c r="C82" s="188" t="s">
        <v>6</v>
      </c>
      <c r="D82" s="189">
        <v>8415514.2112933993</v>
      </c>
      <c r="E82" s="189">
        <v>10838176.646465063</v>
      </c>
      <c r="F82" s="189">
        <v>11027033.444627289</v>
      </c>
      <c r="G82" s="189">
        <v>8460875.0974298641</v>
      </c>
      <c r="H82" s="189">
        <v>8838001.5787134673</v>
      </c>
      <c r="I82" s="189">
        <v>8642037.9168540128</v>
      </c>
    </row>
    <row r="83" spans="2:9">
      <c r="B83" s="187" t="s">
        <v>141</v>
      </c>
      <c r="C83" s="188" t="s">
        <v>6</v>
      </c>
      <c r="D83" s="189">
        <v>12677520.932321202</v>
      </c>
      <c r="E83" s="189">
        <v>22293592.028332226</v>
      </c>
      <c r="F83" s="189">
        <v>28981669.636831895</v>
      </c>
      <c r="G83" s="189">
        <v>16023696.184223874</v>
      </c>
      <c r="H83" s="189">
        <v>16662257.613059899</v>
      </c>
      <c r="I83" s="189">
        <v>16419628.196525481</v>
      </c>
    </row>
    <row r="84" spans="2:9">
      <c r="B84" s="187" t="s">
        <v>142</v>
      </c>
      <c r="C84" s="188" t="s">
        <v>6</v>
      </c>
      <c r="D84" s="189">
        <v>5430.482328000001</v>
      </c>
      <c r="E84" s="189">
        <v>12747.343173239</v>
      </c>
      <c r="F84" s="189">
        <v>13384.710331900951</v>
      </c>
      <c r="G84" s="189">
        <v>5674.564833212863</v>
      </c>
      <c r="H84" s="189">
        <v>5528.7075406615122</v>
      </c>
      <c r="I84" s="189">
        <v>5627.6820728598495</v>
      </c>
    </row>
    <row r="85" spans="2:9">
      <c r="B85" s="187" t="s">
        <v>143</v>
      </c>
      <c r="C85" s="188" t="s">
        <v>6</v>
      </c>
      <c r="D85" s="189">
        <v>0</v>
      </c>
      <c r="E85" s="189">
        <v>24088.336430059229</v>
      </c>
      <c r="F85" s="189">
        <v>24088.336430059229</v>
      </c>
      <c r="G85" s="189">
        <v>92437.415148704473</v>
      </c>
      <c r="H85" s="189">
        <v>97255.021714513714</v>
      </c>
      <c r="I85" s="189">
        <v>100166.18697262542</v>
      </c>
    </row>
    <row r="86" spans="2:9">
      <c r="B86" s="187" t="s">
        <v>144</v>
      </c>
      <c r="C86" s="188" t="s">
        <v>6</v>
      </c>
      <c r="D86" s="189">
        <v>0</v>
      </c>
      <c r="E86" s="189">
        <v>0</v>
      </c>
      <c r="F86" s="189">
        <v>0</v>
      </c>
      <c r="G86" s="189">
        <v>11930.930400874076</v>
      </c>
      <c r="H86" s="189">
        <v>10976.153012747718</v>
      </c>
      <c r="I86" s="189">
        <v>47230.704175009523</v>
      </c>
    </row>
    <row r="87" spans="2:9">
      <c r="B87" s="187" t="s">
        <v>82</v>
      </c>
      <c r="C87" s="188" t="s">
        <v>6</v>
      </c>
      <c r="D87" s="189">
        <v>240518403.8960942</v>
      </c>
      <c r="E87" s="189">
        <v>223146098.31006247</v>
      </c>
      <c r="F87" s="189">
        <v>200753769.73835719</v>
      </c>
      <c r="G87" s="189">
        <v>237198905.77879077</v>
      </c>
      <c r="H87" s="189">
        <v>241281610.56345147</v>
      </c>
      <c r="I87" s="189">
        <v>238427280.30593872</v>
      </c>
    </row>
    <row r="88" spans="2:9">
      <c r="B88" s="187" t="s">
        <v>83</v>
      </c>
      <c r="C88" s="188" t="s">
        <v>6</v>
      </c>
      <c r="D88" s="189">
        <v>3738916.9832702</v>
      </c>
      <c r="E88" s="189">
        <v>3603459.7356161205</v>
      </c>
      <c r="F88" s="189">
        <v>3515311.0467145434</v>
      </c>
      <c r="G88" s="189">
        <v>3443919.5270876894</v>
      </c>
      <c r="H88" s="189">
        <v>3534353.0489872582</v>
      </c>
      <c r="I88" s="189">
        <v>3503100.3626599857</v>
      </c>
    </row>
    <row r="89" spans="2:9">
      <c r="B89" s="187" t="s">
        <v>84</v>
      </c>
      <c r="C89" s="188" t="s">
        <v>6</v>
      </c>
      <c r="D89" s="189">
        <v>561346588.42912006</v>
      </c>
      <c r="E89" s="189">
        <v>555873205.55582118</v>
      </c>
      <c r="F89" s="189">
        <v>533638277.33358836</v>
      </c>
      <c r="G89" s="189">
        <v>558736668.02927661</v>
      </c>
      <c r="H89" s="189">
        <v>572763791.60599363</v>
      </c>
      <c r="I89" s="189">
        <v>467684024.69421959</v>
      </c>
    </row>
    <row r="90" spans="2:9">
      <c r="B90" s="187" t="s">
        <v>145</v>
      </c>
      <c r="C90" s="188" t="s">
        <v>6</v>
      </c>
      <c r="D90" s="189">
        <v>87768313.498564005</v>
      </c>
      <c r="E90" s="189">
        <v>102774087.83255759</v>
      </c>
      <c r="F90" s="189">
        <v>154161131.7488364</v>
      </c>
      <c r="G90" s="189">
        <v>86643719.340103775</v>
      </c>
      <c r="H90" s="189">
        <v>83773204.99038747</v>
      </c>
      <c r="I90" s="189">
        <v>0</v>
      </c>
    </row>
    <row r="91" spans="2:9">
      <c r="B91" s="187" t="s">
        <v>146</v>
      </c>
      <c r="C91" s="188" t="s">
        <v>6</v>
      </c>
      <c r="D91" s="189">
        <v>126903.95609119999</v>
      </c>
      <c r="E91" s="189">
        <v>189211.30402030831</v>
      </c>
      <c r="F91" s="189">
        <v>236514.13002538538</v>
      </c>
      <c r="G91" s="189">
        <v>130691.57086432293</v>
      </c>
      <c r="H91" s="189">
        <v>132818.91221797068</v>
      </c>
      <c r="I91" s="189">
        <v>0</v>
      </c>
    </row>
    <row r="92" spans="2:9">
      <c r="B92" s="187" t="s">
        <v>85</v>
      </c>
      <c r="C92" s="188" t="s">
        <v>6</v>
      </c>
      <c r="D92" s="189">
        <v>335930107.66238898</v>
      </c>
      <c r="E92" s="189">
        <v>318833169.65011698</v>
      </c>
      <c r="F92" s="189">
        <v>309268174.56061345</v>
      </c>
      <c r="G92" s="189">
        <v>314989326.96128088</v>
      </c>
      <c r="H92" s="189">
        <v>299067283.1975646</v>
      </c>
      <c r="I92" s="189">
        <v>377403993.95361656</v>
      </c>
    </row>
    <row r="93" spans="2:9">
      <c r="B93" s="187" t="s">
        <v>86</v>
      </c>
      <c r="C93" s="188" t="s">
        <v>6</v>
      </c>
      <c r="D93" s="189">
        <v>11051123.872353001</v>
      </c>
      <c r="E93" s="189">
        <v>10580002.457772825</v>
      </c>
      <c r="F93" s="189">
        <v>10262602.38403964</v>
      </c>
      <c r="G93" s="189">
        <v>10630893.4556701</v>
      </c>
      <c r="H93" s="189">
        <v>10244581.412250066</v>
      </c>
      <c r="I93" s="189">
        <v>0</v>
      </c>
    </row>
    <row r="94" spans="2:9">
      <c r="B94" s="187" t="s">
        <v>643</v>
      </c>
      <c r="C94" s="188" t="s">
        <v>6</v>
      </c>
      <c r="D94" s="189"/>
      <c r="E94" s="189">
        <v>0</v>
      </c>
      <c r="F94" s="189">
        <v>27500</v>
      </c>
      <c r="G94" s="189">
        <v>27500</v>
      </c>
      <c r="H94" s="189">
        <v>21993.752588794796</v>
      </c>
      <c r="I94" s="189">
        <v>17808.241684154269</v>
      </c>
    </row>
    <row r="95" spans="2:9">
      <c r="B95" s="187" t="s">
        <v>648</v>
      </c>
      <c r="C95" s="188" t="s">
        <v>6</v>
      </c>
      <c r="D95" s="189"/>
      <c r="E95" s="189"/>
      <c r="F95" s="189">
        <v>0</v>
      </c>
      <c r="G95" s="189">
        <v>0</v>
      </c>
      <c r="H95" s="189">
        <v>410755.82787942357</v>
      </c>
      <c r="I95" s="189">
        <v>42793.42515969419</v>
      </c>
    </row>
    <row r="96" spans="2:9">
      <c r="B96" s="187" t="s">
        <v>87</v>
      </c>
      <c r="C96" s="188" t="s">
        <v>23</v>
      </c>
      <c r="D96" s="189">
        <v>297533461.76913595</v>
      </c>
      <c r="E96" s="189">
        <v>315950044.3685506</v>
      </c>
      <c r="F96" s="189">
        <v>256404043.37810862</v>
      </c>
      <c r="G96" s="189">
        <v>256381416.1258947</v>
      </c>
      <c r="H96" s="189">
        <v>280140182.39847231</v>
      </c>
      <c r="I96" s="189">
        <v>285894018.26903731</v>
      </c>
    </row>
    <row r="97" spans="2:9">
      <c r="B97" s="187" t="s">
        <v>642</v>
      </c>
      <c r="C97" s="188" t="s">
        <v>23</v>
      </c>
      <c r="D97" s="189">
        <v>19176232.734086663</v>
      </c>
      <c r="E97" s="189">
        <v>24795471.709478892</v>
      </c>
      <c r="F97" s="189">
        <v>6975587.0218408937</v>
      </c>
      <c r="G97" s="189">
        <v>3773612.781690876</v>
      </c>
      <c r="H97" s="189">
        <v>3916333.2107666973</v>
      </c>
      <c r="I97" s="189">
        <v>3674598.2115709148</v>
      </c>
    </row>
    <row r="98" spans="2:9">
      <c r="B98" s="187" t="s">
        <v>88</v>
      </c>
      <c r="C98" s="188" t="s">
        <v>23</v>
      </c>
      <c r="D98" s="189">
        <v>1131625792.949281</v>
      </c>
      <c r="E98" s="189">
        <v>1113035300.3070195</v>
      </c>
      <c r="F98" s="189">
        <v>353574444.97893238</v>
      </c>
      <c r="G98" s="189">
        <v>383998748.52472717</v>
      </c>
      <c r="H98" s="189">
        <v>398996364.99244714</v>
      </c>
      <c r="I98" s="189">
        <v>365199397.66611707</v>
      </c>
    </row>
    <row r="99" spans="2:9">
      <c r="B99" s="187" t="s">
        <v>89</v>
      </c>
      <c r="C99" s="188" t="s">
        <v>23</v>
      </c>
      <c r="D99" s="189">
        <v>403175199.49878335</v>
      </c>
      <c r="E99" s="189">
        <v>395598518.17352515</v>
      </c>
      <c r="F99" s="189">
        <v>139647216.01714754</v>
      </c>
      <c r="G99" s="189">
        <v>163350686.94372851</v>
      </c>
      <c r="H99" s="189">
        <v>170289484.67552665</v>
      </c>
      <c r="I99" s="189">
        <v>148074016.15727383</v>
      </c>
    </row>
    <row r="100" spans="2:9">
      <c r="B100" s="187" t="s">
        <v>90</v>
      </c>
      <c r="C100" s="188" t="s">
        <v>23</v>
      </c>
      <c r="D100" s="189">
        <v>174369072.573421</v>
      </c>
      <c r="E100" s="189">
        <v>170019993.57080942</v>
      </c>
      <c r="F100" s="189">
        <v>71122123.219051346</v>
      </c>
      <c r="G100" s="189">
        <v>80592159.924333066</v>
      </c>
      <c r="H100" s="189">
        <v>84402946.005223095</v>
      </c>
      <c r="I100" s="189">
        <v>75458851.694558352</v>
      </c>
    </row>
    <row r="101" spans="2:9">
      <c r="B101" s="187" t="s">
        <v>644</v>
      </c>
      <c r="C101" s="188" t="s">
        <v>23</v>
      </c>
      <c r="D101" s="189"/>
      <c r="E101" s="189">
        <v>0</v>
      </c>
      <c r="F101" s="189">
        <v>97025660.229158044</v>
      </c>
      <c r="G101" s="189">
        <v>127080.9015763374</v>
      </c>
      <c r="H101" s="189">
        <v>172734.2142419508</v>
      </c>
      <c r="I101" s="189">
        <v>4632749.4571953053</v>
      </c>
    </row>
    <row r="102" spans="2:9">
      <c r="B102" s="187" t="s">
        <v>646</v>
      </c>
      <c r="C102" s="188" t="s">
        <v>23</v>
      </c>
      <c r="D102" s="189"/>
      <c r="E102" s="189">
        <v>0</v>
      </c>
      <c r="F102" s="189">
        <v>1098894985.99963</v>
      </c>
      <c r="G102" s="189">
        <v>1035413018.4996576</v>
      </c>
      <c r="H102" s="189">
        <v>1079887636.3320899</v>
      </c>
      <c r="I102" s="189">
        <v>982527187.44487429</v>
      </c>
    </row>
    <row r="103" spans="2:9">
      <c r="B103" s="187" t="s">
        <v>647</v>
      </c>
      <c r="C103" s="188" t="s">
        <v>23</v>
      </c>
      <c r="D103" s="189"/>
      <c r="E103" s="189"/>
      <c r="F103" s="189">
        <v>0</v>
      </c>
      <c r="G103" s="189">
        <v>6484999.0510748224</v>
      </c>
      <c r="H103" s="189">
        <v>3020718.3545903508</v>
      </c>
      <c r="I103" s="189">
        <v>11201660.1400034</v>
      </c>
    </row>
    <row r="104" spans="2:9">
      <c r="B104" s="187" t="s">
        <v>147</v>
      </c>
      <c r="C104" s="188" t="s">
        <v>23</v>
      </c>
      <c r="D104" s="189">
        <v>90776064.824321613</v>
      </c>
      <c r="E104" s="189">
        <v>89331028.995542765</v>
      </c>
      <c r="F104" s="189">
        <v>84864477.545765623</v>
      </c>
      <c r="G104" s="189">
        <v>96144451.06315501</v>
      </c>
      <c r="H104" s="189">
        <v>69222326.346612334</v>
      </c>
      <c r="I104" s="189">
        <v>77997932.781324223</v>
      </c>
    </row>
    <row r="105" spans="2:9">
      <c r="B105" s="187" t="s">
        <v>645</v>
      </c>
      <c r="C105" s="188" t="s">
        <v>22</v>
      </c>
      <c r="D105" s="189"/>
      <c r="E105" s="189">
        <v>1185612250.8201113</v>
      </c>
      <c r="F105" s="189">
        <v>2410772806.647604</v>
      </c>
      <c r="G105" s="189">
        <v>2400802668.3670835</v>
      </c>
      <c r="H105" s="189">
        <v>2424049667.0881004</v>
      </c>
      <c r="I105" s="189">
        <v>2453821081.479352</v>
      </c>
    </row>
    <row r="106" spans="2:9">
      <c r="B106" s="187" t="s">
        <v>91</v>
      </c>
      <c r="C106" s="188" t="s">
        <v>22</v>
      </c>
      <c r="D106" s="189">
        <v>1222559700.3695474</v>
      </c>
      <c r="E106" s="189">
        <v>635397084.34617305</v>
      </c>
      <c r="F106" s="189">
        <v>0</v>
      </c>
      <c r="G106" s="189">
        <v>0</v>
      </c>
      <c r="H106" s="189">
        <v>0</v>
      </c>
      <c r="I106" s="189">
        <f t="shared" ref="I106:I129" si="37">H106</f>
        <v>0</v>
      </c>
    </row>
    <row r="107" spans="2:9">
      <c r="B107" s="187" t="s">
        <v>92</v>
      </c>
      <c r="C107" s="188" t="s">
        <v>22</v>
      </c>
      <c r="D107" s="189">
        <v>0</v>
      </c>
      <c r="E107" s="189">
        <v>0</v>
      </c>
      <c r="F107" s="189">
        <v>0</v>
      </c>
      <c r="G107" s="189">
        <v>0</v>
      </c>
      <c r="H107" s="189">
        <v>0</v>
      </c>
      <c r="I107" s="189">
        <f t="shared" si="37"/>
        <v>0</v>
      </c>
    </row>
    <row r="108" spans="2:9">
      <c r="B108" s="187" t="s">
        <v>93</v>
      </c>
      <c r="C108" s="188" t="s">
        <v>22</v>
      </c>
      <c r="D108" s="189">
        <v>569222271.27949643</v>
      </c>
      <c r="E108" s="189">
        <v>281714300.62693</v>
      </c>
      <c r="F108" s="189">
        <v>0</v>
      </c>
      <c r="G108" s="189">
        <v>0</v>
      </c>
      <c r="H108" s="189">
        <v>0</v>
      </c>
      <c r="I108" s="189">
        <f t="shared" si="37"/>
        <v>0</v>
      </c>
    </row>
    <row r="109" spans="2:9">
      <c r="B109" s="187" t="s">
        <v>94</v>
      </c>
      <c r="C109" s="188" t="s">
        <v>22</v>
      </c>
      <c r="D109" s="189">
        <v>24654172.6025462</v>
      </c>
      <c r="E109" s="189">
        <v>11573260.708405999</v>
      </c>
      <c r="F109" s="189">
        <v>0</v>
      </c>
      <c r="G109" s="189">
        <v>0</v>
      </c>
      <c r="H109" s="189">
        <v>0</v>
      </c>
      <c r="I109" s="189">
        <f t="shared" si="37"/>
        <v>0</v>
      </c>
    </row>
    <row r="110" spans="2:9">
      <c r="B110" s="187" t="s">
        <v>95</v>
      </c>
      <c r="C110" s="188" t="s">
        <v>22</v>
      </c>
      <c r="D110" s="189">
        <v>5618256.2679142002</v>
      </c>
      <c r="E110" s="189">
        <v>2632316.3470200002</v>
      </c>
      <c r="F110" s="189">
        <v>0</v>
      </c>
      <c r="G110" s="189">
        <v>0</v>
      </c>
      <c r="H110" s="189">
        <v>0</v>
      </c>
      <c r="I110" s="189">
        <f t="shared" si="37"/>
        <v>0</v>
      </c>
    </row>
    <row r="111" spans="2:9">
      <c r="B111" s="187" t="s">
        <v>96</v>
      </c>
      <c r="C111" s="188" t="s">
        <v>22</v>
      </c>
      <c r="D111" s="189">
        <v>469878787.92509758</v>
      </c>
      <c r="E111" s="189">
        <v>243457822.92451298</v>
      </c>
      <c r="F111" s="189">
        <v>0</v>
      </c>
      <c r="G111" s="189">
        <v>0</v>
      </c>
      <c r="H111" s="189">
        <v>0</v>
      </c>
      <c r="I111" s="189">
        <f t="shared" si="37"/>
        <v>0</v>
      </c>
    </row>
    <row r="112" spans="2:9">
      <c r="B112" s="187" t="s">
        <v>97</v>
      </c>
      <c r="C112" s="188" t="s">
        <v>22</v>
      </c>
      <c r="D112" s="189">
        <v>943775.09540000011</v>
      </c>
      <c r="E112" s="189">
        <v>985125.92400000012</v>
      </c>
      <c r="F112" s="189">
        <v>0</v>
      </c>
      <c r="G112" s="189">
        <v>0</v>
      </c>
      <c r="H112" s="189">
        <v>0</v>
      </c>
      <c r="I112" s="189">
        <f t="shared" si="37"/>
        <v>0</v>
      </c>
    </row>
    <row r="113" spans="2:9">
      <c r="B113" s="187" t="s">
        <v>98</v>
      </c>
      <c r="C113" s="188" t="s">
        <v>22</v>
      </c>
      <c r="D113" s="189">
        <v>60647827.884309798</v>
      </c>
      <c r="E113" s="189">
        <v>33184220.853822999</v>
      </c>
      <c r="F113" s="189">
        <v>0</v>
      </c>
      <c r="G113" s="189">
        <v>0</v>
      </c>
      <c r="H113" s="189">
        <v>0</v>
      </c>
      <c r="I113" s="189">
        <f t="shared" si="37"/>
        <v>0</v>
      </c>
    </row>
    <row r="114" spans="2:9">
      <c r="B114" s="187" t="s">
        <v>99</v>
      </c>
      <c r="C114" s="188" t="s">
        <v>22</v>
      </c>
      <c r="D114" s="189">
        <v>2072309.2296599997</v>
      </c>
      <c r="E114" s="189">
        <v>1159474.9030800001</v>
      </c>
      <c r="F114" s="189">
        <v>0</v>
      </c>
      <c r="G114" s="189">
        <v>0</v>
      </c>
      <c r="H114" s="189">
        <v>0</v>
      </c>
      <c r="I114" s="189">
        <f t="shared" si="37"/>
        <v>0</v>
      </c>
    </row>
    <row r="115" spans="2:9">
      <c r="B115" s="187" t="s">
        <v>100</v>
      </c>
      <c r="C115" s="188" t="s">
        <v>22</v>
      </c>
      <c r="D115" s="189">
        <v>5151248.8449881999</v>
      </c>
      <c r="E115" s="189">
        <v>3200826.6853459999</v>
      </c>
      <c r="F115" s="189">
        <v>0</v>
      </c>
      <c r="G115" s="189">
        <v>0</v>
      </c>
      <c r="H115" s="189">
        <v>0</v>
      </c>
      <c r="I115" s="189"/>
    </row>
    <row r="116" spans="2:9">
      <c r="B116" s="187" t="s">
        <v>4</v>
      </c>
      <c r="C116" s="188" t="s">
        <v>4</v>
      </c>
      <c r="D116" s="189"/>
      <c r="E116" s="189">
        <v>896238014.16696227</v>
      </c>
      <c r="F116" s="189">
        <v>1672048754.3301878</v>
      </c>
      <c r="G116" s="189">
        <v>1438161936.5471621</v>
      </c>
      <c r="H116" s="189">
        <v>1482596393.0827918</v>
      </c>
      <c r="I116" s="189">
        <v>1440341010.2943931</v>
      </c>
    </row>
    <row r="117" spans="2:9">
      <c r="B117" s="187" t="s">
        <v>641</v>
      </c>
      <c r="C117" s="188" t="s">
        <v>4</v>
      </c>
      <c r="D117" s="189"/>
      <c r="E117" s="189">
        <v>41756436.300200507</v>
      </c>
      <c r="F117" s="189">
        <v>167614685.98021749</v>
      </c>
      <c r="G117" s="189">
        <v>290858047.04999995</v>
      </c>
      <c r="H117" s="189">
        <v>281655255.02322519</v>
      </c>
      <c r="I117" s="189">
        <v>241645356.46297294</v>
      </c>
    </row>
    <row r="118" spans="2:9">
      <c r="B118" s="187" t="s">
        <v>101</v>
      </c>
      <c r="C118" s="188" t="s">
        <v>4</v>
      </c>
      <c r="D118" s="189">
        <v>1065131317.6297357</v>
      </c>
      <c r="E118" s="189">
        <v>556303544.55598104</v>
      </c>
      <c r="F118" s="189">
        <v>0</v>
      </c>
      <c r="G118" s="189">
        <v>0</v>
      </c>
      <c r="H118" s="189">
        <v>0</v>
      </c>
      <c r="I118" s="189">
        <f t="shared" si="37"/>
        <v>0</v>
      </c>
    </row>
    <row r="119" spans="2:9">
      <c r="B119" s="187" t="s">
        <v>102</v>
      </c>
      <c r="C119" s="188" t="s">
        <v>4</v>
      </c>
      <c r="D119" s="189">
        <v>12013595.332192</v>
      </c>
      <c r="E119" s="189">
        <v>6303897.1443870012</v>
      </c>
      <c r="F119" s="189">
        <v>0</v>
      </c>
      <c r="G119" s="189">
        <v>0</v>
      </c>
      <c r="H119" s="189">
        <v>0</v>
      </c>
      <c r="I119" s="189">
        <f t="shared" si="37"/>
        <v>0</v>
      </c>
    </row>
    <row r="120" spans="2:9">
      <c r="B120" s="187" t="s">
        <v>103</v>
      </c>
      <c r="C120" s="188" t="s">
        <v>4</v>
      </c>
      <c r="D120" s="189">
        <v>438191763.30255139</v>
      </c>
      <c r="E120" s="189">
        <v>210544815.46557501</v>
      </c>
      <c r="F120" s="189">
        <v>0</v>
      </c>
      <c r="G120" s="189">
        <v>0</v>
      </c>
      <c r="H120" s="189">
        <v>0</v>
      </c>
      <c r="I120" s="189">
        <f t="shared" si="37"/>
        <v>0</v>
      </c>
    </row>
    <row r="121" spans="2:9">
      <c r="B121" s="187" t="s">
        <v>104</v>
      </c>
      <c r="C121" s="188" t="s">
        <v>4</v>
      </c>
      <c r="D121" s="189">
        <v>157966136.6164</v>
      </c>
      <c r="E121" s="189">
        <v>72616031.738999993</v>
      </c>
      <c r="F121" s="189">
        <v>0</v>
      </c>
      <c r="G121" s="189">
        <v>0</v>
      </c>
      <c r="H121" s="189">
        <v>0</v>
      </c>
      <c r="I121" s="189">
        <f t="shared" si="37"/>
        <v>0</v>
      </c>
    </row>
    <row r="122" spans="2:9">
      <c r="B122" s="187" t="s">
        <v>105</v>
      </c>
      <c r="C122" s="188" t="s">
        <v>4</v>
      </c>
      <c r="D122" s="189">
        <v>85950110.389999986</v>
      </c>
      <c r="E122" s="189">
        <v>45144312.770000003</v>
      </c>
      <c r="F122" s="189">
        <v>0</v>
      </c>
      <c r="G122" s="189">
        <v>0</v>
      </c>
      <c r="H122" s="189">
        <v>0</v>
      </c>
      <c r="I122" s="189">
        <f t="shared" si="37"/>
        <v>0</v>
      </c>
    </row>
    <row r="123" spans="2:9">
      <c r="B123" s="187" t="s">
        <v>106</v>
      </c>
      <c r="C123" s="188" t="s">
        <v>4</v>
      </c>
      <c r="D123" s="189">
        <v>2643133.996082</v>
      </c>
      <c r="E123" s="189">
        <v>1406480.6103300001</v>
      </c>
      <c r="F123" s="189">
        <v>0</v>
      </c>
      <c r="G123" s="189">
        <v>0</v>
      </c>
      <c r="H123" s="189">
        <v>0</v>
      </c>
      <c r="I123" s="189">
        <f t="shared" si="37"/>
        <v>0</v>
      </c>
    </row>
    <row r="124" spans="2:9">
      <c r="B124" s="187" t="s">
        <v>107</v>
      </c>
      <c r="C124" s="188" t="s">
        <v>4</v>
      </c>
      <c r="D124" s="189">
        <v>26617176.48336</v>
      </c>
      <c r="E124" s="189">
        <v>13453483.416299999</v>
      </c>
      <c r="F124" s="189">
        <v>0</v>
      </c>
      <c r="G124" s="189">
        <v>0</v>
      </c>
      <c r="H124" s="189">
        <v>0</v>
      </c>
      <c r="I124" s="189">
        <f t="shared" si="37"/>
        <v>0</v>
      </c>
    </row>
    <row r="125" spans="2:9">
      <c r="B125" s="187" t="s">
        <v>108</v>
      </c>
      <c r="C125" s="188" t="s">
        <v>4</v>
      </c>
      <c r="D125" s="189">
        <v>0</v>
      </c>
      <c r="E125" s="189">
        <v>0</v>
      </c>
      <c r="F125" s="189">
        <v>0</v>
      </c>
      <c r="G125" s="189">
        <v>0</v>
      </c>
      <c r="H125" s="189">
        <v>0</v>
      </c>
      <c r="I125" s="189">
        <f t="shared" si="37"/>
        <v>0</v>
      </c>
    </row>
    <row r="126" spans="2:9">
      <c r="B126" s="187" t="s">
        <v>11</v>
      </c>
      <c r="C126" s="188" t="s">
        <v>11</v>
      </c>
      <c r="D126" s="189"/>
      <c r="E126" s="189">
        <v>542016407.16782391</v>
      </c>
      <c r="F126" s="189">
        <v>1024280533.5082788</v>
      </c>
      <c r="G126" s="189">
        <v>991231538.66600001</v>
      </c>
      <c r="H126" s="189">
        <v>1040356932.8150976</v>
      </c>
      <c r="I126" s="189">
        <v>1203661913.4933252</v>
      </c>
    </row>
    <row r="127" spans="2:9">
      <c r="B127" s="187" t="s">
        <v>109</v>
      </c>
      <c r="C127" s="188" t="s">
        <v>11</v>
      </c>
      <c r="D127" s="189">
        <v>121172982.84464201</v>
      </c>
      <c r="E127" s="189">
        <v>55948916.890880004</v>
      </c>
      <c r="F127" s="189">
        <v>0</v>
      </c>
      <c r="G127" s="189">
        <v>0</v>
      </c>
      <c r="H127" s="189">
        <v>0</v>
      </c>
      <c r="I127" s="189">
        <f t="shared" si="37"/>
        <v>0</v>
      </c>
    </row>
    <row r="128" spans="2:9">
      <c r="B128" s="187" t="s">
        <v>110</v>
      </c>
      <c r="C128" s="188" t="s">
        <v>11</v>
      </c>
      <c r="D128" s="189">
        <v>574515828.4583801</v>
      </c>
      <c r="E128" s="189">
        <v>304405930.03807497</v>
      </c>
      <c r="F128" s="189">
        <v>0</v>
      </c>
      <c r="G128" s="189">
        <v>0</v>
      </c>
      <c r="H128" s="189">
        <v>0</v>
      </c>
      <c r="I128" s="189">
        <f t="shared" si="37"/>
        <v>0</v>
      </c>
    </row>
    <row r="129" spans="2:9">
      <c r="B129" s="187" t="s">
        <v>111</v>
      </c>
      <c r="C129" s="188" t="s">
        <v>11</v>
      </c>
      <c r="D129" s="189">
        <v>329574383.89180005</v>
      </c>
      <c r="E129" s="189">
        <v>155115871.41149998</v>
      </c>
      <c r="F129" s="189">
        <v>0</v>
      </c>
      <c r="G129" s="189">
        <v>0</v>
      </c>
      <c r="H129" s="189">
        <v>0</v>
      </c>
      <c r="I129" s="189">
        <f t="shared" si="37"/>
        <v>0</v>
      </c>
    </row>
    <row r="130" spans="2:9">
      <c r="B130" s="54" t="s">
        <v>3</v>
      </c>
      <c r="C130" s="54"/>
      <c r="D130" s="190">
        <f>SUM(D80:D129)</f>
        <v>10712655019.176397</v>
      </c>
      <c r="E130" s="190">
        <f t="shared" ref="E130:I130" si="38">SUM(E80:E129)</f>
        <v>10729983924.51025</v>
      </c>
      <c r="F130" s="190">
        <f t="shared" si="38"/>
        <v>10688369729.300938</v>
      </c>
      <c r="G130" s="190">
        <f t="shared" si="38"/>
        <v>10684392017.868393</v>
      </c>
      <c r="H130" s="190">
        <f t="shared" si="38"/>
        <v>10915252068.66</v>
      </c>
      <c r="I130" s="190">
        <f t="shared" si="38"/>
        <v>10943600373.111988</v>
      </c>
    </row>
    <row r="131" spans="2:9" s="145" customFormat="1">
      <c r="D131" s="146"/>
      <c r="F131" s="191"/>
      <c r="G131" s="183"/>
      <c r="H131" s="183"/>
      <c r="I131" s="183"/>
    </row>
    <row r="132" spans="2:9" s="145" customFormat="1">
      <c r="D132" s="192"/>
      <c r="E132" s="192"/>
      <c r="F132" s="192"/>
      <c r="G132" s="192"/>
      <c r="H132" s="192"/>
      <c r="I132" s="192"/>
    </row>
    <row r="133" spans="2:9" s="145" customFormat="1">
      <c r="D133" s="146"/>
      <c r="F133" s="191"/>
      <c r="G133" s="183"/>
      <c r="H133" s="183"/>
      <c r="I133" s="183"/>
    </row>
    <row r="134" spans="2:9">
      <c r="B134" s="164" t="s">
        <v>45</v>
      </c>
      <c r="C134" s="141"/>
      <c r="D134" s="164"/>
      <c r="E134" s="77"/>
      <c r="F134" s="77"/>
      <c r="G134" s="77"/>
      <c r="H134" s="77"/>
      <c r="I134" s="77"/>
    </row>
    <row r="135" spans="2:9">
      <c r="B135" s="2" t="str">
        <f>B80</f>
        <v>Residential Single Rate</v>
      </c>
      <c r="C135" s="18" t="str">
        <f>C80</f>
        <v>Residential</v>
      </c>
      <c r="D135" s="189">
        <v>504369.91666666669</v>
      </c>
      <c r="E135" s="189">
        <v>510085.33333333331</v>
      </c>
      <c r="F135" s="189">
        <v>518241.69866666663</v>
      </c>
      <c r="G135" s="189">
        <v>539032.46582811594</v>
      </c>
      <c r="H135" s="189">
        <v>567490.75</v>
      </c>
      <c r="I135" s="189">
        <f>H135</f>
        <v>567490.75</v>
      </c>
    </row>
    <row r="136" spans="2:9">
      <c r="B136" s="2" t="str">
        <f t="shared" ref="B136:C136" si="39">B81</f>
        <v>Climate Saver</v>
      </c>
      <c r="C136" s="18" t="str">
        <f t="shared" si="39"/>
        <v>Residential</v>
      </c>
      <c r="D136" s="189">
        <v>17209.916666666668</v>
      </c>
      <c r="E136" s="189">
        <v>17183.916666666668</v>
      </c>
      <c r="F136" s="189">
        <v>17458.859333333334</v>
      </c>
      <c r="G136" s="189">
        <v>16710.636963036683</v>
      </c>
      <c r="H136" s="189">
        <v>16851.166666666668</v>
      </c>
      <c r="I136" s="189">
        <f t="shared" ref="I136:I184" si="40">H136</f>
        <v>16851.166666666668</v>
      </c>
    </row>
    <row r="137" spans="2:9">
      <c r="B137" s="2" t="str">
        <f t="shared" ref="B137:C137" si="41">B82</f>
        <v>Climate Saver Interval</v>
      </c>
      <c r="C137" s="18" t="str">
        <f t="shared" si="41"/>
        <v>Residential</v>
      </c>
      <c r="D137" s="189">
        <v>4665</v>
      </c>
      <c r="E137" s="189">
        <v>4663.083333333333</v>
      </c>
      <c r="F137" s="189">
        <v>4737.6926666666668</v>
      </c>
      <c r="G137" s="189">
        <v>4570.6460355197851</v>
      </c>
      <c r="H137" s="189">
        <v>4604.916666666667</v>
      </c>
      <c r="I137" s="189">
        <f t="shared" si="40"/>
        <v>4604.916666666667</v>
      </c>
    </row>
    <row r="138" spans="2:9">
      <c r="B138" s="2" t="str">
        <f t="shared" ref="B138:C138" si="42">B83</f>
        <v>Residential - Flexible Pricing</v>
      </c>
      <c r="C138" s="18" t="str">
        <f t="shared" si="42"/>
        <v>Residential</v>
      </c>
      <c r="D138" s="189">
        <v>2598</v>
      </c>
      <c r="E138" s="189">
        <v>2735.8333333333335</v>
      </c>
      <c r="F138" s="189">
        <v>2779.606666666667</v>
      </c>
      <c r="G138" s="189">
        <v>2967.2671330352036</v>
      </c>
      <c r="H138" s="189">
        <v>3036.0833333333335</v>
      </c>
      <c r="I138" s="189">
        <f t="shared" si="40"/>
        <v>3036.0833333333335</v>
      </c>
    </row>
    <row r="139" spans="2:9">
      <c r="B139" s="2" t="str">
        <f t="shared" ref="B139:C139" si="43">B84</f>
        <v>Residential Docklands  - Flexible Pricing</v>
      </c>
      <c r="C139" s="18" t="str">
        <f t="shared" si="43"/>
        <v>Residential</v>
      </c>
      <c r="D139" s="189">
        <v>1</v>
      </c>
      <c r="E139" s="189">
        <v>1</v>
      </c>
      <c r="F139" s="189">
        <v>1.016</v>
      </c>
      <c r="G139" s="189">
        <v>1</v>
      </c>
      <c r="H139" s="189">
        <v>1</v>
      </c>
      <c r="I139" s="189">
        <f t="shared" si="40"/>
        <v>1</v>
      </c>
    </row>
    <row r="140" spans="2:9">
      <c r="B140" s="2" t="str">
        <f t="shared" ref="B140:C140" si="44">B85</f>
        <v>Climate Saver - Flexible Pricing</v>
      </c>
      <c r="C140" s="18" t="str">
        <f t="shared" si="44"/>
        <v>Residential</v>
      </c>
      <c r="D140" s="189">
        <v>0</v>
      </c>
      <c r="E140" s="189">
        <v>0</v>
      </c>
      <c r="F140" s="189">
        <v>0</v>
      </c>
      <c r="G140" s="189">
        <v>61.27586321164447</v>
      </c>
      <c r="H140" s="189">
        <v>55.666666666666664</v>
      </c>
      <c r="I140" s="189">
        <f t="shared" si="40"/>
        <v>55.666666666666664</v>
      </c>
    </row>
    <row r="141" spans="2:9">
      <c r="B141" s="2" t="str">
        <f t="shared" ref="B141:C141" si="45">B86</f>
        <v>Docklands single rate</v>
      </c>
      <c r="C141" s="18" t="str">
        <f t="shared" si="45"/>
        <v>Residential</v>
      </c>
      <c r="D141" s="189">
        <v>0</v>
      </c>
      <c r="E141" s="189">
        <v>0</v>
      </c>
      <c r="F141" s="189">
        <v>0</v>
      </c>
      <c r="G141" s="189">
        <v>1</v>
      </c>
      <c r="H141" s="189">
        <v>2</v>
      </c>
      <c r="I141" s="189">
        <f t="shared" si="40"/>
        <v>2</v>
      </c>
    </row>
    <row r="142" spans="2:9">
      <c r="B142" s="2" t="str">
        <f t="shared" ref="B142:C142" si="46">B87</f>
        <v>Residential Two Rate 5d</v>
      </c>
      <c r="C142" s="18" t="str">
        <f t="shared" si="46"/>
        <v>Residential</v>
      </c>
      <c r="D142" s="189">
        <v>45863.083333333336</v>
      </c>
      <c r="E142" s="189">
        <v>45784.583333333336</v>
      </c>
      <c r="F142" s="189">
        <v>46517.136666666673</v>
      </c>
      <c r="G142" s="189">
        <v>45013.527025864743</v>
      </c>
      <c r="H142" s="189">
        <v>45261.75</v>
      </c>
      <c r="I142" s="189">
        <f t="shared" si="40"/>
        <v>45261.75</v>
      </c>
    </row>
    <row r="143" spans="2:9">
      <c r="B143" s="2" t="str">
        <f t="shared" ref="B143:C143" si="47">B88</f>
        <v>Docklands Two Rate 5d</v>
      </c>
      <c r="C143" s="18" t="str">
        <f t="shared" si="47"/>
        <v>Residential</v>
      </c>
      <c r="D143" s="189">
        <v>589.25</v>
      </c>
      <c r="E143" s="189">
        <v>588.16666666666663</v>
      </c>
      <c r="F143" s="189">
        <v>597.57733333333329</v>
      </c>
      <c r="G143" s="189">
        <v>584.14659843199854</v>
      </c>
      <c r="H143" s="189">
        <v>586.58333333333337</v>
      </c>
      <c r="I143" s="189">
        <f t="shared" si="40"/>
        <v>586.58333333333337</v>
      </c>
    </row>
    <row r="144" spans="2:9">
      <c r="B144" s="2" t="str">
        <f t="shared" ref="B144:C144" si="48">B89</f>
        <v>Residential Interval</v>
      </c>
      <c r="C144" s="18" t="str">
        <f t="shared" si="48"/>
        <v>Residential</v>
      </c>
      <c r="D144" s="189">
        <v>108902.66666666667</v>
      </c>
      <c r="E144" s="189">
        <v>108999.91666666667</v>
      </c>
      <c r="F144" s="189">
        <v>110743.91533333334</v>
      </c>
      <c r="G144" s="189">
        <v>108683.36714234816</v>
      </c>
      <c r="H144" s="189">
        <v>108582.91666666667</v>
      </c>
      <c r="I144" s="189">
        <f t="shared" si="40"/>
        <v>108582.91666666667</v>
      </c>
    </row>
    <row r="145" spans="2:9">
      <c r="B145" s="2" t="str">
        <f t="shared" ref="B145:C145" si="49">B90</f>
        <v>Residential Two Rate 5d - controlled load</v>
      </c>
      <c r="C145" s="18" t="str">
        <f t="shared" si="49"/>
        <v>Residential</v>
      </c>
      <c r="D145" s="189">
        <v>43362.916666666664</v>
      </c>
      <c r="E145" s="189">
        <v>43313.75</v>
      </c>
      <c r="F145" s="189">
        <v>44006.770000000004</v>
      </c>
      <c r="G145" s="189">
        <v>42980.366969201663</v>
      </c>
      <c r="H145" s="189">
        <v>43106.333333333336</v>
      </c>
      <c r="I145" s="189">
        <f t="shared" si="40"/>
        <v>43106.333333333336</v>
      </c>
    </row>
    <row r="146" spans="2:9">
      <c r="B146" s="2" t="str">
        <f t="shared" ref="B146:C146" si="50">B91</f>
        <v>Docklands Two Rate 5d - controlled load</v>
      </c>
      <c r="C146" s="18" t="str">
        <f t="shared" si="50"/>
        <v>Residential</v>
      </c>
      <c r="D146" s="189">
        <v>70.666666666666671</v>
      </c>
      <c r="E146" s="189">
        <v>70.416666666666671</v>
      </c>
      <c r="F146" s="189">
        <v>71.543333333333337</v>
      </c>
      <c r="G146" s="189">
        <v>69.06153231550978</v>
      </c>
      <c r="H146" s="189">
        <v>71.333333333333329</v>
      </c>
      <c r="I146" s="189">
        <f t="shared" si="40"/>
        <v>71.333333333333329</v>
      </c>
    </row>
    <row r="147" spans="2:9">
      <c r="B147" s="2" t="str">
        <f t="shared" ref="B147:C147" si="51">B92</f>
        <v>Dedicated circuit</v>
      </c>
      <c r="C147" s="18" t="str">
        <f t="shared" si="51"/>
        <v>Residential</v>
      </c>
      <c r="D147" s="189">
        <v>160536.75</v>
      </c>
      <c r="E147" s="189">
        <v>160054.58333333334</v>
      </c>
      <c r="F147" s="189">
        <v>162615.45666666667</v>
      </c>
      <c r="G147" s="189">
        <v>156259.03352615036</v>
      </c>
      <c r="H147" s="189">
        <v>156808.83333333334</v>
      </c>
      <c r="I147" s="189">
        <f t="shared" si="40"/>
        <v>156808.83333333334</v>
      </c>
    </row>
    <row r="148" spans="2:9">
      <c r="B148" s="2" t="str">
        <f t="shared" ref="B148:C148" si="52">B93</f>
        <v>Hot Water Interval</v>
      </c>
      <c r="C148" s="18" t="str">
        <f t="shared" si="52"/>
        <v>Residential</v>
      </c>
      <c r="D148" s="189">
        <v>5563.666666666667</v>
      </c>
      <c r="E148" s="189">
        <v>5560.083333333333</v>
      </c>
      <c r="F148" s="189">
        <v>5649.0446666666667</v>
      </c>
      <c r="G148" s="189">
        <v>5471.4804018196492</v>
      </c>
      <c r="H148" s="189">
        <v>5477.083333333333</v>
      </c>
      <c r="I148" s="189">
        <f t="shared" si="40"/>
        <v>5477.083333333333</v>
      </c>
    </row>
    <row r="149" spans="2:9">
      <c r="B149" s="2" t="str">
        <f t="shared" ref="B149:C149" si="53">B94</f>
        <v>Residential Demand</v>
      </c>
      <c r="C149" s="18" t="str">
        <f t="shared" si="53"/>
        <v>Residential</v>
      </c>
      <c r="D149" s="189"/>
      <c r="E149" s="189">
        <v>0</v>
      </c>
      <c r="F149" s="189">
        <v>5</v>
      </c>
      <c r="G149" s="189">
        <v>5</v>
      </c>
      <c r="H149" s="189">
        <v>5</v>
      </c>
      <c r="I149" s="189">
        <f t="shared" si="40"/>
        <v>5</v>
      </c>
    </row>
    <row r="150" spans="2:9">
      <c r="B150" s="2" t="str">
        <f t="shared" ref="B150:C150" si="54">B95</f>
        <v>Newstead Trial</v>
      </c>
      <c r="C150" s="18" t="str">
        <f t="shared" si="54"/>
        <v>Residential</v>
      </c>
      <c r="D150" s="189"/>
      <c r="E150" s="189"/>
      <c r="F150" s="189">
        <v>0</v>
      </c>
      <c r="G150" s="189">
        <v>0</v>
      </c>
      <c r="H150" s="189">
        <v>100</v>
      </c>
      <c r="I150" s="189">
        <f t="shared" si="40"/>
        <v>100</v>
      </c>
    </row>
    <row r="151" spans="2:9">
      <c r="B151" s="2" t="str">
        <f t="shared" ref="B151:C151" si="55">B96</f>
        <v>Non-Residential Single Rate</v>
      </c>
      <c r="C151" s="18" t="str">
        <f t="shared" si="55"/>
        <v>Small Commercial</v>
      </c>
      <c r="D151" s="189">
        <v>42320.083333333336</v>
      </c>
      <c r="E151" s="189">
        <v>42575.5</v>
      </c>
      <c r="F151" s="189">
        <v>42483.707999999999</v>
      </c>
      <c r="G151" s="189">
        <v>42209.54354501221</v>
      </c>
      <c r="H151" s="189">
        <v>45028.583333333336</v>
      </c>
      <c r="I151" s="189">
        <f t="shared" si="40"/>
        <v>45028.583333333336</v>
      </c>
    </row>
    <row r="152" spans="2:9">
      <c r="B152" s="2" t="str">
        <f t="shared" ref="B152:C152" si="56">B97</f>
        <v>Non-Residential Flexible Pricing</v>
      </c>
      <c r="C152" s="18" t="str">
        <f t="shared" si="56"/>
        <v>Small Commercial</v>
      </c>
      <c r="D152" s="189">
        <v>237.41666666666666</v>
      </c>
      <c r="E152" s="189">
        <v>294.08333333333331</v>
      </c>
      <c r="F152" s="189">
        <v>172.08333333333331</v>
      </c>
      <c r="G152" s="189">
        <v>186.11307242474166</v>
      </c>
      <c r="H152" s="189">
        <v>176</v>
      </c>
      <c r="I152" s="189">
        <f t="shared" si="40"/>
        <v>176</v>
      </c>
    </row>
    <row r="153" spans="2:9">
      <c r="B153" s="2" t="str">
        <f t="shared" ref="B153:C153" si="57">B98</f>
        <v>Non-Residential Two Rate 5d</v>
      </c>
      <c r="C153" s="18" t="str">
        <f t="shared" si="57"/>
        <v>Small Commercial</v>
      </c>
      <c r="D153" s="189">
        <v>30886.166666666668</v>
      </c>
      <c r="E153" s="189">
        <v>30651.166666666668</v>
      </c>
      <c r="F153" s="189">
        <v>24220.910833333335</v>
      </c>
      <c r="G153" s="189">
        <v>24184.201071330088</v>
      </c>
      <c r="H153" s="189">
        <v>24187.416666666668</v>
      </c>
      <c r="I153" s="189">
        <f t="shared" si="40"/>
        <v>24187.416666666668</v>
      </c>
    </row>
    <row r="154" spans="2:9">
      <c r="B154" s="2" t="str">
        <f t="shared" ref="B154:C154" si="58">B99</f>
        <v>Non-Residential Interval</v>
      </c>
      <c r="C154" s="18" t="str">
        <f t="shared" si="58"/>
        <v>Small Commercial</v>
      </c>
      <c r="D154" s="189">
        <v>14568.5</v>
      </c>
      <c r="E154" s="189">
        <v>14480.666666666666</v>
      </c>
      <c r="F154" s="189">
        <v>12168.263333333332</v>
      </c>
      <c r="G154" s="189">
        <v>12412.001320594669</v>
      </c>
      <c r="H154" s="189">
        <v>12355.25</v>
      </c>
      <c r="I154" s="189">
        <f t="shared" si="40"/>
        <v>12355.25</v>
      </c>
    </row>
    <row r="155" spans="2:9">
      <c r="B155" s="2" t="str">
        <f t="shared" ref="B155:C155" si="59">B100</f>
        <v>Non-Residential Two Rate 7d</v>
      </c>
      <c r="C155" s="18" t="str">
        <f t="shared" si="59"/>
        <v>Small Commercial</v>
      </c>
      <c r="D155" s="189">
        <v>8415.75</v>
      </c>
      <c r="E155" s="189">
        <v>8343.4166666666661</v>
      </c>
      <c r="F155" s="189">
        <v>7410.6995833333331</v>
      </c>
      <c r="G155" s="189">
        <v>7219.5879665538523</v>
      </c>
      <c r="H155" s="189">
        <v>7234.583333333333</v>
      </c>
      <c r="I155" s="189">
        <f t="shared" si="40"/>
        <v>7234.583333333333</v>
      </c>
    </row>
    <row r="156" spans="2:9">
      <c r="B156" s="2" t="str">
        <f t="shared" ref="B156:C156" si="60">B101</f>
        <v>Non-Residential Demand</v>
      </c>
      <c r="C156" s="18" t="str">
        <f t="shared" si="60"/>
        <v>Small Commercial</v>
      </c>
      <c r="D156" s="189"/>
      <c r="E156" s="189">
        <v>0</v>
      </c>
      <c r="F156" s="189">
        <v>2024</v>
      </c>
      <c r="G156" s="189">
        <v>6.3540450788168705</v>
      </c>
      <c r="H156" s="189">
        <v>8</v>
      </c>
      <c r="I156" s="189">
        <f t="shared" si="40"/>
        <v>8</v>
      </c>
    </row>
    <row r="157" spans="2:9">
      <c r="B157" s="2" t="str">
        <f t="shared" ref="B157:C157" si="61">B102</f>
        <v>Medium business demand</v>
      </c>
      <c r="C157" s="18" t="str">
        <f t="shared" si="61"/>
        <v>Small Commercial</v>
      </c>
      <c r="D157" s="189"/>
      <c r="E157" s="189">
        <v>0</v>
      </c>
      <c r="F157" s="189">
        <v>8279</v>
      </c>
      <c r="G157" s="189">
        <v>7925.7018417699537</v>
      </c>
      <c r="H157" s="189">
        <v>8262</v>
      </c>
      <c r="I157" s="189">
        <f t="shared" si="40"/>
        <v>8262</v>
      </c>
    </row>
    <row r="158" spans="2:9">
      <c r="B158" s="2" t="str">
        <f t="shared" ref="B158:C158" si="62">B103</f>
        <v>Medium business opt-out</v>
      </c>
      <c r="C158" s="18" t="str">
        <f t="shared" si="62"/>
        <v>Small Commercial</v>
      </c>
      <c r="D158" s="189"/>
      <c r="E158" s="189"/>
      <c r="F158" s="189">
        <v>0</v>
      </c>
      <c r="G158" s="189">
        <v>81</v>
      </c>
      <c r="H158" s="189">
        <v>37</v>
      </c>
      <c r="I158" s="189">
        <f t="shared" si="40"/>
        <v>37</v>
      </c>
    </row>
    <row r="159" spans="2:9">
      <c r="B159" s="2" t="str">
        <f t="shared" ref="B159:C159" si="63">B104</f>
        <v>Public Lighting</v>
      </c>
      <c r="C159" s="18" t="str">
        <f t="shared" si="63"/>
        <v>Small Commercial</v>
      </c>
      <c r="D159" s="189">
        <v>6368.833333333333</v>
      </c>
      <c r="E159" s="189">
        <v>6367.166666666667</v>
      </c>
      <c r="F159" s="189">
        <v>6335.3308333333334</v>
      </c>
      <c r="G159" s="189">
        <v>7344.7000000000007</v>
      </c>
      <c r="H159" s="189">
        <v>8323.1666666666661</v>
      </c>
      <c r="I159" s="189">
        <f t="shared" si="40"/>
        <v>8323.1666666666661</v>
      </c>
    </row>
    <row r="160" spans="2:9">
      <c r="B160" s="2" t="str">
        <f t="shared" ref="B160:C160" si="64">B105</f>
        <v>Large low Voltage</v>
      </c>
      <c r="C160" s="18" t="str">
        <f t="shared" si="64"/>
        <v>Large Low voltage</v>
      </c>
      <c r="D160" s="189"/>
      <c r="E160" s="189">
        <v>2636.833333333333</v>
      </c>
      <c r="F160" s="189">
        <v>2676.3858333333328</v>
      </c>
      <c r="G160" s="189">
        <v>2749.2308243888324</v>
      </c>
      <c r="H160" s="189">
        <v>2876.6666666666665</v>
      </c>
      <c r="I160" s="189">
        <f t="shared" si="40"/>
        <v>2876.6666666666665</v>
      </c>
    </row>
    <row r="161" spans="2:9">
      <c r="B161" s="2" t="str">
        <f>B106</f>
        <v>Large Low Voltage Demand</v>
      </c>
      <c r="C161" s="18" t="str">
        <f>C106</f>
        <v>Large Low voltage</v>
      </c>
      <c r="D161" s="189">
        <v>923.08333333333337</v>
      </c>
      <c r="E161" s="189">
        <v>927.75</v>
      </c>
      <c r="F161" s="189">
        <v>0</v>
      </c>
      <c r="G161" s="189">
        <v>0</v>
      </c>
      <c r="H161" s="189">
        <v>0</v>
      </c>
      <c r="I161" s="189">
        <f t="shared" si="40"/>
        <v>0</v>
      </c>
    </row>
    <row r="162" spans="2:9">
      <c r="B162" s="2" t="str">
        <f t="shared" ref="B162:C162" si="65">B107</f>
        <v>Large Low Voltage Demand A</v>
      </c>
      <c r="C162" s="18" t="str">
        <f t="shared" si="65"/>
        <v>Large Low voltage</v>
      </c>
      <c r="D162" s="189">
        <v>0</v>
      </c>
      <c r="E162" s="189">
        <v>0</v>
      </c>
      <c r="F162" s="189">
        <v>0</v>
      </c>
      <c r="G162" s="189">
        <v>0</v>
      </c>
      <c r="H162" s="189">
        <v>0</v>
      </c>
      <c r="I162" s="189">
        <f t="shared" si="40"/>
        <v>0</v>
      </c>
    </row>
    <row r="163" spans="2:9">
      <c r="B163" s="2" t="str">
        <f t="shared" ref="B163:C163" si="66">B108</f>
        <v>Large Low Voltage Demand C</v>
      </c>
      <c r="C163" s="18" t="str">
        <f t="shared" si="66"/>
        <v>Large Low voltage</v>
      </c>
      <c r="D163" s="189">
        <v>418.91666666666669</v>
      </c>
      <c r="E163" s="189">
        <v>404.5</v>
      </c>
      <c r="F163" s="189">
        <v>0</v>
      </c>
      <c r="G163" s="189">
        <v>0</v>
      </c>
      <c r="H163" s="189">
        <v>0</v>
      </c>
      <c r="I163" s="189">
        <f t="shared" si="40"/>
        <v>0</v>
      </c>
    </row>
    <row r="164" spans="2:9">
      <c r="B164" s="2" t="str">
        <f>B109</f>
        <v>Large Low Voltage Demand S</v>
      </c>
      <c r="C164" s="18" t="str">
        <f>C109</f>
        <v>Large Low voltage</v>
      </c>
      <c r="D164" s="189">
        <v>43.916666666666664</v>
      </c>
      <c r="E164" s="189">
        <v>42.833333333333336</v>
      </c>
      <c r="F164" s="189">
        <v>0</v>
      </c>
      <c r="G164" s="189">
        <v>0</v>
      </c>
      <c r="H164" s="189">
        <v>0</v>
      </c>
      <c r="I164" s="189">
        <f t="shared" si="40"/>
        <v>0</v>
      </c>
    </row>
    <row r="165" spans="2:9">
      <c r="B165" s="2" t="str">
        <f t="shared" ref="B165:C165" si="67">B110</f>
        <v>Large Low Voltage Demand Docklands</v>
      </c>
      <c r="C165" s="18" t="str">
        <f t="shared" si="67"/>
        <v>Large Low voltage</v>
      </c>
      <c r="D165" s="189">
        <v>7</v>
      </c>
      <c r="E165" s="189">
        <v>7</v>
      </c>
      <c r="F165" s="189">
        <v>0</v>
      </c>
      <c r="G165" s="189">
        <v>0</v>
      </c>
      <c r="H165" s="189">
        <v>0</v>
      </c>
      <c r="I165" s="189">
        <f t="shared" si="40"/>
        <v>0</v>
      </c>
    </row>
    <row r="166" spans="2:9">
      <c r="B166" s="2" t="str">
        <f t="shared" ref="B166:C166" si="68">B111</f>
        <v>Large Low Voltage Demand CXX</v>
      </c>
      <c r="C166" s="18" t="str">
        <f t="shared" si="68"/>
        <v>Large Low voltage</v>
      </c>
      <c r="D166" s="189">
        <v>1174.75</v>
      </c>
      <c r="E166" s="189">
        <v>1203.6666666666667</v>
      </c>
      <c r="F166" s="189">
        <v>0</v>
      </c>
      <c r="G166" s="189">
        <v>0</v>
      </c>
      <c r="H166" s="189">
        <v>0</v>
      </c>
      <c r="I166" s="189">
        <f t="shared" si="40"/>
        <v>0</v>
      </c>
    </row>
    <row r="167" spans="2:9">
      <c r="B167" s="2" t="str">
        <f t="shared" ref="B167:C167" si="69">B112</f>
        <v>Large Low Voltage Demand EN.R</v>
      </c>
      <c r="C167" s="18" t="str">
        <f t="shared" si="69"/>
        <v>Large Low voltage</v>
      </c>
      <c r="D167" s="189">
        <v>2.5833333333333335</v>
      </c>
      <c r="E167" s="189">
        <v>3.4166666666666665</v>
      </c>
      <c r="F167" s="189">
        <v>0</v>
      </c>
      <c r="G167" s="189">
        <v>0</v>
      </c>
      <c r="H167" s="189">
        <v>0</v>
      </c>
      <c r="I167" s="189">
        <f t="shared" si="40"/>
        <v>0</v>
      </c>
    </row>
    <row r="168" spans="2:9">
      <c r="B168" s="2" t="str">
        <f t="shared" ref="B168:C168" si="70">B113</f>
        <v>Large Low Voltage Demand EN.NR</v>
      </c>
      <c r="C168" s="18" t="str">
        <f t="shared" si="70"/>
        <v>Large Low voltage</v>
      </c>
      <c r="D168" s="189">
        <v>30.333333333333332</v>
      </c>
      <c r="E168" s="189">
        <v>33.666666666666664</v>
      </c>
      <c r="F168" s="189">
        <v>0</v>
      </c>
      <c r="G168" s="189">
        <v>0</v>
      </c>
      <c r="H168" s="189">
        <v>0</v>
      </c>
      <c r="I168" s="189">
        <f t="shared" si="40"/>
        <v>0</v>
      </c>
    </row>
    <row r="169" spans="2:9">
      <c r="B169" s="2" t="str">
        <f t="shared" ref="B169:C169" si="71">B114</f>
        <v>Large Low Voltage Demand EN.R CXX</v>
      </c>
      <c r="C169" s="18" t="str">
        <f t="shared" si="71"/>
        <v>Large Low voltage</v>
      </c>
      <c r="D169" s="189">
        <v>2.6666666666666665</v>
      </c>
      <c r="E169" s="189">
        <v>3.1666666666666665</v>
      </c>
      <c r="F169" s="189">
        <v>0</v>
      </c>
      <c r="G169" s="189">
        <v>0</v>
      </c>
      <c r="H169" s="189">
        <v>0</v>
      </c>
      <c r="I169" s="189">
        <f t="shared" si="40"/>
        <v>0</v>
      </c>
    </row>
    <row r="170" spans="2:9">
      <c r="B170" s="2" t="str">
        <f t="shared" ref="B170:C170" si="72">B115</f>
        <v>Large Low Voltage Demand EN.NRCXX</v>
      </c>
      <c r="C170" s="18" t="str">
        <f t="shared" si="72"/>
        <v>Large Low voltage</v>
      </c>
      <c r="D170" s="189">
        <v>9.4166666666666661</v>
      </c>
      <c r="E170" s="189">
        <v>10.833333333333334</v>
      </c>
      <c r="F170" s="189">
        <v>0</v>
      </c>
      <c r="G170" s="189">
        <v>0</v>
      </c>
      <c r="H170" s="189">
        <v>0</v>
      </c>
      <c r="I170" s="189">
        <f t="shared" si="40"/>
        <v>0</v>
      </c>
    </row>
    <row r="171" spans="2:9">
      <c r="B171" s="2" t="str">
        <f t="shared" ref="B171:C171" si="73">B116</f>
        <v>High Voltage</v>
      </c>
      <c r="C171" s="18" t="str">
        <f t="shared" si="73"/>
        <v>High Voltage</v>
      </c>
      <c r="D171" s="189"/>
      <c r="E171" s="189">
        <v>171.25</v>
      </c>
      <c r="F171" s="189">
        <v>173.81874999999999</v>
      </c>
      <c r="G171" s="189">
        <v>173</v>
      </c>
      <c r="H171" s="189">
        <v>184.75</v>
      </c>
      <c r="I171" s="189">
        <f t="shared" si="40"/>
        <v>184.75</v>
      </c>
    </row>
    <row r="172" spans="2:9">
      <c r="B172" s="2" t="str">
        <f t="shared" ref="B172:C172" si="74">B117</f>
        <v>High Voltage Docklands</v>
      </c>
      <c r="C172" s="18" t="str">
        <f t="shared" si="74"/>
        <v>High Voltage</v>
      </c>
      <c r="D172" s="189"/>
      <c r="E172" s="189">
        <v>7.5</v>
      </c>
      <c r="F172" s="189">
        <v>6.5</v>
      </c>
      <c r="G172" s="189">
        <v>9</v>
      </c>
      <c r="H172" s="189">
        <v>10</v>
      </c>
      <c r="I172" s="189">
        <f t="shared" si="40"/>
        <v>10</v>
      </c>
    </row>
    <row r="173" spans="2:9">
      <c r="B173" s="2" t="str">
        <f t="shared" ref="B173:C173" si="75">B118</f>
        <v>High Voltage Demand</v>
      </c>
      <c r="C173" s="18" t="str">
        <f t="shared" si="75"/>
        <v>High Voltage</v>
      </c>
      <c r="D173" s="189">
        <v>126.08333333333333</v>
      </c>
      <c r="E173" s="189">
        <v>130.41666666666666</v>
      </c>
      <c r="F173" s="189">
        <v>0</v>
      </c>
      <c r="G173" s="189">
        <v>0</v>
      </c>
      <c r="H173" s="189">
        <v>0</v>
      </c>
      <c r="I173" s="189">
        <f t="shared" si="40"/>
        <v>0</v>
      </c>
    </row>
    <row r="174" spans="2:9">
      <c r="B174" s="2" t="str">
        <f t="shared" ref="B174:C174" si="76">B119</f>
        <v>High Voltage Demand A</v>
      </c>
      <c r="C174" s="18" t="str">
        <f t="shared" si="76"/>
        <v>High Voltage</v>
      </c>
      <c r="D174" s="189">
        <v>3</v>
      </c>
      <c r="E174" s="189">
        <v>3.5</v>
      </c>
      <c r="F174" s="189">
        <v>0</v>
      </c>
      <c r="G174" s="189">
        <v>0</v>
      </c>
      <c r="H174" s="189">
        <v>0</v>
      </c>
      <c r="I174" s="189">
        <f t="shared" si="40"/>
        <v>0</v>
      </c>
    </row>
    <row r="175" spans="2:9">
      <c r="B175" s="2" t="str">
        <f t="shared" ref="B175:C175" si="77">B120</f>
        <v>High Voltage Demand C</v>
      </c>
      <c r="C175" s="18" t="str">
        <f t="shared" si="77"/>
        <v>High Voltage</v>
      </c>
      <c r="D175" s="189">
        <v>41</v>
      </c>
      <c r="E175" s="189">
        <v>40.833333333333336</v>
      </c>
      <c r="F175" s="189">
        <v>0</v>
      </c>
      <c r="G175" s="189">
        <v>0</v>
      </c>
      <c r="H175" s="189">
        <v>0</v>
      </c>
      <c r="I175" s="189">
        <f t="shared" si="40"/>
        <v>0</v>
      </c>
    </row>
    <row r="176" spans="2:9">
      <c r="B176" s="2" t="str">
        <f t="shared" ref="B176:C176" si="78">B121</f>
        <v>High Voltage Demand D1</v>
      </c>
      <c r="C176" s="18" t="str">
        <f t="shared" si="78"/>
        <v>High Voltage</v>
      </c>
      <c r="D176" s="189">
        <v>1</v>
      </c>
      <c r="E176" s="189">
        <v>1</v>
      </c>
      <c r="F176" s="189">
        <v>0</v>
      </c>
      <c r="G176" s="189">
        <v>0</v>
      </c>
      <c r="H176" s="189">
        <v>0</v>
      </c>
      <c r="I176" s="189">
        <f t="shared" si="40"/>
        <v>0</v>
      </c>
    </row>
    <row r="177" spans="2:9">
      <c r="B177" s="2" t="str">
        <f t="shared" ref="B177:C177" si="79">B122</f>
        <v>High Voltage Demand D2</v>
      </c>
      <c r="C177" s="18" t="str">
        <f t="shared" si="79"/>
        <v>High Voltage</v>
      </c>
      <c r="D177" s="189">
        <v>1</v>
      </c>
      <c r="E177" s="189">
        <v>1</v>
      </c>
      <c r="F177" s="189">
        <v>0</v>
      </c>
      <c r="G177" s="189">
        <v>0</v>
      </c>
      <c r="H177" s="189">
        <v>0</v>
      </c>
      <c r="I177" s="189">
        <f t="shared" si="40"/>
        <v>0</v>
      </c>
    </row>
    <row r="178" spans="2:9">
      <c r="B178" s="2" t="str">
        <f t="shared" ref="B178:C178" si="80">B123</f>
        <v>High Voltage Demand Docklands</v>
      </c>
      <c r="C178" s="18" t="str">
        <f t="shared" si="80"/>
        <v>High Voltage</v>
      </c>
      <c r="D178" s="189">
        <v>1</v>
      </c>
      <c r="E178" s="189">
        <v>1</v>
      </c>
      <c r="F178" s="189">
        <v>0</v>
      </c>
      <c r="G178" s="189">
        <v>0</v>
      </c>
      <c r="H178" s="189">
        <v>0</v>
      </c>
      <c r="I178" s="189">
        <f t="shared" si="40"/>
        <v>0</v>
      </c>
    </row>
    <row r="179" spans="2:9">
      <c r="B179" s="2" t="str">
        <f t="shared" ref="B179:C179" si="81">B124</f>
        <v>High Voltage Demand D3</v>
      </c>
      <c r="C179" s="18" t="str">
        <f t="shared" si="81"/>
        <v>High Voltage</v>
      </c>
      <c r="D179" s="189">
        <v>1</v>
      </c>
      <c r="E179" s="189">
        <v>1</v>
      </c>
      <c r="F179" s="189">
        <v>0</v>
      </c>
      <c r="G179" s="189">
        <v>0</v>
      </c>
      <c r="H179" s="189">
        <v>0</v>
      </c>
      <c r="I179" s="189">
        <f t="shared" si="40"/>
        <v>0</v>
      </c>
    </row>
    <row r="180" spans="2:9">
      <c r="B180" s="2" t="str">
        <f t="shared" ref="B180:C180" si="82">B125</f>
        <v>High Voltage Demand D4</v>
      </c>
      <c r="C180" s="18" t="str">
        <f t="shared" si="82"/>
        <v>High Voltage</v>
      </c>
      <c r="D180" s="189">
        <v>0</v>
      </c>
      <c r="E180" s="189">
        <v>0</v>
      </c>
      <c r="F180" s="189">
        <v>0</v>
      </c>
      <c r="G180" s="189">
        <v>0</v>
      </c>
      <c r="H180" s="189">
        <v>0</v>
      </c>
      <c r="I180" s="189">
        <f t="shared" si="40"/>
        <v>0</v>
      </c>
    </row>
    <row r="181" spans="2:9">
      <c r="B181" s="2" t="str">
        <f t="shared" ref="B181:C181" si="83">B126</f>
        <v>Subtransmission</v>
      </c>
      <c r="C181" s="18" t="str">
        <f t="shared" si="83"/>
        <v>Subtransmission</v>
      </c>
      <c r="D181" s="189"/>
      <c r="E181" s="189">
        <v>11</v>
      </c>
      <c r="F181" s="189">
        <v>10</v>
      </c>
      <c r="G181" s="189">
        <v>11</v>
      </c>
      <c r="H181" s="189">
        <v>12</v>
      </c>
      <c r="I181" s="189">
        <f t="shared" si="40"/>
        <v>12</v>
      </c>
    </row>
    <row r="182" spans="2:9">
      <c r="B182" s="2" t="str">
        <f t="shared" ref="B182:C182" si="84">B127</f>
        <v>Subtransmission Demand A</v>
      </c>
      <c r="C182" s="18" t="str">
        <f t="shared" si="84"/>
        <v>Subtransmission</v>
      </c>
      <c r="D182" s="189">
        <v>3</v>
      </c>
      <c r="E182" s="189">
        <v>3</v>
      </c>
      <c r="F182" s="189">
        <v>0</v>
      </c>
      <c r="G182" s="189">
        <v>0</v>
      </c>
      <c r="H182" s="189">
        <v>0</v>
      </c>
      <c r="I182" s="189">
        <f t="shared" si="40"/>
        <v>0</v>
      </c>
    </row>
    <row r="183" spans="2:9">
      <c r="B183" s="2" t="str">
        <f t="shared" ref="B183:C183" si="85">B128</f>
        <v>Subtransmission Demand G</v>
      </c>
      <c r="C183" s="18" t="str">
        <f t="shared" si="85"/>
        <v>Subtransmission</v>
      </c>
      <c r="D183" s="189">
        <v>6.916666666666667</v>
      </c>
      <c r="E183" s="189">
        <v>6.17</v>
      </c>
      <c r="F183" s="189">
        <v>0</v>
      </c>
      <c r="G183" s="189">
        <v>0</v>
      </c>
      <c r="H183" s="189">
        <v>0</v>
      </c>
      <c r="I183" s="189">
        <f t="shared" si="40"/>
        <v>0</v>
      </c>
    </row>
    <row r="184" spans="2:9">
      <c r="B184" s="2" t="str">
        <f t="shared" ref="B184:C184" si="86">B129</f>
        <v>Subtransmission Demand S</v>
      </c>
      <c r="C184" s="18" t="str">
        <f t="shared" si="86"/>
        <v>Subtransmission</v>
      </c>
      <c r="D184" s="189">
        <v>2</v>
      </c>
      <c r="E184" s="189">
        <v>2</v>
      </c>
      <c r="F184" s="189">
        <v>0</v>
      </c>
      <c r="G184" s="189">
        <v>0</v>
      </c>
      <c r="H184" s="189">
        <v>0</v>
      </c>
      <c r="I184" s="189">
        <f t="shared" si="40"/>
        <v>0</v>
      </c>
    </row>
    <row r="185" spans="2:9">
      <c r="B185" s="54" t="s">
        <v>3</v>
      </c>
      <c r="C185" s="193"/>
      <c r="D185" s="194">
        <f>SUM(D135:D184)-SUM(D145:D148)</f>
        <v>789794.24999999988</v>
      </c>
      <c r="E185" s="194">
        <f>SUM(E135:E184)-SUM(E145:E148,E160,E171:E172,E181)</f>
        <v>795580.58666666667</v>
      </c>
      <c r="F185" s="194">
        <f t="shared" ref="F185:I185" si="87">SUM(F135:F184)-SUM(F145:F148)</f>
        <v>807043.20316666667</v>
      </c>
      <c r="G185" s="194">
        <f t="shared" si="87"/>
        <v>822141.76627671765</v>
      </c>
      <c r="H185" s="194">
        <f t="shared" si="87"/>
        <v>855273.25000000012</v>
      </c>
      <c r="I185" s="194">
        <f t="shared" si="87"/>
        <v>855273.25000000012</v>
      </c>
    </row>
    <row r="186" spans="2:9">
      <c r="C186" s="136"/>
      <c r="E186" s="1"/>
      <c r="F186" s="183"/>
      <c r="G186" s="183"/>
      <c r="H186" s="183"/>
      <c r="I186" s="183"/>
    </row>
    <row r="187" spans="2:9" s="145" customFormat="1">
      <c r="C187" s="195"/>
      <c r="D187" s="192"/>
      <c r="E187" s="192"/>
      <c r="F187" s="192"/>
      <c r="G187" s="192"/>
      <c r="H187" s="192"/>
      <c r="I187" s="192"/>
    </row>
    <row r="188" spans="2:9">
      <c r="C188" s="136"/>
      <c r="E188" s="1"/>
    </row>
    <row r="189" spans="2:9">
      <c r="B189" s="164" t="s">
        <v>122</v>
      </c>
      <c r="C189" s="196"/>
      <c r="D189" s="164"/>
      <c r="E189" s="77"/>
      <c r="F189" s="77"/>
      <c r="G189" s="77"/>
      <c r="H189" s="77"/>
      <c r="I189" s="77"/>
    </row>
    <row r="190" spans="2:9">
      <c r="B190" s="2" t="str">
        <f>B80</f>
        <v>Residential Single Rate</v>
      </c>
      <c r="C190" s="18" t="str">
        <f>C80</f>
        <v>Residential</v>
      </c>
      <c r="D190" s="189">
        <v>203671370.82985273</v>
      </c>
      <c r="E190" s="189">
        <v>190751203.9658947</v>
      </c>
      <c r="F190" s="189">
        <v>173680804.38365129</v>
      </c>
      <c r="G190" s="189">
        <v>188069999.88571551</v>
      </c>
      <c r="H190" s="189">
        <v>196854631.73137647</v>
      </c>
      <c r="I190" s="189">
        <f>H190</f>
        <v>196854631.73137647</v>
      </c>
    </row>
    <row r="191" spans="2:9">
      <c r="B191" s="2" t="str">
        <f t="shared" ref="B191:C191" si="88">B81</f>
        <v>Climate Saver</v>
      </c>
      <c r="C191" s="18" t="str">
        <f t="shared" si="88"/>
        <v>Residential</v>
      </c>
      <c r="D191" s="189">
        <v>1452684.3287292761</v>
      </c>
      <c r="E191" s="189">
        <v>1163675.7255785875</v>
      </c>
      <c r="F191" s="189">
        <v>1024566.1779583055</v>
      </c>
      <c r="G191" s="189">
        <v>965132.11070850515</v>
      </c>
      <c r="H191" s="189">
        <v>1033745.1036935151</v>
      </c>
      <c r="I191" s="189">
        <f t="shared" ref="I191:I239" si="89">H191</f>
        <v>1033745.1036935151</v>
      </c>
    </row>
    <row r="192" spans="2:9">
      <c r="B192" s="2" t="str">
        <f t="shared" ref="B192:C192" si="90">B82</f>
        <v>Climate Saver Interval</v>
      </c>
      <c r="C192" s="18" t="str">
        <f t="shared" si="90"/>
        <v>Residential</v>
      </c>
      <c r="D192" s="189">
        <v>435626.47253162798</v>
      </c>
      <c r="E192" s="189">
        <v>351319.86266579677</v>
      </c>
      <c r="F192" s="189">
        <v>314985.90384886356</v>
      </c>
      <c r="G192" s="189">
        <v>281724.85412700434</v>
      </c>
      <c r="H192" s="189">
        <v>307205.74214919156</v>
      </c>
      <c r="I192" s="189">
        <f t="shared" si="89"/>
        <v>307205.74214919156</v>
      </c>
    </row>
    <row r="193" spans="2:9">
      <c r="B193" s="2" t="str">
        <f t="shared" ref="B193:C193" si="91">B83</f>
        <v>Residential - Flexible Pricing</v>
      </c>
      <c r="C193" s="18" t="str">
        <f t="shared" si="91"/>
        <v>Residential</v>
      </c>
      <c r="D193" s="189">
        <v>1295978.8870995175</v>
      </c>
      <c r="E193" s="189">
        <v>1606075.4096986612</v>
      </c>
      <c r="F193" s="189">
        <v>1907592.2311410517</v>
      </c>
      <c r="G193" s="189">
        <v>1242572.8697346104</v>
      </c>
      <c r="H193" s="189">
        <v>1274348.7725348449</v>
      </c>
      <c r="I193" s="189">
        <f t="shared" si="89"/>
        <v>1274348.7725348449</v>
      </c>
    </row>
    <row r="194" spans="2:9">
      <c r="B194" s="2" t="str">
        <f t="shared" ref="B194:C194" si="92">B84</f>
        <v>Residential Docklands  - Flexible Pricing</v>
      </c>
      <c r="C194" s="18" t="str">
        <f t="shared" si="92"/>
        <v>Residential</v>
      </c>
      <c r="D194" s="189">
        <v>218.90383951972197</v>
      </c>
      <c r="E194" s="189">
        <v>483.1949095172813</v>
      </c>
      <c r="F194" s="189">
        <v>521.65315489282852</v>
      </c>
      <c r="G194" s="189">
        <v>287.43140408460249</v>
      </c>
      <c r="H194" s="189">
        <v>335.61786179242114</v>
      </c>
      <c r="I194" s="189">
        <f t="shared" si="89"/>
        <v>335.61786179242114</v>
      </c>
    </row>
    <row r="195" spans="2:9">
      <c r="B195" s="2" t="str">
        <f t="shared" ref="B195:C195" si="93">B85</f>
        <v>Climate Saver - Flexible Pricing</v>
      </c>
      <c r="C195" s="18" t="str">
        <f t="shared" si="93"/>
        <v>Residential</v>
      </c>
      <c r="D195" s="189">
        <v>0</v>
      </c>
      <c r="E195" s="189">
        <v>1257.0498366026409</v>
      </c>
      <c r="F195" s="189">
        <v>1105.6546421397186</v>
      </c>
      <c r="G195" s="189">
        <v>2865.5779283480047</v>
      </c>
      <c r="H195" s="189">
        <v>3090.1127602981505</v>
      </c>
      <c r="I195" s="189">
        <f t="shared" si="89"/>
        <v>3090.1127602981505</v>
      </c>
    </row>
    <row r="196" spans="2:9">
      <c r="B196" s="2" t="str">
        <f t="shared" ref="B196:C196" si="94">B86</f>
        <v>Docklands single rate</v>
      </c>
      <c r="C196" s="18" t="str">
        <f t="shared" si="94"/>
        <v>Residential</v>
      </c>
      <c r="D196" s="189">
        <v>0</v>
      </c>
      <c r="E196" s="189">
        <v>0</v>
      </c>
      <c r="F196" s="189">
        <v>0</v>
      </c>
      <c r="G196" s="189">
        <v>702.45703140230523</v>
      </c>
      <c r="H196" s="189">
        <v>805.5148047335615</v>
      </c>
      <c r="I196" s="189">
        <f t="shared" si="89"/>
        <v>805.5148047335615</v>
      </c>
    </row>
    <row r="197" spans="2:9">
      <c r="B197" s="2" t="str">
        <f t="shared" ref="B197:C197" si="95">B87</f>
        <v>Residential Two Rate 5d</v>
      </c>
      <c r="C197" s="18" t="str">
        <f t="shared" si="95"/>
        <v>Residential</v>
      </c>
      <c r="D197" s="189">
        <v>20049417.520394295</v>
      </c>
      <c r="E197" s="189">
        <v>20395049.688919406</v>
      </c>
      <c r="F197" s="189">
        <v>17776644.430205449</v>
      </c>
      <c r="G197" s="189">
        <v>19129212.047771327</v>
      </c>
      <c r="H197" s="189">
        <v>19983842.212957516</v>
      </c>
      <c r="I197" s="189">
        <f t="shared" si="89"/>
        <v>19983842.212957516</v>
      </c>
    </row>
    <row r="198" spans="2:9">
      <c r="B198" s="2" t="str">
        <f t="shared" ref="B198:C198" si="96">B88</f>
        <v>Docklands Two Rate 5d</v>
      </c>
      <c r="C198" s="18" t="str">
        <f t="shared" si="96"/>
        <v>Residential</v>
      </c>
      <c r="D198" s="189">
        <v>447678.40605957573</v>
      </c>
      <c r="E198" s="189">
        <v>291501.33104122657</v>
      </c>
      <c r="F198" s="189">
        <v>266611.37685502658</v>
      </c>
      <c r="G198" s="189">
        <v>253561.55466190021</v>
      </c>
      <c r="H198" s="189">
        <v>272554.25067192502</v>
      </c>
      <c r="I198" s="189">
        <f t="shared" si="89"/>
        <v>272554.25067192502</v>
      </c>
    </row>
    <row r="199" spans="2:9">
      <c r="B199" s="2" t="str">
        <f t="shared" ref="B199:C199" si="97">B89</f>
        <v>Residential Interval</v>
      </c>
      <c r="C199" s="18" t="str">
        <f t="shared" si="97"/>
        <v>Residential</v>
      </c>
      <c r="D199" s="189">
        <v>44950642.102022544</v>
      </c>
      <c r="E199" s="189">
        <v>47980313.17964974</v>
      </c>
      <c r="F199" s="189">
        <v>43753717.616648212</v>
      </c>
      <c r="G199" s="189">
        <v>43876210.13003353</v>
      </c>
      <c r="H199" s="189">
        <v>46247278.216846429</v>
      </c>
      <c r="I199" s="189">
        <f t="shared" si="89"/>
        <v>46247278.216846429</v>
      </c>
    </row>
    <row r="200" spans="2:9">
      <c r="B200" s="2" t="str">
        <f t="shared" ref="B200:C200" si="98">B90</f>
        <v>Residential Two Rate 5d - controlled load</v>
      </c>
      <c r="C200" s="18" t="str">
        <f t="shared" si="98"/>
        <v>Residential</v>
      </c>
      <c r="D200" s="189">
        <v>2430826.0761442408</v>
      </c>
      <c r="E200" s="189">
        <v>1776655.656361423</v>
      </c>
      <c r="F200" s="189">
        <v>2358665.3157571969</v>
      </c>
      <c r="G200" s="189">
        <v>1325648.9059035878</v>
      </c>
      <c r="H200" s="189">
        <v>1264975.3953548509</v>
      </c>
      <c r="I200" s="189">
        <f t="shared" si="89"/>
        <v>1264975.3953548509</v>
      </c>
    </row>
    <row r="201" spans="2:9">
      <c r="B201" s="2" t="str">
        <f t="shared" ref="B201:C201" si="99">B91</f>
        <v>Docklands Two Rate 5d - controlled load</v>
      </c>
      <c r="C201" s="18" t="str">
        <f t="shared" si="99"/>
        <v>Residential</v>
      </c>
      <c r="D201" s="189">
        <v>3019.1912899756358</v>
      </c>
      <c r="E201" s="189">
        <v>3270.8958125990698</v>
      </c>
      <c r="F201" s="189">
        <v>3618.6661893883966</v>
      </c>
      <c r="G201" s="189">
        <v>1999.5810342241409</v>
      </c>
      <c r="H201" s="189">
        <v>2005.5655744913572</v>
      </c>
      <c r="I201" s="189">
        <f t="shared" si="89"/>
        <v>2005.5655744913572</v>
      </c>
    </row>
    <row r="202" spans="2:9">
      <c r="B202" s="2" t="str">
        <f t="shared" ref="B202:C202" si="100">B92</f>
        <v>Dedicated circuit</v>
      </c>
      <c r="C202" s="18" t="str">
        <f t="shared" si="100"/>
        <v>Residential</v>
      </c>
      <c r="D202" s="189">
        <v>574219.93275200541</v>
      </c>
      <c r="E202" s="189">
        <v>5511669.0037415726</v>
      </c>
      <c r="F202" s="189">
        <v>4731803.0707773864</v>
      </c>
      <c r="G202" s="189">
        <v>4819336.7025075974</v>
      </c>
      <c r="H202" s="189">
        <v>4515915.9762832252</v>
      </c>
      <c r="I202" s="189">
        <f t="shared" si="89"/>
        <v>4515915.9762832252</v>
      </c>
    </row>
    <row r="203" spans="2:9">
      <c r="B203" s="2" t="str">
        <f t="shared" ref="B203:C203" si="101">B93</f>
        <v>Hot Water Interval</v>
      </c>
      <c r="C203" s="18" t="str">
        <f t="shared" si="101"/>
        <v>Residential</v>
      </c>
      <c r="D203" s="189">
        <v>18692.214054449592</v>
      </c>
      <c r="E203" s="189">
        <v>182896.50248751882</v>
      </c>
      <c r="F203" s="189">
        <v>157017.8164758065</v>
      </c>
      <c r="G203" s="189">
        <v>162652.66987175253</v>
      </c>
      <c r="H203" s="189">
        <v>154693.17932497599</v>
      </c>
      <c r="I203" s="189">
        <f t="shared" si="89"/>
        <v>154693.17932497599</v>
      </c>
    </row>
    <row r="204" spans="2:9">
      <c r="B204" s="2" t="str">
        <f t="shared" ref="B204:C204" si="102">B94</f>
        <v>Residential Demand</v>
      </c>
      <c r="C204" s="18" t="str">
        <f t="shared" si="102"/>
        <v>Residential</v>
      </c>
      <c r="D204" s="189"/>
      <c r="E204" s="189">
        <v>0</v>
      </c>
      <c r="F204" s="189">
        <v>2036.9554794520548</v>
      </c>
      <c r="G204" s="189">
        <v>2018.5091324200912</v>
      </c>
      <c r="H204" s="189">
        <v>1852.7172428189183</v>
      </c>
      <c r="I204" s="189">
        <f t="shared" si="89"/>
        <v>1852.7172428189183</v>
      </c>
    </row>
    <row r="205" spans="2:9">
      <c r="B205" s="2" t="str">
        <f t="shared" ref="B205:C205" si="103">B95</f>
        <v>Newstead Trial</v>
      </c>
      <c r="C205" s="18" t="str">
        <f t="shared" si="103"/>
        <v>Residential</v>
      </c>
      <c r="D205" s="189"/>
      <c r="E205" s="189"/>
      <c r="F205" s="189">
        <v>0</v>
      </c>
      <c r="G205" s="189">
        <v>0</v>
      </c>
      <c r="H205" s="189">
        <v>42764.7595</v>
      </c>
      <c r="I205" s="189">
        <f t="shared" si="89"/>
        <v>42764.7595</v>
      </c>
    </row>
    <row r="206" spans="2:9">
      <c r="B206" s="2" t="str">
        <f t="shared" ref="B206:C206" si="104">B96</f>
        <v>Non-Residential Single Rate</v>
      </c>
      <c r="C206" s="18" t="str">
        <f t="shared" si="104"/>
        <v>Small Commercial</v>
      </c>
      <c r="D206" s="189">
        <v>38476034.256300054</v>
      </c>
      <c r="E206" s="189">
        <v>27205853.173665639</v>
      </c>
      <c r="F206" s="189">
        <v>23848262.164644226</v>
      </c>
      <c r="G206" s="189">
        <v>22879918.04152073</v>
      </c>
      <c r="H206" s="189">
        <v>26396237.369124465</v>
      </c>
      <c r="I206" s="189">
        <f t="shared" si="89"/>
        <v>26396237.369124465</v>
      </c>
    </row>
    <row r="207" spans="2:9">
      <c r="B207" s="2" t="str">
        <f t="shared" ref="B207:C207" si="105">B97</f>
        <v>Non-Residential Flexible Pricing</v>
      </c>
      <c r="C207" s="18" t="str">
        <f t="shared" si="105"/>
        <v>Small Commercial</v>
      </c>
      <c r="D207" s="189">
        <v>525753.37343913293</v>
      </c>
      <c r="E207" s="189">
        <v>1613056.2895037588</v>
      </c>
      <c r="F207" s="189">
        <v>403263.58841417113</v>
      </c>
      <c r="G207" s="189">
        <v>255382.57264295782</v>
      </c>
      <c r="H207" s="189">
        <v>273390.87479082169</v>
      </c>
      <c r="I207" s="189">
        <f t="shared" si="89"/>
        <v>273390.87479082169</v>
      </c>
    </row>
    <row r="208" spans="2:9">
      <c r="B208" s="2" t="str">
        <f t="shared" ref="B208:C208" si="106">B98</f>
        <v>Non-Residential Two Rate 5d</v>
      </c>
      <c r="C208" s="18" t="str">
        <f t="shared" si="106"/>
        <v>Small Commercial</v>
      </c>
      <c r="D208" s="189">
        <v>88635900.507296801</v>
      </c>
      <c r="E208" s="189">
        <v>75623753.959780678</v>
      </c>
      <c r="F208" s="189">
        <v>28491799.799452934</v>
      </c>
      <c r="G208" s="189">
        <v>29378762.072893232</v>
      </c>
      <c r="H208" s="189">
        <v>32139472.330984455</v>
      </c>
      <c r="I208" s="189">
        <f t="shared" si="89"/>
        <v>32139472.330984455</v>
      </c>
    </row>
    <row r="209" spans="2:9">
      <c r="B209" s="2" t="str">
        <f t="shared" ref="B209:C209" si="107">B99</f>
        <v>Non-Residential Interval</v>
      </c>
      <c r="C209" s="18" t="str">
        <f t="shared" si="107"/>
        <v>Small Commercial</v>
      </c>
      <c r="D209" s="189">
        <v>33494913.555140801</v>
      </c>
      <c r="E209" s="189">
        <v>28842629.989923071</v>
      </c>
      <c r="F209" s="189">
        <v>12247701.004215667</v>
      </c>
      <c r="G209" s="189">
        <v>13526776.523835769</v>
      </c>
      <c r="H209" s="189">
        <v>14843024.980910152</v>
      </c>
      <c r="I209" s="189">
        <f t="shared" si="89"/>
        <v>14843024.980910152</v>
      </c>
    </row>
    <row r="210" spans="2:9">
      <c r="B210" s="2" t="str">
        <f t="shared" ref="B210:C210" si="108">B100</f>
        <v>Non-Residential Two Rate 7d</v>
      </c>
      <c r="C210" s="18" t="str">
        <f t="shared" si="108"/>
        <v>Small Commercial</v>
      </c>
      <c r="D210" s="189">
        <v>11384920.733825194</v>
      </c>
      <c r="E210" s="189">
        <v>13145328.800800571</v>
      </c>
      <c r="F210" s="189">
        <v>6512805.5404487429</v>
      </c>
      <c r="G210" s="189">
        <v>6957224.6812490653</v>
      </c>
      <c r="H210" s="189">
        <v>7726228.6053722054</v>
      </c>
      <c r="I210" s="189">
        <f t="shared" si="89"/>
        <v>7726228.6053722054</v>
      </c>
    </row>
    <row r="211" spans="2:9">
      <c r="B211" s="2" t="str">
        <f t="shared" ref="B211:C211" si="109">B101</f>
        <v>Non-Residential Demand</v>
      </c>
      <c r="C211" s="18" t="str">
        <f t="shared" si="109"/>
        <v>Small Commercial</v>
      </c>
      <c r="D211" s="189"/>
      <c r="E211" s="189">
        <v>0</v>
      </c>
      <c r="F211" s="189">
        <v>5674614.8413110739</v>
      </c>
      <c r="G211" s="189">
        <v>7728.5332097801956</v>
      </c>
      <c r="H211" s="189">
        <v>15317.816355993649</v>
      </c>
      <c r="I211" s="189">
        <f t="shared" si="89"/>
        <v>15317.816355993649</v>
      </c>
    </row>
    <row r="212" spans="2:9">
      <c r="B212" s="2" t="str">
        <f t="shared" ref="B212:C212" si="110">B102</f>
        <v>Medium business demand</v>
      </c>
      <c r="C212" s="18" t="str">
        <f t="shared" si="110"/>
        <v>Small Commercial</v>
      </c>
      <c r="D212" s="189"/>
      <c r="E212" s="189">
        <v>0</v>
      </c>
      <c r="F212" s="189">
        <v>80603794.767430171</v>
      </c>
      <c r="G212" s="189">
        <v>73777155.895220637</v>
      </c>
      <c r="H212" s="189">
        <v>78965596.544653744</v>
      </c>
      <c r="I212" s="189">
        <f t="shared" si="89"/>
        <v>78965596.544653744</v>
      </c>
    </row>
    <row r="213" spans="2:9">
      <c r="B213" s="2" t="str">
        <f t="shared" ref="B213:C213" si="111">B103</f>
        <v>Medium business opt-out</v>
      </c>
      <c r="C213" s="18" t="str">
        <f t="shared" si="111"/>
        <v>Small Commercial</v>
      </c>
      <c r="D213" s="189"/>
      <c r="E213" s="189"/>
      <c r="F213" s="189">
        <v>0</v>
      </c>
      <c r="G213" s="189">
        <v>549976.4784004828</v>
      </c>
      <c r="H213" s="189">
        <v>291760.8690594951</v>
      </c>
      <c r="I213" s="189">
        <f t="shared" si="89"/>
        <v>291760.8690594951</v>
      </c>
    </row>
    <row r="214" spans="2:9">
      <c r="B214" s="2" t="str">
        <f t="shared" ref="B214:C214" si="112">B104</f>
        <v>Public Lighting</v>
      </c>
      <c r="C214" s="18" t="str">
        <f t="shared" si="112"/>
        <v>Small Commercial</v>
      </c>
      <c r="D214" s="189">
        <v>4586015.7690965645</v>
      </c>
      <c r="E214" s="189">
        <v>5430444.7106586723</v>
      </c>
      <c r="F214" s="189">
        <v>5207922.1856070422</v>
      </c>
      <c r="G214" s="189">
        <v>5604149.6807275098</v>
      </c>
      <c r="H214" s="189">
        <v>5063474.1398463808</v>
      </c>
      <c r="I214" s="189">
        <f t="shared" si="89"/>
        <v>5063474.1398463808</v>
      </c>
    </row>
    <row r="215" spans="2:9">
      <c r="B215" s="2" t="str">
        <f t="shared" ref="B215:C215" si="113">B105</f>
        <v>Large low Voltage</v>
      </c>
      <c r="C215" s="18" t="str">
        <f t="shared" si="113"/>
        <v>Large Low voltage</v>
      </c>
      <c r="D215" s="189"/>
      <c r="E215" s="189">
        <v>65009426.298590496</v>
      </c>
      <c r="F215" s="189">
        <v>149520427.4286536</v>
      </c>
      <c r="G215" s="189">
        <v>153966345.73877048</v>
      </c>
      <c r="H215" s="189">
        <v>155353042.79237241</v>
      </c>
      <c r="I215" s="189">
        <f t="shared" si="89"/>
        <v>155353042.79237241</v>
      </c>
    </row>
    <row r="216" spans="2:9">
      <c r="B216" s="2" t="str">
        <f t="shared" ref="B216:C216" si="114">B106</f>
        <v>Large Low Voltage Demand</v>
      </c>
      <c r="C216" s="18" t="str">
        <f t="shared" si="114"/>
        <v>Large Low voltage</v>
      </c>
      <c r="D216" s="189">
        <v>65981641.440202326</v>
      </c>
      <c r="E216" s="189">
        <v>37379369.643110655</v>
      </c>
      <c r="F216" s="189">
        <v>0</v>
      </c>
      <c r="G216" s="189">
        <v>0</v>
      </c>
      <c r="H216" s="189">
        <v>0</v>
      </c>
      <c r="I216" s="189">
        <f t="shared" si="89"/>
        <v>0</v>
      </c>
    </row>
    <row r="217" spans="2:9">
      <c r="B217" s="2" t="str">
        <f t="shared" ref="B217:C217" si="115">B107</f>
        <v>Large Low Voltage Demand A</v>
      </c>
      <c r="C217" s="18" t="str">
        <f t="shared" si="115"/>
        <v>Large Low voltage</v>
      </c>
      <c r="D217" s="189">
        <v>0</v>
      </c>
      <c r="E217" s="189">
        <v>0</v>
      </c>
      <c r="F217" s="189">
        <v>0</v>
      </c>
      <c r="G217" s="189">
        <v>0</v>
      </c>
      <c r="H217" s="189">
        <v>0</v>
      </c>
      <c r="I217" s="189">
        <f t="shared" si="89"/>
        <v>0</v>
      </c>
    </row>
    <row r="218" spans="2:9">
      <c r="B218" s="2" t="str">
        <f t="shared" ref="B218:C218" si="116">B108</f>
        <v>Large Low Voltage Demand C</v>
      </c>
      <c r="C218" s="18" t="str">
        <f t="shared" si="116"/>
        <v>Large Low voltage</v>
      </c>
      <c r="D218" s="189">
        <v>21708003.468486883</v>
      </c>
      <c r="E218" s="189">
        <v>16002557.111757621</v>
      </c>
      <c r="F218" s="189">
        <v>0</v>
      </c>
      <c r="G218" s="189">
        <v>0</v>
      </c>
      <c r="H218" s="189">
        <v>0</v>
      </c>
      <c r="I218" s="189">
        <f t="shared" si="89"/>
        <v>0</v>
      </c>
    </row>
    <row r="219" spans="2:9">
      <c r="B219" s="2" t="str">
        <f t="shared" ref="B219:C219" si="117">B109</f>
        <v>Large Low Voltage Demand S</v>
      </c>
      <c r="C219" s="18" t="str">
        <f t="shared" si="117"/>
        <v>Large Low voltage</v>
      </c>
      <c r="D219" s="189">
        <v>1210268.1798971617</v>
      </c>
      <c r="E219" s="189">
        <v>807750.70090967882</v>
      </c>
      <c r="F219" s="189">
        <v>0</v>
      </c>
      <c r="G219" s="189">
        <v>0</v>
      </c>
      <c r="H219" s="189">
        <v>0</v>
      </c>
      <c r="I219" s="189">
        <f t="shared" si="89"/>
        <v>0</v>
      </c>
    </row>
    <row r="220" spans="2:9">
      <c r="B220" s="2" t="str">
        <f t="shared" ref="B220:C220" si="118">B110</f>
        <v>Large Low Voltage Demand Docklands</v>
      </c>
      <c r="C220" s="18" t="str">
        <f t="shared" si="118"/>
        <v>Large Low voltage</v>
      </c>
      <c r="D220" s="189">
        <v>178311.42735426815</v>
      </c>
      <c r="E220" s="189">
        <v>136836.45910064375</v>
      </c>
      <c r="F220" s="189">
        <v>0</v>
      </c>
      <c r="G220" s="189">
        <v>0</v>
      </c>
      <c r="H220" s="189">
        <v>0</v>
      </c>
      <c r="I220" s="189">
        <f t="shared" si="89"/>
        <v>0</v>
      </c>
    </row>
    <row r="221" spans="2:9">
      <c r="B221" s="2" t="str">
        <f t="shared" ref="B221:C221" si="119">B111</f>
        <v>Large Low Voltage Demand CXX</v>
      </c>
      <c r="C221" s="18" t="str">
        <f t="shared" si="119"/>
        <v>Large Low voltage</v>
      </c>
      <c r="D221" s="189">
        <v>39901283.573563226</v>
      </c>
      <c r="E221" s="189">
        <v>17141554.9497936</v>
      </c>
      <c r="F221" s="189">
        <v>0</v>
      </c>
      <c r="G221" s="189">
        <v>0</v>
      </c>
      <c r="H221" s="189">
        <v>0</v>
      </c>
      <c r="I221" s="189">
        <f t="shared" si="89"/>
        <v>0</v>
      </c>
    </row>
    <row r="222" spans="2:9">
      <c r="B222" s="2" t="str">
        <f t="shared" ref="B222:C222" si="120">B112</f>
        <v>Large Low Voltage Demand EN.R</v>
      </c>
      <c r="C222" s="18" t="str">
        <f t="shared" si="120"/>
        <v>Large Low voltage</v>
      </c>
      <c r="D222" s="189">
        <v>90035.670258916318</v>
      </c>
      <c r="E222" s="189">
        <v>74137.278951084983</v>
      </c>
      <c r="F222" s="189">
        <v>0</v>
      </c>
      <c r="G222" s="189">
        <v>0</v>
      </c>
      <c r="H222" s="189">
        <v>0</v>
      </c>
      <c r="I222" s="189">
        <f t="shared" si="89"/>
        <v>0</v>
      </c>
    </row>
    <row r="223" spans="2:9">
      <c r="B223" s="2" t="str">
        <f t="shared" ref="B223:C223" si="121">B113</f>
        <v>Large Low Voltage Demand EN.NR</v>
      </c>
      <c r="C223" s="18" t="str">
        <f t="shared" si="121"/>
        <v>Large Low voltage</v>
      </c>
      <c r="D223" s="189">
        <v>3227384.0062250458</v>
      </c>
      <c r="E223" s="189">
        <v>2061891.8923176774</v>
      </c>
      <c r="F223" s="189">
        <v>0</v>
      </c>
      <c r="G223" s="189">
        <v>0</v>
      </c>
      <c r="H223" s="189">
        <v>0</v>
      </c>
      <c r="I223" s="189">
        <f t="shared" si="89"/>
        <v>0</v>
      </c>
    </row>
    <row r="224" spans="2:9">
      <c r="B224" s="2" t="str">
        <f t="shared" ref="B224:C224" si="122">B114</f>
        <v>Large Low Voltage Demand EN.R CXX</v>
      </c>
      <c r="C224" s="18" t="str">
        <f t="shared" si="122"/>
        <v>Large Low voltage</v>
      </c>
      <c r="D224" s="189">
        <v>107362.11689005492</v>
      </c>
      <c r="E224" s="189">
        <v>88879.26037086478</v>
      </c>
      <c r="F224" s="189">
        <v>0</v>
      </c>
      <c r="G224" s="189">
        <v>0</v>
      </c>
      <c r="H224" s="189">
        <v>0</v>
      </c>
      <c r="I224" s="189">
        <f t="shared" si="89"/>
        <v>0</v>
      </c>
    </row>
    <row r="225" spans="2:9">
      <c r="B225" s="2" t="str">
        <f t="shared" ref="B225:C225" si="123">B115</f>
        <v>Large Low Voltage Demand EN.NRCXX</v>
      </c>
      <c r="C225" s="18" t="str">
        <f t="shared" si="123"/>
        <v>Large Low voltage</v>
      </c>
      <c r="D225" s="189">
        <v>548644.89317636285</v>
      </c>
      <c r="E225" s="189">
        <v>223957.84658352818</v>
      </c>
      <c r="F225" s="189">
        <v>0</v>
      </c>
      <c r="G225" s="189">
        <v>0</v>
      </c>
      <c r="H225" s="189">
        <v>0</v>
      </c>
      <c r="I225" s="189">
        <f t="shared" si="89"/>
        <v>0</v>
      </c>
    </row>
    <row r="226" spans="2:9">
      <c r="B226" s="2" t="str">
        <f t="shared" ref="B226:C226" si="124">B116</f>
        <v>High Voltage</v>
      </c>
      <c r="C226" s="18" t="str">
        <f t="shared" si="124"/>
        <v>High Voltage</v>
      </c>
      <c r="D226" s="189"/>
      <c r="E226" s="189">
        <v>23315710.664393622</v>
      </c>
      <c r="F226" s="189">
        <v>49434587.613418862</v>
      </c>
      <c r="G226" s="189">
        <v>47220779.410467818</v>
      </c>
      <c r="H226" s="189">
        <v>48472578.161034375</v>
      </c>
      <c r="I226" s="189">
        <f t="shared" si="89"/>
        <v>48472578.161034375</v>
      </c>
    </row>
    <row r="227" spans="2:9">
      <c r="B227" s="2" t="str">
        <f t="shared" ref="B227:C227" si="125">B117</f>
        <v>High Voltage Docklands</v>
      </c>
      <c r="C227" s="18" t="str">
        <f t="shared" si="125"/>
        <v>High Voltage</v>
      </c>
      <c r="D227" s="189"/>
      <c r="E227" s="189">
        <v>1615661.713367583</v>
      </c>
      <c r="F227" s="189">
        <v>3671477.2285213461</v>
      </c>
      <c r="G227" s="189">
        <v>5667142.8929661997</v>
      </c>
      <c r="H227" s="189">
        <v>6295608.6000139341</v>
      </c>
      <c r="I227" s="189">
        <f t="shared" si="89"/>
        <v>6295608.6000139341</v>
      </c>
    </row>
    <row r="228" spans="2:9">
      <c r="B228" s="2" t="str">
        <f t="shared" ref="B228:C228" si="126">B118</f>
        <v>High Voltage Demand</v>
      </c>
      <c r="C228" s="18" t="str">
        <f t="shared" si="126"/>
        <v>High Voltage</v>
      </c>
      <c r="D228" s="189">
        <v>36547800.571346492</v>
      </c>
      <c r="E228" s="189">
        <v>16393346.296327379</v>
      </c>
      <c r="F228" s="189">
        <v>0</v>
      </c>
      <c r="G228" s="189">
        <v>0</v>
      </c>
      <c r="H228" s="189">
        <v>0</v>
      </c>
      <c r="I228" s="189">
        <f t="shared" si="89"/>
        <v>0</v>
      </c>
    </row>
    <row r="229" spans="2:9">
      <c r="B229" s="2" t="str">
        <f t="shared" ref="B229:C229" si="127">B119</f>
        <v>High Voltage Demand A</v>
      </c>
      <c r="C229" s="18" t="str">
        <f t="shared" si="127"/>
        <v>High Voltage</v>
      </c>
      <c r="D229" s="189">
        <v>200258.06089315508</v>
      </c>
      <c r="E229" s="189">
        <v>165000.47244538396</v>
      </c>
      <c r="F229" s="189">
        <v>0</v>
      </c>
      <c r="G229" s="189">
        <v>0</v>
      </c>
      <c r="H229" s="189">
        <v>0</v>
      </c>
      <c r="I229" s="189">
        <f t="shared" si="89"/>
        <v>0</v>
      </c>
    </row>
    <row r="230" spans="2:9">
      <c r="B230" s="2" t="str">
        <f t="shared" ref="B230:C230" si="128">B120</f>
        <v>High Voltage Demand C</v>
      </c>
      <c r="C230" s="18" t="str">
        <f t="shared" si="128"/>
        <v>High Voltage</v>
      </c>
      <c r="D230" s="189">
        <v>10793141.717666097</v>
      </c>
      <c r="E230" s="189">
        <v>6125840.558430355</v>
      </c>
      <c r="F230" s="189">
        <v>0</v>
      </c>
      <c r="G230" s="189">
        <v>0</v>
      </c>
      <c r="H230" s="189">
        <v>0</v>
      </c>
      <c r="I230" s="189">
        <f t="shared" si="89"/>
        <v>0</v>
      </c>
    </row>
    <row r="231" spans="2:9">
      <c r="B231" s="2" t="str">
        <f t="shared" ref="B231:C231" si="129">B121</f>
        <v>High Voltage Demand D1</v>
      </c>
      <c r="C231" s="18" t="str">
        <f t="shared" si="129"/>
        <v>High Voltage</v>
      </c>
      <c r="D231" s="189">
        <v>1256940.8964357392</v>
      </c>
      <c r="E231" s="189">
        <v>1064031.8430027869</v>
      </c>
      <c r="F231" s="189">
        <v>0</v>
      </c>
      <c r="G231" s="189">
        <v>0</v>
      </c>
      <c r="H231" s="189">
        <v>0</v>
      </c>
      <c r="I231" s="189">
        <f t="shared" si="89"/>
        <v>0</v>
      </c>
    </row>
    <row r="232" spans="2:9">
      <c r="B232" s="2" t="str">
        <f t="shared" ref="B232:C232" si="130">B122</f>
        <v>High Voltage Demand D2</v>
      </c>
      <c r="C232" s="18" t="str">
        <f t="shared" si="130"/>
        <v>High Voltage</v>
      </c>
      <c r="D232" s="189">
        <v>808908.96468101989</v>
      </c>
      <c r="E232" s="189">
        <v>604047.31577309105</v>
      </c>
      <c r="F232" s="189">
        <v>0</v>
      </c>
      <c r="G232" s="189">
        <v>0</v>
      </c>
      <c r="H232" s="189">
        <v>0</v>
      </c>
      <c r="I232" s="189">
        <f t="shared" si="89"/>
        <v>0</v>
      </c>
    </row>
    <row r="233" spans="2:9">
      <c r="B233" s="2" t="str">
        <f t="shared" ref="B233:C233" si="131">B123</f>
        <v>High Voltage Demand Docklands</v>
      </c>
      <c r="C233" s="18" t="str">
        <f t="shared" si="131"/>
        <v>High Voltage</v>
      </c>
      <c r="D233" s="189">
        <v>52035.994618020697</v>
      </c>
      <c r="E233" s="189">
        <v>43259.225119519731</v>
      </c>
      <c r="F233" s="189">
        <v>0</v>
      </c>
      <c r="G233" s="189">
        <v>0</v>
      </c>
      <c r="H233" s="189">
        <v>0</v>
      </c>
      <c r="I233" s="189">
        <f t="shared" si="89"/>
        <v>0</v>
      </c>
    </row>
    <row r="234" spans="2:9">
      <c r="B234" s="2" t="str">
        <f t="shared" ref="B234:C234" si="132">B124</f>
        <v>High Voltage Demand D3</v>
      </c>
      <c r="C234" s="18" t="str">
        <f t="shared" si="132"/>
        <v>High Voltage</v>
      </c>
      <c r="D234" s="189">
        <v>703854.49013177434</v>
      </c>
      <c r="E234" s="189">
        <v>361032.49970964808</v>
      </c>
      <c r="F234" s="189">
        <v>0</v>
      </c>
      <c r="G234" s="189">
        <v>0</v>
      </c>
      <c r="H234" s="189">
        <v>0</v>
      </c>
      <c r="I234" s="189">
        <f t="shared" si="89"/>
        <v>0</v>
      </c>
    </row>
    <row r="235" spans="2:9">
      <c r="B235" s="2" t="str">
        <f t="shared" ref="B235:C235" si="133">B125</f>
        <v>High Voltage Demand D4</v>
      </c>
      <c r="C235" s="18" t="str">
        <f t="shared" si="133"/>
        <v>High Voltage</v>
      </c>
      <c r="D235" s="189">
        <v>0</v>
      </c>
      <c r="E235" s="189">
        <v>0</v>
      </c>
      <c r="F235" s="189">
        <v>0</v>
      </c>
      <c r="G235" s="189">
        <v>0</v>
      </c>
      <c r="H235" s="189">
        <v>0</v>
      </c>
      <c r="I235" s="189">
        <f t="shared" si="89"/>
        <v>0</v>
      </c>
    </row>
    <row r="236" spans="2:9">
      <c r="B236" s="2" t="str">
        <f t="shared" ref="B236:C236" si="134">B126</f>
        <v>Subtransmission</v>
      </c>
      <c r="C236" s="18" t="str">
        <f t="shared" si="134"/>
        <v>Subtransmission</v>
      </c>
      <c r="D236" s="189"/>
      <c r="E236" s="189">
        <v>3633418.4634594242</v>
      </c>
      <c r="F236" s="189">
        <v>6720425.7438609619</v>
      </c>
      <c r="G236" s="189">
        <v>7333053.6409584675</v>
      </c>
      <c r="H236" s="189">
        <v>7683848.0658133281</v>
      </c>
      <c r="I236" s="189">
        <f t="shared" si="89"/>
        <v>7683848.0658133281</v>
      </c>
    </row>
    <row r="237" spans="2:9">
      <c r="B237" s="2" t="str">
        <f t="shared" ref="B237:C237" si="135">B127</f>
        <v>Subtransmission Demand A</v>
      </c>
      <c r="C237" s="18" t="str">
        <f t="shared" si="135"/>
        <v>Subtransmission</v>
      </c>
      <c r="D237" s="189">
        <v>849044.72264761874</v>
      </c>
      <c r="E237" s="189">
        <v>375443.82347264379</v>
      </c>
      <c r="F237" s="189">
        <v>0</v>
      </c>
      <c r="G237" s="189">
        <v>0</v>
      </c>
      <c r="H237" s="189">
        <v>0</v>
      </c>
      <c r="I237" s="189">
        <f t="shared" si="89"/>
        <v>0</v>
      </c>
    </row>
    <row r="238" spans="2:9">
      <c r="B238" s="2" t="str">
        <f t="shared" ref="B238:C238" si="136">B128</f>
        <v>Subtransmission Demand G</v>
      </c>
      <c r="C238" s="18" t="str">
        <f t="shared" si="136"/>
        <v>Subtransmission</v>
      </c>
      <c r="D238" s="189">
        <v>2853677.7060250458</v>
      </c>
      <c r="E238" s="189">
        <v>1593301.4964392562</v>
      </c>
      <c r="F238" s="189">
        <v>0</v>
      </c>
      <c r="G238" s="189">
        <v>0</v>
      </c>
      <c r="H238" s="189">
        <v>0</v>
      </c>
      <c r="I238" s="189">
        <f t="shared" si="89"/>
        <v>0</v>
      </c>
    </row>
    <row r="239" spans="2:9">
      <c r="B239" s="2" t="str">
        <f t="shared" ref="B239:C239" si="137">B129</f>
        <v>Subtransmission Demand S</v>
      </c>
      <c r="C239" s="18" t="str">
        <f t="shared" si="137"/>
        <v>Subtransmission</v>
      </c>
      <c r="D239" s="189">
        <v>1688271.0439072102</v>
      </c>
      <c r="E239" s="189">
        <v>959506.52645803429</v>
      </c>
      <c r="F239" s="189">
        <v>0</v>
      </c>
      <c r="G239" s="189">
        <v>0</v>
      </c>
      <c r="H239" s="189">
        <v>0</v>
      </c>
      <c r="I239" s="189">
        <f t="shared" si="89"/>
        <v>0</v>
      </c>
    </row>
    <row r="240" spans="2:9">
      <c r="B240" s="54" t="s">
        <v>3</v>
      </c>
      <c r="C240" s="115"/>
      <c r="D240" s="190">
        <f t="shared" ref="D240:I240" si="138">SUM(D190:D239)</f>
        <v>641140782.00427461</v>
      </c>
      <c r="E240" s="190">
        <f t="shared" si="138"/>
        <v>617052400.73081398</v>
      </c>
      <c r="F240" s="190">
        <f t="shared" si="138"/>
        <v>618316773.15876317</v>
      </c>
      <c r="G240" s="190">
        <f t="shared" si="138"/>
        <v>627258321.45042896</v>
      </c>
      <c r="H240" s="190">
        <f t="shared" si="138"/>
        <v>655479626.01926899</v>
      </c>
      <c r="I240" s="190">
        <f t="shared" si="138"/>
        <v>655479626.01926899</v>
      </c>
    </row>
    <row r="241" spans="2:9">
      <c r="D241" s="1"/>
      <c r="E241" s="1"/>
      <c r="F241" s="183"/>
      <c r="G241" s="183"/>
      <c r="H241" s="183"/>
      <c r="I241" s="143"/>
    </row>
    <row r="242" spans="2:9">
      <c r="B242" s="125"/>
      <c r="D242" s="148"/>
      <c r="E242" s="148"/>
      <c r="F242" s="148"/>
      <c r="G242" s="148"/>
      <c r="H242" s="148"/>
      <c r="I242" s="148"/>
    </row>
    <row r="243" spans="2:9">
      <c r="E243" s="1"/>
      <c r="F243" s="197"/>
      <c r="G243" s="197"/>
      <c r="H243" s="197"/>
      <c r="I243" s="197"/>
    </row>
    <row r="244" spans="2:9">
      <c r="E244" s="1"/>
      <c r="I244" s="137"/>
    </row>
    <row r="245" spans="2:9">
      <c r="E245" s="1"/>
      <c r="I245" s="137"/>
    </row>
    <row r="246" spans="2:9">
      <c r="E246" s="1"/>
      <c r="I246" s="137"/>
    </row>
    <row r="247" spans="2:9">
      <c r="E247" s="1"/>
      <c r="I247" s="137"/>
    </row>
    <row r="248" spans="2:9">
      <c r="E248" s="1"/>
      <c r="I248" s="137"/>
    </row>
    <row r="249" spans="2:9">
      <c r="E249" s="1"/>
      <c r="I249" s="17"/>
    </row>
    <row r="250" spans="2:9">
      <c r="E250" s="1"/>
      <c r="I250" s="17"/>
    </row>
    <row r="251" spans="2:9">
      <c r="E251" s="1"/>
      <c r="I251" s="17"/>
    </row>
    <row r="252" spans="2:9">
      <c r="E252" s="1"/>
      <c r="I252" s="17"/>
    </row>
    <row r="253" spans="2:9">
      <c r="E253" s="1"/>
      <c r="I253" s="17"/>
    </row>
    <row r="254" spans="2:9">
      <c r="E254" s="1"/>
      <c r="I254" s="17"/>
    </row>
    <row r="255" spans="2:9">
      <c r="E255" s="1"/>
      <c r="I255" s="17"/>
    </row>
    <row r="256" spans="2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E259" s="1"/>
      <c r="I259" s="17"/>
    </row>
    <row r="260" spans="5:9">
      <c r="E260" s="1"/>
      <c r="I260" s="17"/>
    </row>
    <row r="261" spans="5:9">
      <c r="E261" s="1"/>
      <c r="I261" s="17"/>
    </row>
    <row r="262" spans="5:9">
      <c r="E262" s="1"/>
      <c r="I262" s="17"/>
    </row>
    <row r="263" spans="5:9">
      <c r="E263" s="1"/>
      <c r="I263" s="17"/>
    </row>
    <row r="264" spans="5:9">
      <c r="E264" s="1"/>
      <c r="I264" s="17"/>
    </row>
    <row r="265" spans="5:9">
      <c r="E265" s="1"/>
      <c r="I265" s="17"/>
    </row>
    <row r="266" spans="5:9">
      <c r="E266" s="1"/>
      <c r="I266" s="17"/>
    </row>
    <row r="267" spans="5:9">
      <c r="E267" s="1"/>
      <c r="I267" s="17"/>
    </row>
    <row r="268" spans="5:9">
      <c r="E268" s="1"/>
      <c r="I268" s="17"/>
    </row>
    <row r="269" spans="5:9">
      <c r="E269" s="1"/>
      <c r="I269" s="17"/>
    </row>
    <row r="270" spans="5:9">
      <c r="E270" s="1"/>
      <c r="I270" s="17"/>
    </row>
    <row r="271" spans="5:9">
      <c r="E271" s="1"/>
      <c r="I271" s="17"/>
    </row>
    <row r="272" spans="5:9">
      <c r="E272" s="1"/>
      <c r="I272" s="17"/>
    </row>
    <row r="273" spans="5:9">
      <c r="E273" s="1"/>
      <c r="I273" s="17"/>
    </row>
    <row r="274" spans="5:9">
      <c r="E274" s="1"/>
      <c r="I274" s="17"/>
    </row>
    <row r="275" spans="5:9">
      <c r="E275" s="1"/>
      <c r="I275" s="17"/>
    </row>
    <row r="276" spans="5:9">
      <c r="E276" s="1"/>
      <c r="I276" s="17"/>
    </row>
    <row r="277" spans="5:9">
      <c r="E277" s="1"/>
      <c r="I277" s="17"/>
    </row>
    <row r="278" spans="5:9">
      <c r="E278" s="1"/>
      <c r="I278" s="17"/>
    </row>
    <row r="279" spans="5:9">
      <c r="E279" s="1"/>
      <c r="I279" s="17"/>
    </row>
    <row r="280" spans="5:9">
      <c r="I280" s="17"/>
    </row>
    <row r="281" spans="5:9">
      <c r="I281" s="17"/>
    </row>
    <row r="282" spans="5:9">
      <c r="I282" s="17"/>
    </row>
    <row r="283" spans="5:9">
      <c r="I283" s="17"/>
    </row>
    <row r="284" spans="5:9">
      <c r="I284" s="17"/>
    </row>
    <row r="285" spans="5:9">
      <c r="I285" s="17"/>
    </row>
    <row r="286" spans="5:9">
      <c r="I286" s="17"/>
    </row>
    <row r="287" spans="5:9">
      <c r="I287" s="17"/>
    </row>
    <row r="288" spans="5:9">
      <c r="I288" s="17"/>
    </row>
    <row r="289" spans="9:9">
      <c r="I289" s="17"/>
    </row>
    <row r="290" spans="9:9">
      <c r="I290" s="17"/>
    </row>
    <row r="291" spans="9:9">
      <c r="I291" s="17"/>
    </row>
  </sheetData>
  <phoneticPr fontId="2" type="noConversion"/>
  <dataValidations count="2">
    <dataValidation type="list" allowBlank="1" showInputMessage="1" showErrorMessage="1" sqref="C7">
      <formula1>"OG,VPN"</formula1>
    </dataValidation>
    <dataValidation type="list" allowBlank="1" showInputMessage="1" showErrorMessage="1" sqref="C6">
      <formula1>"2016,2017,2018,2019,2020"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P66"/>
  <sheetViews>
    <sheetView showGridLines="0" topLeftCell="A28" workbookViewId="0">
      <selection activeCell="P1" sqref="P1"/>
    </sheetView>
  </sheetViews>
  <sheetFormatPr defaultColWidth="8.7109375" defaultRowHeight="12.75"/>
  <cols>
    <col min="1" max="1" width="8.7109375" style="235"/>
    <col min="2" max="2" width="18.5703125" style="235" bestFit="1" customWidth="1"/>
    <col min="3" max="3" width="13.85546875" style="235" bestFit="1" customWidth="1"/>
    <col min="4" max="4" width="21.42578125" style="235" bestFit="1" customWidth="1"/>
    <col min="5" max="5" width="11.85546875" style="235" bestFit="1" customWidth="1"/>
    <col min="6" max="14" width="9.7109375" style="235" bestFit="1" customWidth="1"/>
    <col min="15" max="16384" width="8.7109375" style="235"/>
  </cols>
  <sheetData>
    <row r="1" spans="1:16" s="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  <c r="N1" s="200"/>
      <c r="P1" s="125"/>
    </row>
    <row r="2" spans="1:16" s="1" customFormat="1" ht="15.75">
      <c r="A2" s="211" t="s">
        <v>636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  <c r="N2" s="208"/>
    </row>
    <row r="5" spans="1:16">
      <c r="B5" s="236" t="s">
        <v>172</v>
      </c>
      <c r="C5" s="236" t="s">
        <v>174</v>
      </c>
      <c r="D5" s="236" t="s">
        <v>175</v>
      </c>
      <c r="E5" s="236">
        <v>2016</v>
      </c>
      <c r="F5" s="236">
        <f>E5+1</f>
        <v>2017</v>
      </c>
      <c r="G5" s="236">
        <f>F5+1</f>
        <v>2018</v>
      </c>
      <c r="H5" s="236">
        <f t="shared" ref="H5:N5" si="0">G5+1</f>
        <v>2019</v>
      </c>
      <c r="I5" s="236">
        <f t="shared" si="0"/>
        <v>2020</v>
      </c>
      <c r="J5" s="236">
        <f t="shared" si="0"/>
        <v>2021</v>
      </c>
      <c r="K5" s="236">
        <f t="shared" si="0"/>
        <v>2022</v>
      </c>
      <c r="L5" s="236">
        <f t="shared" si="0"/>
        <v>2023</v>
      </c>
      <c r="M5" s="236">
        <f t="shared" si="0"/>
        <v>2024</v>
      </c>
      <c r="N5" s="236">
        <f t="shared" si="0"/>
        <v>2025</v>
      </c>
    </row>
    <row r="6" spans="1:16" ht="15" customHeight="1">
      <c r="B6" s="235" t="s">
        <v>176</v>
      </c>
      <c r="C6" s="243" t="s">
        <v>178</v>
      </c>
      <c r="D6" s="243" t="s">
        <v>179</v>
      </c>
      <c r="E6" s="250">
        <v>2.5031262077956349</v>
      </c>
      <c r="F6" s="250">
        <v>2.5300015054238543</v>
      </c>
      <c r="G6" s="250">
        <v>2.5571653548719366</v>
      </c>
      <c r="H6" s="250">
        <v>2.5846208542321856</v>
      </c>
      <c r="I6" s="250">
        <v>2.6123711348601697</v>
      </c>
      <c r="J6" s="250">
        <v>2.6404193617318636</v>
      </c>
      <c r="K6" s="250">
        <v>2.6687687338046162</v>
      </c>
      <c r="L6" s="250">
        <v>2.6974224843819981</v>
      </c>
      <c r="M6" s="250">
        <v>2.7263838814825694</v>
      </c>
      <c r="N6" s="250">
        <v>2.7556562282126005</v>
      </c>
      <c r="O6" s="237"/>
    </row>
    <row r="7" spans="1:16" ht="15" customHeight="1">
      <c r="B7" s="235" t="s">
        <v>176</v>
      </c>
      <c r="C7" s="243" t="s">
        <v>180</v>
      </c>
      <c r="D7" s="243" t="s">
        <v>179</v>
      </c>
      <c r="E7" s="250">
        <v>19.340435463570799</v>
      </c>
      <c r="F7" s="250">
        <v>19.740104183614537</v>
      </c>
      <c r="G7" s="250">
        <v>20.149707947882924</v>
      </c>
      <c r="H7" s="250">
        <v>20.569464472111175</v>
      </c>
      <c r="I7" s="250">
        <v>20.999596906006882</v>
      </c>
      <c r="J7" s="250">
        <v>21.440333977440819</v>
      </c>
      <c r="K7" s="250">
        <v>21.891910139339217</v>
      </c>
      <c r="L7" s="250">
        <v>22.354565719381331</v>
      </c>
      <c r="M7" s="250">
        <v>22.828547072609759</v>
      </c>
      <c r="N7" s="250">
        <v>23.314106737062833</v>
      </c>
      <c r="O7" s="237"/>
    </row>
    <row r="8" spans="1:16" ht="15" customHeight="1">
      <c r="B8" s="235" t="s">
        <v>176</v>
      </c>
      <c r="C8" s="243" t="s">
        <v>181</v>
      </c>
      <c r="D8" s="243" t="s">
        <v>179</v>
      </c>
      <c r="E8" s="250">
        <v>28.151195143179702</v>
      </c>
      <c r="F8" s="250">
        <v>29.17717913127488</v>
      </c>
      <c r="G8" s="250">
        <v>30.242146966392681</v>
      </c>
      <c r="H8" s="250">
        <v>31.347356236756561</v>
      </c>
      <c r="I8" s="250">
        <v>32.494112549953222</v>
      </c>
      <c r="J8" s="250">
        <v>33.683771165097042</v>
      </c>
      <c r="K8" s="250">
        <v>34.917738669900508</v>
      </c>
      <c r="L8" s="250">
        <v>36.197474706534521</v>
      </c>
      <c r="M8" s="250">
        <v>37.524493750021847</v>
      </c>
      <c r="N8" s="250">
        <v>38.900366942784174</v>
      </c>
      <c r="O8" s="237"/>
    </row>
    <row r="9" spans="1:16" ht="15" customHeight="1">
      <c r="B9" s="235" t="s">
        <v>176</v>
      </c>
      <c r="C9" s="243" t="s">
        <v>182</v>
      </c>
      <c r="D9" s="243" t="s">
        <v>179</v>
      </c>
      <c r="E9" s="250">
        <v>103.79489335923635</v>
      </c>
      <c r="F9" s="250">
        <v>110.7519098947802</v>
      </c>
      <c r="G9" s="250">
        <v>113.4122890885062</v>
      </c>
      <c r="H9" s="250">
        <v>116.13964002622126</v>
      </c>
      <c r="I9" s="250">
        <v>118.93568879956678</v>
      </c>
      <c r="J9" s="250">
        <v>121.80220946185703</v>
      </c>
      <c r="K9" s="250">
        <v>124.74102539345745</v>
      </c>
      <c r="L9" s="250">
        <v>127.75401070802843</v>
      </c>
      <c r="M9" s="250">
        <v>130.84309170090779</v>
      </c>
      <c r="N9" s="250">
        <v>134.01024834094514</v>
      </c>
      <c r="O9" s="238"/>
    </row>
    <row r="10" spans="1:16" ht="15" customHeight="1">
      <c r="B10" s="235" t="s">
        <v>176</v>
      </c>
      <c r="C10" s="243" t="s">
        <v>183</v>
      </c>
      <c r="D10" s="243" t="s">
        <v>179</v>
      </c>
      <c r="E10" s="250">
        <v>96.951531553846323</v>
      </c>
      <c r="F10" s="250">
        <v>101.95521337333712</v>
      </c>
      <c r="G10" s="250">
        <v>105.27426208268986</v>
      </c>
      <c r="H10" s="250">
        <v>108.70958167591066</v>
      </c>
      <c r="I10" s="250">
        <v>112.2652005621056</v>
      </c>
      <c r="J10" s="250">
        <v>115.94530858446389</v>
      </c>
      <c r="K10" s="250">
        <v>119.75426350133328</v>
      </c>
      <c r="L10" s="250">
        <v>123.69659773820482</v>
      </c>
      <c r="M10" s="250">
        <v>127.77702542349347</v>
      </c>
      <c r="N10" s="250">
        <v>132.00044972144283</v>
      </c>
      <c r="O10" s="238"/>
    </row>
    <row r="11" spans="1:16" ht="15" customHeight="1">
      <c r="B11" s="235" t="s">
        <v>176</v>
      </c>
      <c r="C11" s="243" t="s">
        <v>184</v>
      </c>
      <c r="D11" s="243" t="s">
        <v>179</v>
      </c>
      <c r="E11" s="250">
        <v>98.471274706999239</v>
      </c>
      <c r="F11" s="250">
        <v>101.78326160543807</v>
      </c>
      <c r="G11" s="250">
        <v>105.21067358661992</v>
      </c>
      <c r="H11" s="250">
        <v>108.75760657015054</v>
      </c>
      <c r="I11" s="250">
        <v>112.42831161657654</v>
      </c>
      <c r="J11" s="250">
        <v>116.22720091462267</v>
      </c>
      <c r="K11" s="250">
        <v>120.15885401074891</v>
      </c>
      <c r="L11" s="250">
        <v>124.22802429114185</v>
      </c>
      <c r="M11" s="250">
        <v>128.43964572667582</v>
      </c>
      <c r="N11" s="250">
        <v>132.79883989181945</v>
      </c>
      <c r="O11" s="238"/>
    </row>
    <row r="12" spans="1:16" ht="15" customHeight="1">
      <c r="B12" s="235" t="s">
        <v>185</v>
      </c>
      <c r="C12" s="243" t="s">
        <v>186</v>
      </c>
      <c r="D12" s="243" t="s">
        <v>179</v>
      </c>
      <c r="E12" s="250">
        <v>18.172582147751395</v>
      </c>
      <c r="F12" s="250">
        <v>18.073740229897385</v>
      </c>
      <c r="G12" s="250">
        <v>17.884548022370076</v>
      </c>
      <c r="H12" s="250">
        <v>17.831342826100517</v>
      </c>
      <c r="I12" s="250">
        <v>17.839598133799036</v>
      </c>
      <c r="J12" s="250">
        <v>18.323942710235603</v>
      </c>
      <c r="K12" s="250">
        <v>18.61619560578335</v>
      </c>
      <c r="L12" s="250">
        <v>19.246630730218506</v>
      </c>
      <c r="M12" s="250">
        <v>19.329874887184385</v>
      </c>
      <c r="N12" s="250">
        <v>19.413592075526342</v>
      </c>
      <c r="O12" s="238"/>
    </row>
    <row r="13" spans="1:16" ht="15" customHeight="1">
      <c r="B13" s="235" t="s">
        <v>185</v>
      </c>
      <c r="C13" s="243" t="s">
        <v>187</v>
      </c>
      <c r="D13" s="243" t="s">
        <v>179</v>
      </c>
      <c r="E13" s="250">
        <v>93.56536626883107</v>
      </c>
      <c r="F13" s="250">
        <v>94.74362996257571</v>
      </c>
      <c r="G13" s="250">
        <v>94.15140070446617</v>
      </c>
      <c r="H13" s="250">
        <v>96.63929568533527</v>
      </c>
      <c r="I13" s="250">
        <v>97.103811144995603</v>
      </c>
      <c r="J13" s="250">
        <v>101.25147235617634</v>
      </c>
      <c r="K13" s="250">
        <v>103.31111273196072</v>
      </c>
      <c r="L13" s="250">
        <v>107.27137398016231</v>
      </c>
      <c r="M13" s="250">
        <v>108.20019723065002</v>
      </c>
      <c r="N13" s="250">
        <v>109.13756833375045</v>
      </c>
      <c r="O13" s="238"/>
    </row>
    <row r="14" spans="1:16" ht="15" customHeight="1">
      <c r="B14" s="235" t="s">
        <v>185</v>
      </c>
      <c r="C14" s="243" t="s">
        <v>188</v>
      </c>
      <c r="D14" s="243" t="s">
        <v>179</v>
      </c>
      <c r="E14" s="250">
        <v>85.037607453571368</v>
      </c>
      <c r="F14" s="250">
        <v>86.091508740439011</v>
      </c>
      <c r="G14" s="250">
        <v>85.824187548693047</v>
      </c>
      <c r="H14" s="250">
        <v>84.344238088594437</v>
      </c>
      <c r="I14" s="250">
        <v>84.906436006123272</v>
      </c>
      <c r="J14" s="250">
        <v>87.727573011432568</v>
      </c>
      <c r="K14" s="250">
        <v>89.614757828650639</v>
      </c>
      <c r="L14" s="250">
        <v>93.140727363954781</v>
      </c>
      <c r="M14" s="250">
        <v>94.069846263340338</v>
      </c>
      <c r="N14" s="250">
        <v>95.009887925331753</v>
      </c>
      <c r="O14" s="238"/>
    </row>
    <row r="15" spans="1:16" ht="15" customHeight="1">
      <c r="B15" s="235" t="s">
        <v>189</v>
      </c>
      <c r="C15" s="243" t="s">
        <v>190</v>
      </c>
      <c r="D15" s="243" t="s">
        <v>179</v>
      </c>
      <c r="E15" s="250">
        <v>43.038902224051327</v>
      </c>
      <c r="F15" s="250">
        <v>43.024939724986133</v>
      </c>
      <c r="G15" s="250">
        <v>42.468793619658669</v>
      </c>
      <c r="H15" s="250">
        <v>42.210960986889397</v>
      </c>
      <c r="I15" s="250">
        <v>42.080335375224706</v>
      </c>
      <c r="J15" s="250">
        <v>43.012431449896482</v>
      </c>
      <c r="K15" s="250">
        <v>43.49501360797516</v>
      </c>
      <c r="L15" s="250">
        <v>44.492828150468441</v>
      </c>
      <c r="M15" s="250">
        <v>44.70030177535871</v>
      </c>
      <c r="N15" s="250">
        <v>44.909708770389074</v>
      </c>
      <c r="O15" s="238"/>
    </row>
    <row r="16" spans="1:16" ht="15" customHeight="1">
      <c r="B16" s="235" t="s">
        <v>189</v>
      </c>
      <c r="C16" s="243" t="s">
        <v>191</v>
      </c>
      <c r="D16" s="243" t="s">
        <v>179</v>
      </c>
      <c r="E16" s="250">
        <v>26.730788396182099</v>
      </c>
      <c r="F16" s="250">
        <v>27.033522375331856</v>
      </c>
      <c r="G16" s="250">
        <v>26.859523409438481</v>
      </c>
      <c r="H16" s="250">
        <v>26.861376690153996</v>
      </c>
      <c r="I16" s="250">
        <v>26.93897062977905</v>
      </c>
      <c r="J16" s="250">
        <v>27.664373618552851</v>
      </c>
      <c r="K16" s="250">
        <v>28.122334156438349</v>
      </c>
      <c r="L16" s="250">
        <v>28.903876270791805</v>
      </c>
      <c r="M16" s="250">
        <v>29.202317972456971</v>
      </c>
      <c r="N16" s="250">
        <v>29.504506060907769</v>
      </c>
      <c r="O16" s="238"/>
    </row>
    <row r="17" spans="2:15" ht="15" customHeight="1">
      <c r="B17" s="235" t="s">
        <v>189</v>
      </c>
      <c r="C17" s="243" t="s">
        <v>192</v>
      </c>
      <c r="D17" s="243" t="s">
        <v>179</v>
      </c>
      <c r="E17" s="250">
        <v>22.095426198712794</v>
      </c>
      <c r="F17" s="250">
        <v>21.983876110875258</v>
      </c>
      <c r="G17" s="250">
        <v>21.775019128445056</v>
      </c>
      <c r="H17" s="250">
        <v>21.695701787531036</v>
      </c>
      <c r="I17" s="250">
        <v>21.671772300079912</v>
      </c>
      <c r="J17" s="250">
        <v>22.11287922193786</v>
      </c>
      <c r="K17" s="250">
        <v>22.359643771993102</v>
      </c>
      <c r="L17" s="250">
        <v>22.836113918471984</v>
      </c>
      <c r="M17" s="250">
        <v>22.964966126650825</v>
      </c>
      <c r="N17" s="250">
        <v>23.095545368213656</v>
      </c>
      <c r="O17" s="238"/>
    </row>
    <row r="18" spans="2:15" ht="15" customHeight="1">
      <c r="B18" s="235" t="s">
        <v>189</v>
      </c>
      <c r="C18" s="243" t="s">
        <v>193</v>
      </c>
      <c r="D18" s="243" t="s">
        <v>179</v>
      </c>
      <c r="E18" s="250">
        <v>55.693388527411656</v>
      </c>
      <c r="F18" s="250">
        <v>61.411676522114476</v>
      </c>
      <c r="G18" s="250">
        <v>60.928628952617075</v>
      </c>
      <c r="H18" s="250">
        <v>60.873351858664947</v>
      </c>
      <c r="I18" s="250">
        <v>61.001958411822052</v>
      </c>
      <c r="J18" s="250">
        <v>62.697049188324037</v>
      </c>
      <c r="K18" s="250">
        <v>63.740697170511801</v>
      </c>
      <c r="L18" s="250">
        <v>65.558676837414453</v>
      </c>
      <c r="M18" s="250">
        <v>66.211526628015307</v>
      </c>
      <c r="N18" s="250">
        <v>66.871707509658577</v>
      </c>
      <c r="O18" s="238"/>
    </row>
    <row r="19" spans="2:15" ht="15" customHeight="1">
      <c r="B19" s="235" t="s">
        <v>189</v>
      </c>
      <c r="C19" s="243" t="s">
        <v>194</v>
      </c>
      <c r="D19" s="243" t="s">
        <v>179</v>
      </c>
      <c r="E19" s="250">
        <v>25.057318239512295</v>
      </c>
      <c r="F19" s="250">
        <v>25.135183215315504</v>
      </c>
      <c r="G19" s="250">
        <v>25.078814877252317</v>
      </c>
      <c r="H19" s="250">
        <v>25.197434422296254</v>
      </c>
      <c r="I19" s="250">
        <v>25.393161810318958</v>
      </c>
      <c r="J19" s="250">
        <v>26.245579091108752</v>
      </c>
      <c r="K19" s="250">
        <v>26.835174642595785</v>
      </c>
      <c r="L19" s="250">
        <v>27.761823261144375</v>
      </c>
      <c r="M19" s="250">
        <v>28.20130367036224</v>
      </c>
      <c r="N19" s="250">
        <v>28.648966205564804</v>
      </c>
      <c r="O19" s="238"/>
    </row>
    <row r="20" spans="2:15" ht="15" customHeight="1">
      <c r="B20" s="235" t="s">
        <v>195</v>
      </c>
      <c r="C20" s="243" t="s">
        <v>196</v>
      </c>
      <c r="D20" s="243" t="s">
        <v>179</v>
      </c>
      <c r="E20" s="250">
        <v>32.322858863036842</v>
      </c>
      <c r="F20" s="250">
        <v>33.307469201907772</v>
      </c>
      <c r="G20" s="250">
        <v>34.327053794627567</v>
      </c>
      <c r="H20" s="250">
        <v>35.382626852286812</v>
      </c>
      <c r="I20" s="250">
        <v>36.475239197422361</v>
      </c>
      <c r="J20" s="250">
        <v>37.605979632127116</v>
      </c>
      <c r="K20" s="250">
        <v>38.702785525223156</v>
      </c>
      <c r="L20" s="250">
        <v>39.835652072969573</v>
      </c>
      <c r="M20" s="250">
        <v>41.005629583211459</v>
      </c>
      <c r="N20" s="250">
        <v>42.213805157860037</v>
      </c>
      <c r="O20" s="238"/>
    </row>
    <row r="21" spans="2:15" ht="15" customHeight="1">
      <c r="B21" s="235" t="s">
        <v>195</v>
      </c>
      <c r="C21" s="243" t="s">
        <v>197</v>
      </c>
      <c r="D21" s="243" t="s">
        <v>179</v>
      </c>
      <c r="E21" s="250">
        <v>53.437788053376188</v>
      </c>
      <c r="F21" s="250">
        <v>56.351159982221162</v>
      </c>
      <c r="G21" s="250">
        <v>59.423686168967862</v>
      </c>
      <c r="H21" s="250">
        <v>62.663732729471789</v>
      </c>
      <c r="I21" s="250">
        <v>66.080127609460533</v>
      </c>
      <c r="J21" s="250">
        <v>69.566620542211922</v>
      </c>
      <c r="K21" s="250">
        <v>73.238631482081033</v>
      </c>
      <c r="L21" s="250">
        <v>77.105888047117531</v>
      </c>
      <c r="M21" s="250">
        <v>81.178646672390684</v>
      </c>
      <c r="N21" s="250">
        <v>85.467720854158912</v>
      </c>
      <c r="O21" s="238"/>
    </row>
    <row r="22" spans="2:15" ht="15" customHeight="1">
      <c r="B22" s="235" t="s">
        <v>195</v>
      </c>
      <c r="C22" s="243" t="s">
        <v>198</v>
      </c>
      <c r="D22" s="243" t="s">
        <v>179</v>
      </c>
      <c r="E22" s="250">
        <v>59.456212020241033</v>
      </c>
      <c r="F22" s="250">
        <v>49.944340236041562</v>
      </c>
      <c r="G22" s="250">
        <v>51.556037031930472</v>
      </c>
      <c r="H22" s="250">
        <v>53.220457240493047</v>
      </c>
      <c r="I22" s="250">
        <v>54.93911433831704</v>
      </c>
      <c r="J22" s="250">
        <v>56.713571879178744</v>
      </c>
      <c r="K22" s="250">
        <v>58.545444949195144</v>
      </c>
      <c r="L22" s="250">
        <v>60.436401662898923</v>
      </c>
      <c r="M22" s="250">
        <v>62.388164702462163</v>
      </c>
      <c r="N22" s="250">
        <v>64.402512902241696</v>
      </c>
      <c r="O22" s="238"/>
    </row>
    <row r="23" spans="2:15" ht="15" customHeight="1">
      <c r="B23" s="235" t="s">
        <v>195</v>
      </c>
      <c r="C23" s="243" t="s">
        <v>199</v>
      </c>
      <c r="D23" s="243" t="s">
        <v>179</v>
      </c>
      <c r="E23" s="250">
        <v>19.368888824982104</v>
      </c>
      <c r="F23" s="250">
        <v>19.852175437916706</v>
      </c>
      <c r="G23" s="250">
        <v>20.349826439883589</v>
      </c>
      <c r="H23" s="250">
        <v>20.862134857354743</v>
      </c>
      <c r="I23" s="250">
        <v>21.389402230323082</v>
      </c>
      <c r="J23" s="250">
        <v>21.931938898794428</v>
      </c>
      <c r="K23" s="250">
        <v>22.490064286344211</v>
      </c>
      <c r="L23" s="250">
        <v>23.064107181461111</v>
      </c>
      <c r="M23" s="250">
        <v>23.654406017399449</v>
      </c>
      <c r="N23" s="250">
        <v>24.26130915125545</v>
      </c>
      <c r="O23" s="238"/>
    </row>
    <row r="24" spans="2:15" ht="15" customHeight="1">
      <c r="B24" s="235" t="s">
        <v>195</v>
      </c>
      <c r="C24" s="243" t="s">
        <v>200</v>
      </c>
      <c r="D24" s="243" t="s">
        <v>179</v>
      </c>
      <c r="E24" s="250">
        <v>44.454901729227643</v>
      </c>
      <c r="F24" s="250">
        <v>46.33441737612106</v>
      </c>
      <c r="G24" s="250">
        <v>48.296902575801653</v>
      </c>
      <c r="H24" s="250">
        <v>50.345573753136414</v>
      </c>
      <c r="I24" s="250">
        <v>52.483792531118851</v>
      </c>
      <c r="J24" s="250">
        <v>54.71507165749896</v>
      </c>
      <c r="K24" s="250">
        <v>57.043081152735368</v>
      </c>
      <c r="L24" s="250">
        <v>59.471654695900767</v>
      </c>
      <c r="M24" s="250">
        <v>62.004796264838035</v>
      </c>
      <c r="N24" s="250">
        <v>64.646687046627264</v>
      </c>
      <c r="O24" s="238"/>
    </row>
    <row r="25" spans="2:15" ht="15" customHeight="1">
      <c r="B25" s="235" t="s">
        <v>195</v>
      </c>
      <c r="C25" s="243" t="s">
        <v>201</v>
      </c>
      <c r="D25" s="243" t="s">
        <v>179</v>
      </c>
      <c r="E25" s="250">
        <v>57.240360684758279</v>
      </c>
      <c r="F25" s="250">
        <v>58.564342502617528</v>
      </c>
      <c r="G25" s="250">
        <v>59.782748238396877</v>
      </c>
      <c r="H25" s="250">
        <v>61.027474779350783</v>
      </c>
      <c r="I25" s="250">
        <v>62.299045076936345</v>
      </c>
      <c r="J25" s="250">
        <v>63.597993680850038</v>
      </c>
      <c r="K25" s="250">
        <v>64.92486698186076</v>
      </c>
      <c r="L25" s="250">
        <v>66.280223459581279</v>
      </c>
      <c r="M25" s="250">
        <v>67.664633935326137</v>
      </c>
      <c r="N25" s="250">
        <v>69.078681830204346</v>
      </c>
      <c r="O25" s="238"/>
    </row>
    <row r="26" spans="2:15" ht="15" customHeight="1">
      <c r="B26" s="235" t="s">
        <v>195</v>
      </c>
      <c r="C26" s="243" t="s">
        <v>202</v>
      </c>
      <c r="D26" s="243" t="s">
        <v>179</v>
      </c>
      <c r="E26" s="250">
        <v>52.591380500327929</v>
      </c>
      <c r="F26" s="250">
        <v>54.622234068582081</v>
      </c>
      <c r="G26" s="250">
        <v>56.740386983919045</v>
      </c>
      <c r="H26" s="250">
        <v>58.949551337419514</v>
      </c>
      <c r="I26" s="250">
        <v>61.249743451172485</v>
      </c>
      <c r="J26" s="250">
        <v>63.653298735425182</v>
      </c>
      <c r="K26" s="250">
        <v>66.160810182756705</v>
      </c>
      <c r="L26" s="250">
        <v>68.776817013378533</v>
      </c>
      <c r="M26" s="250">
        <v>71.506073452868023</v>
      </c>
      <c r="N26" s="250">
        <v>74.35355901737482</v>
      </c>
      <c r="O26" s="238"/>
    </row>
    <row r="27" spans="2:15" ht="15" customHeight="1">
      <c r="B27" s="235" t="s">
        <v>195</v>
      </c>
      <c r="C27" s="243" t="s">
        <v>203</v>
      </c>
      <c r="D27" s="243" t="s">
        <v>179</v>
      </c>
      <c r="E27" s="250">
        <v>8.9154918625973458</v>
      </c>
      <c r="F27" s="250">
        <v>9.1287994755030919</v>
      </c>
      <c r="G27" s="250">
        <v>9.3472467029279347</v>
      </c>
      <c r="H27" s="250">
        <v>9.5709582526748758</v>
      </c>
      <c r="I27" s="250">
        <v>9.8000618793173118</v>
      </c>
      <c r="J27" s="250">
        <v>10.034688459133937</v>
      </c>
      <c r="K27" s="250">
        <v>10.274972066898611</v>
      </c>
      <c r="L27" s="250">
        <v>10.521050054571258</v>
      </c>
      <c r="M27" s="250">
        <v>10.773063131937262</v>
      </c>
      <c r="N27" s="250">
        <v>11.031155449243792</v>
      </c>
      <c r="O27" s="238"/>
    </row>
    <row r="28" spans="2:15" ht="15" customHeight="1">
      <c r="B28" s="235" t="s">
        <v>195</v>
      </c>
      <c r="C28" s="243" t="s">
        <v>204</v>
      </c>
      <c r="D28" s="243" t="s">
        <v>179</v>
      </c>
      <c r="E28" s="250">
        <v>94.310461130660343</v>
      </c>
      <c r="F28" s="250">
        <v>100.49037310382153</v>
      </c>
      <c r="G28" s="250">
        <v>105.06810635756781</v>
      </c>
      <c r="H28" s="250">
        <v>109.86897679616239</v>
      </c>
      <c r="I28" s="250">
        <v>114.90348226860586</v>
      </c>
      <c r="J28" s="250">
        <v>120.1826491292945</v>
      </c>
      <c r="K28" s="250">
        <v>125.71805842864433</v>
      </c>
      <c r="L28" s="250">
        <v>131.52187339028472</v>
      </c>
      <c r="M28" s="250">
        <v>137.60686824609209</v>
      </c>
      <c r="N28" s="250">
        <v>143.98645850322177</v>
      </c>
      <c r="O28" s="238"/>
    </row>
    <row r="29" spans="2:15" ht="15" customHeight="1">
      <c r="B29" s="235" t="s">
        <v>205</v>
      </c>
      <c r="C29" s="243" t="s">
        <v>206</v>
      </c>
      <c r="D29" s="243" t="s">
        <v>207</v>
      </c>
      <c r="E29" s="250">
        <v>4.453224529922517</v>
      </c>
      <c r="F29" s="250">
        <v>5.3207423541230945</v>
      </c>
      <c r="G29" s="250">
        <v>5.436715240210674</v>
      </c>
      <c r="H29" s="250">
        <v>5.5552159146052871</v>
      </c>
      <c r="I29" s="250">
        <v>5.6762994739242583</v>
      </c>
      <c r="J29" s="250">
        <v>5.8000222156913521</v>
      </c>
      <c r="K29" s="250">
        <v>5.9264416645121685</v>
      </c>
      <c r="L29" s="250">
        <v>6.0556165988200776</v>
      </c>
      <c r="M29" s="250">
        <v>6.1876070782051231</v>
      </c>
      <c r="N29" s="250">
        <v>6.3224744713385856</v>
      </c>
      <c r="O29" s="238"/>
    </row>
    <row r="30" spans="2:15" ht="15" customHeight="1">
      <c r="B30" s="235" t="s">
        <v>205</v>
      </c>
      <c r="C30" s="243" t="s">
        <v>208</v>
      </c>
      <c r="D30" s="243" t="s">
        <v>179</v>
      </c>
      <c r="E30" s="250">
        <v>44.272291119944079</v>
      </c>
      <c r="F30" s="250">
        <v>45.871494714500919</v>
      </c>
      <c r="G30" s="250">
        <v>47.435772656425179</v>
      </c>
      <c r="H30" s="250">
        <v>47.686473500715984</v>
      </c>
      <c r="I30" s="250">
        <v>49.097120822954622</v>
      </c>
      <c r="J30" s="250">
        <v>49.179014881645557</v>
      </c>
      <c r="K30" s="250">
        <v>50.966563856175931</v>
      </c>
      <c r="L30" s="250">
        <v>52.821239692078272</v>
      </c>
      <c r="M30" s="250">
        <v>53.778620345198341</v>
      </c>
      <c r="N30" s="250">
        <v>54.755335639571733</v>
      </c>
      <c r="O30" s="238"/>
    </row>
    <row r="31" spans="2:15" ht="15" customHeight="1">
      <c r="B31" s="235" t="s">
        <v>205</v>
      </c>
      <c r="C31" s="243" t="s">
        <v>209</v>
      </c>
      <c r="D31" s="243" t="s">
        <v>179</v>
      </c>
      <c r="E31" s="250">
        <v>11.558484204130671</v>
      </c>
      <c r="F31" s="250">
        <v>11.869984710540511</v>
      </c>
      <c r="G31" s="250">
        <v>12.166746422226939</v>
      </c>
      <c r="H31" s="250">
        <v>12.1322482644894</v>
      </c>
      <c r="I31" s="250">
        <v>12.3829010482238</v>
      </c>
      <c r="J31" s="250">
        <v>12.304911503058525</v>
      </c>
      <c r="K31" s="250">
        <v>12.639921522600288</v>
      </c>
      <c r="L31" s="250">
        <v>12.984753951488667</v>
      </c>
      <c r="M31" s="250">
        <v>13.110157551230994</v>
      </c>
      <c r="N31" s="250">
        <v>13.237489921049367</v>
      </c>
      <c r="O31" s="238"/>
    </row>
    <row r="32" spans="2:15" ht="15" customHeight="1">
      <c r="B32" s="235" t="s">
        <v>205</v>
      </c>
      <c r="C32" s="243" t="s">
        <v>210</v>
      </c>
      <c r="D32" s="243" t="s">
        <v>207</v>
      </c>
      <c r="E32" s="250">
        <v>22.269237283568135</v>
      </c>
      <c r="F32" s="250">
        <v>22.787718189200572</v>
      </c>
      <c r="G32" s="250">
        <v>23.319037436618565</v>
      </c>
      <c r="H32" s="250">
        <v>23.863477731153626</v>
      </c>
      <c r="I32" s="250">
        <v>24.421328692664591</v>
      </c>
      <c r="J32" s="250">
        <v>24.992887016912729</v>
      </c>
      <c r="K32" s="250">
        <v>25.578456640107095</v>
      </c>
      <c r="L32" s="250">
        <v>26.178348906747818</v>
      </c>
      <c r="M32" s="250">
        <v>26.792882740893972</v>
      </c>
      <c r="N32" s="250">
        <v>27.203640764173198</v>
      </c>
      <c r="O32" s="238"/>
    </row>
    <row r="33" spans="2:15" ht="15" customHeight="1">
      <c r="B33" s="235" t="s">
        <v>211</v>
      </c>
      <c r="C33" s="243" t="s">
        <v>212</v>
      </c>
      <c r="D33" s="243" t="s">
        <v>179</v>
      </c>
      <c r="E33" s="250">
        <v>88.621855618672882</v>
      </c>
      <c r="F33" s="250">
        <v>91.654045235713639</v>
      </c>
      <c r="G33" s="250">
        <v>94.417873917553607</v>
      </c>
      <c r="H33" s="250">
        <v>97.465783288668092</v>
      </c>
      <c r="I33" s="250">
        <v>100.22941285186263</v>
      </c>
      <c r="J33" s="250">
        <v>102.69620783178109</v>
      </c>
      <c r="K33" s="250">
        <v>106.5640145757349</v>
      </c>
      <c r="L33" s="250">
        <v>110.58272227638898</v>
      </c>
      <c r="M33" s="250">
        <v>114.7584123953926</v>
      </c>
      <c r="N33" s="250">
        <v>119.09741870184786</v>
      </c>
      <c r="O33" s="238"/>
    </row>
    <row r="34" spans="2:15" ht="15" customHeight="1">
      <c r="B34" s="235" t="s">
        <v>211</v>
      </c>
      <c r="C34" s="243" t="s">
        <v>213</v>
      </c>
      <c r="D34" s="243" t="s">
        <v>179</v>
      </c>
      <c r="E34" s="250">
        <v>93.913000363154381</v>
      </c>
      <c r="F34" s="250">
        <v>97.426391052518127</v>
      </c>
      <c r="G34" s="250">
        <v>100.6065742035245</v>
      </c>
      <c r="H34" s="250">
        <v>104.05766967075752</v>
      </c>
      <c r="I34" s="250">
        <v>106.20270662632051</v>
      </c>
      <c r="J34" s="250">
        <v>107.98275584038717</v>
      </c>
      <c r="K34" s="250">
        <v>111.23741169054114</v>
      </c>
      <c r="L34" s="250">
        <v>114.59335516572824</v>
      </c>
      <c r="M34" s="250">
        <v>118.05372402450166</v>
      </c>
      <c r="N34" s="250">
        <v>121.62175716121482</v>
      </c>
      <c r="O34" s="238"/>
    </row>
    <row r="35" spans="2:15" ht="15" customHeight="1">
      <c r="B35" s="235" t="s">
        <v>211</v>
      </c>
      <c r="C35" s="243" t="s">
        <v>214</v>
      </c>
      <c r="D35" s="243" t="s">
        <v>179</v>
      </c>
      <c r="E35" s="250">
        <v>23.80139491798964</v>
      </c>
      <c r="F35" s="250">
        <v>24.62008616299693</v>
      </c>
      <c r="G35" s="250">
        <v>25.46735026702542</v>
      </c>
      <c r="H35" s="250">
        <v>26.344155449663123</v>
      </c>
      <c r="I35" s="250">
        <v>27.187685132491666</v>
      </c>
      <c r="J35" s="250">
        <v>27.552319717470503</v>
      </c>
      <c r="K35" s="250">
        <v>28.501712002350882</v>
      </c>
      <c r="L35" s="250">
        <v>29.484112822346788</v>
      </c>
      <c r="M35" s="250">
        <v>30.500644780794254</v>
      </c>
      <c r="N35" s="250">
        <v>31.552469480116297</v>
      </c>
      <c r="O35" s="238"/>
    </row>
    <row r="36" spans="2:15" ht="15" customHeight="1">
      <c r="B36" s="235" t="s">
        <v>211</v>
      </c>
      <c r="C36" s="243" t="s">
        <v>215</v>
      </c>
      <c r="D36" s="243" t="s">
        <v>179</v>
      </c>
      <c r="E36" s="250">
        <v>62.792418430254642</v>
      </c>
      <c r="F36" s="250">
        <v>65.133663030075752</v>
      </c>
      <c r="G36" s="250">
        <v>67.562577046812194</v>
      </c>
      <c r="H36" s="250">
        <v>70.082414292994869</v>
      </c>
      <c r="I36" s="250">
        <v>72.523631298584874</v>
      </c>
      <c r="J36" s="250">
        <v>73.675816967438124</v>
      </c>
      <c r="K36" s="250">
        <v>76.425197009391127</v>
      </c>
      <c r="L36" s="250">
        <v>79.277446911526312</v>
      </c>
      <c r="M36" s="250">
        <v>82.236401676214797</v>
      </c>
      <c r="N36" s="250">
        <v>85.306042651485271</v>
      </c>
      <c r="O36" s="238"/>
    </row>
    <row r="37" spans="2:15" ht="15" customHeight="1">
      <c r="B37" s="235" t="s">
        <v>211</v>
      </c>
      <c r="C37" s="243" t="s">
        <v>216</v>
      </c>
      <c r="D37" s="243" t="s">
        <v>179</v>
      </c>
      <c r="E37" s="250">
        <v>29.30886676236544</v>
      </c>
      <c r="F37" s="250">
        <v>30.125725941312027</v>
      </c>
      <c r="G37" s="250">
        <v>30.966002228853846</v>
      </c>
      <c r="H37" s="250">
        <v>31.830320740071024</v>
      </c>
      <c r="I37" s="250">
        <v>32.641256960250388</v>
      </c>
      <c r="J37" s="250">
        <v>32.858170799858868</v>
      </c>
      <c r="K37" s="250">
        <v>33.776644957559682</v>
      </c>
      <c r="L37" s="250">
        <v>34.721263263581143</v>
      </c>
      <c r="M37" s="250">
        <v>35.69272991719167</v>
      </c>
      <c r="N37" s="250">
        <v>36.691769445849154</v>
      </c>
      <c r="O37" s="238"/>
    </row>
    <row r="38" spans="2:15" ht="15" customHeight="1">
      <c r="B38" s="235" t="s">
        <v>211</v>
      </c>
      <c r="C38" s="243" t="s">
        <v>217</v>
      </c>
      <c r="D38" s="243" t="s">
        <v>179</v>
      </c>
      <c r="E38" s="250">
        <v>91.945625789348981</v>
      </c>
      <c r="F38" s="250">
        <v>94.483482779847407</v>
      </c>
      <c r="G38" s="250">
        <v>97.09395094703126</v>
      </c>
      <c r="H38" s="250">
        <v>99.779153149307362</v>
      </c>
      <c r="I38" s="250">
        <v>102.29646041511056</v>
      </c>
      <c r="J38" s="250">
        <v>102.9521041932019</v>
      </c>
      <c r="K38" s="250">
        <v>105.80821991163327</v>
      </c>
      <c r="L38" s="250">
        <v>108.74636809045948</v>
      </c>
      <c r="M38" s="250">
        <v>111.76896837441271</v>
      </c>
      <c r="N38" s="250">
        <v>114.87851625532404</v>
      </c>
      <c r="O38" s="238"/>
    </row>
    <row r="39" spans="2:15" ht="15" customHeight="1">
      <c r="B39" s="235" t="s">
        <v>218</v>
      </c>
      <c r="C39" s="243" t="s">
        <v>219</v>
      </c>
      <c r="D39" s="243" t="s">
        <v>179</v>
      </c>
      <c r="E39" s="250">
        <v>15.797556810801229</v>
      </c>
      <c r="F39" s="250">
        <v>15.584044153454107</v>
      </c>
      <c r="G39" s="250">
        <v>15.181315398432456</v>
      </c>
      <c r="H39" s="250">
        <v>14.976130132000348</v>
      </c>
      <c r="I39" s="250">
        <v>14.850974375296486</v>
      </c>
      <c r="J39" s="250">
        <v>14.673264103772004</v>
      </c>
      <c r="K39" s="250">
        <v>14.546114171880198</v>
      </c>
      <c r="L39" s="250">
        <v>14.734041026263814</v>
      </c>
      <c r="M39" s="250">
        <v>14.430407421253708</v>
      </c>
      <c r="N39" s="250">
        <v>14.129616030324565</v>
      </c>
      <c r="O39" s="238"/>
    </row>
    <row r="40" spans="2:15" ht="15" customHeight="1">
      <c r="B40" s="235" t="s">
        <v>218</v>
      </c>
      <c r="C40" s="243" t="s">
        <v>220</v>
      </c>
      <c r="D40" s="243" t="s">
        <v>179</v>
      </c>
      <c r="E40" s="250">
        <v>39.692444443141099</v>
      </c>
      <c r="F40" s="250">
        <v>39.895326211922118</v>
      </c>
      <c r="G40" s="250">
        <v>39.614738302581337</v>
      </c>
      <c r="H40" s="250">
        <v>39.816019535941351</v>
      </c>
      <c r="I40" s="250">
        <v>40.221000903680775</v>
      </c>
      <c r="J40" s="250">
        <v>40.486856260763155</v>
      </c>
      <c r="K40" s="250">
        <v>40.886897034158721</v>
      </c>
      <c r="L40" s="250">
        <v>42.167623355456044</v>
      </c>
      <c r="M40" s="250">
        <v>42.085484778821403</v>
      </c>
      <c r="N40" s="250">
        <v>41.991933233469908</v>
      </c>
      <c r="O40" s="238"/>
    </row>
    <row r="41" spans="2:15" ht="15" customHeight="1">
      <c r="B41" s="235" t="s">
        <v>221</v>
      </c>
      <c r="C41" s="243" t="s">
        <v>222</v>
      </c>
      <c r="D41" s="243" t="s">
        <v>179</v>
      </c>
      <c r="E41" s="250">
        <v>29.257416110200499</v>
      </c>
      <c r="F41" s="250">
        <v>30.049788779269566</v>
      </c>
      <c r="G41" s="250">
        <v>30.872103444814531</v>
      </c>
      <c r="H41" s="250">
        <v>31.725253304404301</v>
      </c>
      <c r="I41" s="250">
        <v>32.610160412733713</v>
      </c>
      <c r="J41" s="250">
        <v>33.527777003654556</v>
      </c>
      <c r="K41" s="250">
        <v>34.479086840265126</v>
      </c>
      <c r="L41" s="250">
        <v>35.465106593603025</v>
      </c>
      <c r="M41" s="250">
        <v>36.486887250753199</v>
      </c>
      <c r="N41" s="250">
        <v>37.545515553429347</v>
      </c>
      <c r="O41" s="238"/>
    </row>
    <row r="42" spans="2:15" ht="15" customHeight="1">
      <c r="B42" s="235" t="s">
        <v>221</v>
      </c>
      <c r="C42" s="243" t="s">
        <v>223</v>
      </c>
      <c r="D42" s="243" t="s">
        <v>179</v>
      </c>
      <c r="E42" s="250">
        <v>33.406710615591926</v>
      </c>
      <c r="F42" s="250">
        <v>34.481692256642532</v>
      </c>
      <c r="G42" s="250">
        <v>35.593592197126235</v>
      </c>
      <c r="H42" s="250">
        <v>36.743638972279193</v>
      </c>
      <c r="I42" s="250">
        <v>37.933107008499142</v>
      </c>
      <c r="J42" s="250">
        <v>39.163318312358108</v>
      </c>
      <c r="K42" s="250">
        <v>40.435644222855124</v>
      </c>
      <c r="L42" s="250">
        <v>41.751507229688109</v>
      </c>
      <c r="M42" s="250">
        <v>43.112382860401112</v>
      </c>
      <c r="N42" s="250">
        <v>44.519801639346426</v>
      </c>
      <c r="O42" s="238"/>
    </row>
    <row r="43" spans="2:15" ht="15" customHeight="1">
      <c r="B43" s="235" t="s">
        <v>221</v>
      </c>
      <c r="C43" s="243" t="s">
        <v>224</v>
      </c>
      <c r="D43" s="243" t="s">
        <v>179</v>
      </c>
      <c r="E43" s="250">
        <v>56.815406343233128</v>
      </c>
      <c r="F43" s="250">
        <v>58.442956473571449</v>
      </c>
      <c r="G43" s="250">
        <v>60.127232145661409</v>
      </c>
      <c r="H43" s="250">
        <v>61.870414550307089</v>
      </c>
      <c r="I43" s="250">
        <v>63.674780466920147</v>
      </c>
      <c r="J43" s="250">
        <v>65.542706674318637</v>
      </c>
      <c r="K43" s="250">
        <v>67.476674572406949</v>
      </c>
      <c r="L43" s="250">
        <v>69.479275025225689</v>
      </c>
      <c r="M43" s="250">
        <v>71.55321343637732</v>
      </c>
      <c r="N43" s="250">
        <v>73.701315068378491</v>
      </c>
      <c r="O43" s="238"/>
    </row>
    <row r="44" spans="2:15" ht="15" customHeight="1">
      <c r="B44" s="235" t="s">
        <v>221</v>
      </c>
      <c r="C44" s="243" t="s">
        <v>225</v>
      </c>
      <c r="D44" s="243" t="s">
        <v>207</v>
      </c>
      <c r="E44" s="250">
        <v>9.8698437514749617</v>
      </c>
      <c r="F44" s="250">
        <v>9.7828590258007946</v>
      </c>
      <c r="G44" s="250">
        <v>9.6967165888016211</v>
      </c>
      <c r="H44" s="250">
        <v>9.6114085083989469</v>
      </c>
      <c r="I44" s="250">
        <v>9.5269269285304965</v>
      </c>
      <c r="J44" s="250">
        <v>9.4432640684204721</v>
      </c>
      <c r="K44" s="250">
        <v>9.3604122218565493</v>
      </c>
      <c r="L44" s="250">
        <v>9.278363756473631</v>
      </c>
      <c r="M44" s="250">
        <v>9.1971111130442171</v>
      </c>
      <c r="N44" s="250">
        <v>9.1166468047753533</v>
      </c>
      <c r="O44" s="238"/>
    </row>
    <row r="45" spans="2:15" ht="15" customHeight="1">
      <c r="B45" s="235" t="s">
        <v>221</v>
      </c>
      <c r="C45" s="243" t="s">
        <v>226</v>
      </c>
      <c r="D45" s="243" t="s">
        <v>179</v>
      </c>
      <c r="E45" s="250">
        <v>21.843494340832663</v>
      </c>
      <c r="F45" s="250">
        <v>21.91407723021565</v>
      </c>
      <c r="G45" s="250">
        <v>21.985065181353669</v>
      </c>
      <c r="H45" s="250">
        <v>22.056461245714367</v>
      </c>
      <c r="I45" s="250">
        <v>22.128268500241088</v>
      </c>
      <c r="J45" s="250">
        <v>22.200490047569502</v>
      </c>
      <c r="K45" s="250">
        <v>22.273129016246102</v>
      </c>
      <c r="L45" s="250">
        <v>22.346188560948555</v>
      </c>
      <c r="M45" s="250">
        <v>22.419671862707933</v>
      </c>
      <c r="N45" s="250">
        <v>22.493582129132875</v>
      </c>
      <c r="O45" s="238"/>
    </row>
    <row r="46" spans="2:15" ht="15" customHeight="1">
      <c r="B46" s="235" t="s">
        <v>221</v>
      </c>
      <c r="C46" s="243" t="s">
        <v>227</v>
      </c>
      <c r="D46" s="243" t="s">
        <v>179</v>
      </c>
      <c r="E46" s="250">
        <v>17.362600854478305</v>
      </c>
      <c r="F46" s="250">
        <v>17.399390875358844</v>
      </c>
      <c r="G46" s="250">
        <v>17.436296397816275</v>
      </c>
      <c r="H46" s="250">
        <v>17.473317821787727</v>
      </c>
      <c r="I46" s="250">
        <v>17.51045554862019</v>
      </c>
      <c r="J46" s="250">
        <v>17.547709981075513</v>
      </c>
      <c r="K46" s="250">
        <v>17.585081523335393</v>
      </c>
      <c r="L46" s="250">
        <v>17.622570581006407</v>
      </c>
      <c r="M46" s="250">
        <v>17.660177561125025</v>
      </c>
      <c r="N46" s="250">
        <v>17.697902872162722</v>
      </c>
      <c r="O46" s="238"/>
    </row>
    <row r="47" spans="2:15" ht="15" customHeight="1">
      <c r="B47" s="235" t="s">
        <v>228</v>
      </c>
      <c r="C47" s="243" t="s">
        <v>229</v>
      </c>
      <c r="D47" s="243" t="s">
        <v>179</v>
      </c>
      <c r="E47" s="250">
        <v>35.632081512153157</v>
      </c>
      <c r="F47" s="250">
        <v>36.141515052497326</v>
      </c>
      <c r="G47" s="250">
        <v>36.259523037059253</v>
      </c>
      <c r="H47" s="250">
        <v>28.38676688262035</v>
      </c>
      <c r="I47" s="250">
        <v>28.049007923806403</v>
      </c>
      <c r="J47" s="250">
        <v>27.962282796034518</v>
      </c>
      <c r="K47" s="250">
        <v>28.474140393936928</v>
      </c>
      <c r="L47" s="250">
        <v>28.861446140567896</v>
      </c>
      <c r="M47" s="250">
        <v>28.986703931011878</v>
      </c>
      <c r="N47" s="250">
        <v>29.11305365850188</v>
      </c>
      <c r="O47" s="238"/>
    </row>
    <row r="48" spans="2:15" ht="15" customHeight="1">
      <c r="B48" s="235" t="s">
        <v>228</v>
      </c>
      <c r="C48" s="243" t="s">
        <v>230</v>
      </c>
      <c r="D48" s="243" t="s">
        <v>179</v>
      </c>
      <c r="E48" s="250">
        <v>36.250416183673607</v>
      </c>
      <c r="F48" s="250">
        <v>36.802438922639197</v>
      </c>
      <c r="G48" s="250">
        <v>36.94575091267496</v>
      </c>
      <c r="H48" s="250">
        <v>37.745080071112639</v>
      </c>
      <c r="I48" s="250">
        <v>37.291246438721984</v>
      </c>
      <c r="J48" s="250">
        <v>37.170728790950072</v>
      </c>
      <c r="K48" s="250">
        <v>37.845172687056397</v>
      </c>
      <c r="L48" s="250">
        <v>38.353481318666788</v>
      </c>
      <c r="M48" s="250">
        <v>38.513087240529536</v>
      </c>
      <c r="N48" s="250">
        <v>38.673626412800026</v>
      </c>
      <c r="O48" s="238"/>
    </row>
    <row r="49" spans="2:15" ht="15" customHeight="1">
      <c r="B49" s="235" t="s">
        <v>228</v>
      </c>
      <c r="C49" s="243" t="s">
        <v>231</v>
      </c>
      <c r="D49" s="243" t="s">
        <v>179</v>
      </c>
      <c r="E49" s="250">
        <v>29.60372764840503</v>
      </c>
      <c r="F49" s="250">
        <v>29.96455480033649</v>
      </c>
      <c r="G49" s="250">
        <v>30.024663513204811</v>
      </c>
      <c r="H49" s="250">
        <v>30.586283878309146</v>
      </c>
      <c r="I49" s="250">
        <v>30.188847719884055</v>
      </c>
      <c r="J49" s="250">
        <v>30.047103237580878</v>
      </c>
      <c r="K49" s="250">
        <v>30.510115014200125</v>
      </c>
      <c r="L49" s="250">
        <v>30.845877064820233</v>
      </c>
      <c r="M49" s="250">
        <v>30.915655109450871</v>
      </c>
      <c r="N49" s="250">
        <v>30.985796554530705</v>
      </c>
      <c r="O49" s="238"/>
    </row>
    <row r="50" spans="2:15" ht="15" customHeight="1">
      <c r="B50" s="235" t="s">
        <v>228</v>
      </c>
      <c r="C50" s="243" t="s">
        <v>232</v>
      </c>
      <c r="D50" s="243" t="s">
        <v>179</v>
      </c>
      <c r="E50" s="250">
        <v>41.270043000952086</v>
      </c>
      <c r="F50" s="250">
        <v>41.867494568212692</v>
      </c>
      <c r="G50" s="250">
        <v>42.0081372255951</v>
      </c>
      <c r="H50" s="250">
        <v>42.911354139150504</v>
      </c>
      <c r="I50" s="250">
        <v>42.357263401648453</v>
      </c>
      <c r="J50" s="250">
        <v>42.190898781927075</v>
      </c>
      <c r="K50" s="250">
        <v>42.947248952028502</v>
      </c>
      <c r="L50" s="250">
        <v>43.509745891949649</v>
      </c>
      <c r="M50" s="250">
        <v>43.667537555642468</v>
      </c>
      <c r="N50" s="250">
        <v>43.826199280441315</v>
      </c>
      <c r="O50" s="238"/>
    </row>
    <row r="51" spans="2:15" ht="15" customHeight="1">
      <c r="B51" s="235" t="s">
        <v>228</v>
      </c>
      <c r="C51" s="243" t="s">
        <v>233</v>
      </c>
      <c r="D51" s="243" t="s">
        <v>179</v>
      </c>
      <c r="E51" s="250">
        <v>32.189759305170888</v>
      </c>
      <c r="F51" s="250">
        <v>32.592225089274926</v>
      </c>
      <c r="G51" s="250">
        <v>32.649210395312657</v>
      </c>
      <c r="H51" s="250">
        <v>33.280181080597536</v>
      </c>
      <c r="I51" s="250">
        <v>32.81323231330699</v>
      </c>
      <c r="J51" s="250">
        <v>32.638885915777522</v>
      </c>
      <c r="K51" s="250">
        <v>33.156262973888609</v>
      </c>
      <c r="L51" s="250">
        <v>33.527205427690035</v>
      </c>
      <c r="M51" s="250">
        <v>33.594272566275194</v>
      </c>
      <c r="N51" s="250">
        <v>33.66164593139051</v>
      </c>
      <c r="O51" s="238"/>
    </row>
    <row r="52" spans="2:15" ht="15" customHeight="1">
      <c r="B52" s="235" t="s">
        <v>228</v>
      </c>
      <c r="C52" s="243" t="s">
        <v>234</v>
      </c>
      <c r="D52" s="243" t="s">
        <v>179</v>
      </c>
      <c r="E52" s="250">
        <v>37.416530310024875</v>
      </c>
      <c r="F52" s="250">
        <v>37.971266745304931</v>
      </c>
      <c r="G52" s="250">
        <v>38.107192206370456</v>
      </c>
      <c r="H52" s="250">
        <v>38.942462908209897</v>
      </c>
      <c r="I52" s="250">
        <v>38.442129819456582</v>
      </c>
      <c r="J52" s="250">
        <v>38.297323584033691</v>
      </c>
      <c r="K52" s="250">
        <v>38.999105765394724</v>
      </c>
      <c r="L52" s="250">
        <v>39.523200781245848</v>
      </c>
      <c r="M52" s="250">
        <v>39.6766776855073</v>
      </c>
      <c r="N52" s="250">
        <v>39.831276061554433</v>
      </c>
      <c r="O52" s="238"/>
    </row>
    <row r="53" spans="2:15" ht="15" customHeight="1">
      <c r="B53" s="235" t="s">
        <v>228</v>
      </c>
      <c r="C53" s="243" t="s">
        <v>235</v>
      </c>
      <c r="D53" s="243" t="s">
        <v>179</v>
      </c>
      <c r="E53" s="250">
        <v>22.951051845033437</v>
      </c>
      <c r="F53" s="250">
        <v>23.211072631416716</v>
      </c>
      <c r="G53" s="250">
        <v>23.224420697801566</v>
      </c>
      <c r="H53" s="250">
        <v>23.644444420874066</v>
      </c>
      <c r="I53" s="250">
        <v>23.286053810884844</v>
      </c>
      <c r="J53" s="250">
        <v>23.135047175949012</v>
      </c>
      <c r="K53" s="250">
        <v>23.473151392205459</v>
      </c>
      <c r="L53" s="250">
        <v>23.706423686176326</v>
      </c>
      <c r="M53" s="250">
        <v>23.725179308267759</v>
      </c>
      <c r="N53" s="250">
        <v>23.743949769095085</v>
      </c>
      <c r="O53" s="238"/>
    </row>
    <row r="54" spans="2:15" ht="15" customHeight="1">
      <c r="B54" s="235" t="s">
        <v>228</v>
      </c>
      <c r="C54" s="243" t="s">
        <v>236</v>
      </c>
      <c r="D54" s="243" t="s">
        <v>179</v>
      </c>
      <c r="E54" s="250">
        <v>48.74913518498397</v>
      </c>
      <c r="F54" s="250">
        <v>49.528730840179094</v>
      </c>
      <c r="G54" s="250">
        <v>49.76133605933974</v>
      </c>
      <c r="H54" s="250">
        <v>50.912684739193757</v>
      </c>
      <c r="I54" s="250">
        <v>50.311003849858423</v>
      </c>
      <c r="J54" s="250">
        <v>50.175898240085282</v>
      </c>
      <c r="K54" s="250">
        <v>51.155745686753718</v>
      </c>
      <c r="L54" s="250">
        <v>51.903794054615624</v>
      </c>
      <c r="M54" s="250">
        <v>52.163892129136563</v>
      </c>
      <c r="N54" s="250">
        <v>52.426044972333138</v>
      </c>
      <c r="O54" s="238"/>
    </row>
    <row r="55" spans="2:15" ht="15" customHeight="1">
      <c r="B55" s="235" t="s">
        <v>237</v>
      </c>
      <c r="C55" s="243" t="s">
        <v>238</v>
      </c>
      <c r="D55" s="243" t="s">
        <v>207</v>
      </c>
      <c r="E55" s="250">
        <v>18.682081153780508</v>
      </c>
      <c r="F55" s="250">
        <v>18.978608519486716</v>
      </c>
      <c r="G55" s="250">
        <v>19.198031486698479</v>
      </c>
      <c r="H55" s="250">
        <v>19.305210100652001</v>
      </c>
      <c r="I55" s="250">
        <v>19.317928112066568</v>
      </c>
      <c r="J55" s="250">
        <v>19.240496611641252</v>
      </c>
      <c r="K55" s="250">
        <v>19.268266884613226</v>
      </c>
      <c r="L55" s="250">
        <v>19.406382452460864</v>
      </c>
      <c r="M55" s="250">
        <v>19.550017804184673</v>
      </c>
      <c r="N55" s="250">
        <v>19.694800633226077</v>
      </c>
      <c r="O55" s="238"/>
    </row>
    <row r="56" spans="2:15" ht="15" customHeight="1">
      <c r="B56" s="235" t="s">
        <v>237</v>
      </c>
      <c r="C56" s="243" t="s">
        <v>239</v>
      </c>
      <c r="D56" s="243" t="s">
        <v>179</v>
      </c>
      <c r="E56" s="250">
        <v>46.197264064098611</v>
      </c>
      <c r="F56" s="250">
        <v>47.191347874420352</v>
      </c>
      <c r="G56" s="250">
        <v>48.208070529747623</v>
      </c>
      <c r="H56" s="250">
        <v>49.247905442302809</v>
      </c>
      <c r="I56" s="250">
        <v>50.311337729607736</v>
      </c>
      <c r="J56" s="250">
        <v>51.398864493615548</v>
      </c>
      <c r="K56" s="250">
        <v>52.510995106378843</v>
      </c>
      <c r="L56" s="250">
        <v>53.648251502495427</v>
      </c>
      <c r="M56" s="250">
        <v>54.811168478573926</v>
      </c>
      <c r="N56" s="250">
        <v>56.000293999964377</v>
      </c>
      <c r="O56" s="238"/>
    </row>
    <row r="57" spans="2:15" ht="15" customHeight="1">
      <c r="B57" s="235" t="s">
        <v>237</v>
      </c>
      <c r="C57" s="243" t="s">
        <v>240</v>
      </c>
      <c r="D57" s="243" t="s">
        <v>179</v>
      </c>
      <c r="E57" s="250">
        <v>15.31884848225635</v>
      </c>
      <c r="F57" s="250">
        <v>15.408204115637192</v>
      </c>
      <c r="G57" s="250">
        <v>15.498080965036728</v>
      </c>
      <c r="H57" s="250">
        <v>15.588482070734884</v>
      </c>
      <c r="I57" s="250">
        <v>15.679410490745687</v>
      </c>
      <c r="J57" s="250">
        <v>15.770869300920726</v>
      </c>
      <c r="K57" s="250">
        <v>15.862861595053179</v>
      </c>
      <c r="L57" s="250">
        <v>15.955390484982498</v>
      </c>
      <c r="M57" s="250">
        <v>16.048459100699649</v>
      </c>
      <c r="N57" s="250">
        <v>16.142070590452978</v>
      </c>
      <c r="O57" s="238"/>
    </row>
    <row r="58" spans="2:15" ht="15" customHeight="1">
      <c r="B58" s="235" t="s">
        <v>237</v>
      </c>
      <c r="C58" s="243" t="s">
        <v>241</v>
      </c>
      <c r="D58" s="243" t="s">
        <v>207</v>
      </c>
      <c r="E58" s="250">
        <v>33.972145979471243</v>
      </c>
      <c r="F58" s="250">
        <v>34.563556289840811</v>
      </c>
      <c r="G58" s="250">
        <v>35.000989157031</v>
      </c>
      <c r="H58" s="250">
        <v>35.214597415576733</v>
      </c>
      <c r="I58" s="250">
        <v>35.239942049489535</v>
      </c>
      <c r="J58" s="250">
        <v>35.085627208735552</v>
      </c>
      <c r="K58" s="250">
        <v>35.140973434661085</v>
      </c>
      <c r="L58" s="250">
        <v>35.416200513066002</v>
      </c>
      <c r="M58" s="250">
        <v>35.702361643103934</v>
      </c>
      <c r="N58" s="250">
        <v>35.990742831903596</v>
      </c>
      <c r="O58" s="238"/>
    </row>
    <row r="59" spans="2:15" ht="15" customHeight="1">
      <c r="B59" s="235" t="s">
        <v>237</v>
      </c>
      <c r="C59" s="243" t="s">
        <v>242</v>
      </c>
      <c r="D59" s="243" t="s">
        <v>179</v>
      </c>
      <c r="E59" s="250">
        <v>40.178142146329193</v>
      </c>
      <c r="F59" s="250">
        <v>40.419414674397366</v>
      </c>
      <c r="G59" s="250">
        <v>36.121462344427677</v>
      </c>
      <c r="H59" s="250">
        <v>36.338445585847943</v>
      </c>
      <c r="I59" s="250">
        <v>36.556731652004004</v>
      </c>
      <c r="J59" s="250">
        <v>36.776327907738001</v>
      </c>
      <c r="K59" s="250">
        <v>36.997241762336195</v>
      </c>
      <c r="L59" s="250">
        <v>37.219480669780211</v>
      </c>
      <c r="M59" s="250">
        <v>37.443052128999611</v>
      </c>
      <c r="N59" s="250">
        <v>37.667963684125986</v>
      </c>
      <c r="O59" s="238"/>
    </row>
    <row r="60" spans="2:15" ht="15" customHeight="1">
      <c r="B60" s="235" t="s">
        <v>237</v>
      </c>
      <c r="C60" s="243" t="s">
        <v>243</v>
      </c>
      <c r="D60" s="243" t="s">
        <v>207</v>
      </c>
      <c r="E60" s="250">
        <v>20.244049948475432</v>
      </c>
      <c r="F60" s="250">
        <v>20.5697807712471</v>
      </c>
      <c r="G60" s="250">
        <v>20.811005245799549</v>
      </c>
      <c r="H60" s="250">
        <v>20.928890138697248</v>
      </c>
      <c r="I60" s="250">
        <v>20.942881020491601</v>
      </c>
      <c r="J60" s="250">
        <v>20.857707871018743</v>
      </c>
      <c r="K60" s="250">
        <v>20.888252423596121</v>
      </c>
      <c r="L60" s="250">
        <v>21.040202405760613</v>
      </c>
      <c r="M60" s="250">
        <v>21.198288467887298</v>
      </c>
      <c r="N60" s="250">
        <v>21.357701337676403</v>
      </c>
      <c r="O60" s="238"/>
    </row>
    <row r="61" spans="2:15" ht="15" customHeight="1">
      <c r="B61" s="235" t="s">
        <v>237</v>
      </c>
      <c r="C61" s="243" t="s">
        <v>244</v>
      </c>
      <c r="D61" s="243" t="s">
        <v>179</v>
      </c>
      <c r="E61" s="250">
        <v>24.646696105001411</v>
      </c>
      <c r="F61" s="250">
        <v>24.794797636461411</v>
      </c>
      <c r="G61" s="250">
        <v>24.943772268745818</v>
      </c>
      <c r="H61" s="250">
        <v>25.093625036457453</v>
      </c>
      <c r="I61" s="250">
        <v>25.24436100395269</v>
      </c>
      <c r="J61" s="250">
        <v>25.395985265512341</v>
      </c>
      <c r="K61" s="250">
        <v>25.548502945513498</v>
      </c>
      <c r="L61" s="250">
        <v>25.701919198602535</v>
      </c>
      <c r="M61" s="250">
        <v>25.856239209869027</v>
      </c>
      <c r="N61" s="250">
        <v>26.011468195020708</v>
      </c>
      <c r="O61" s="238"/>
    </row>
    <row r="62" spans="2:15" ht="15" customHeight="1">
      <c r="B62" s="235" t="s">
        <v>237</v>
      </c>
      <c r="C62" s="243" t="s">
        <v>245</v>
      </c>
      <c r="D62" s="243" t="s">
        <v>179</v>
      </c>
      <c r="E62" s="250">
        <v>55.658939727066837</v>
      </c>
      <c r="F62" s="250">
        <v>58.960458985116595</v>
      </c>
      <c r="G62" s="250">
        <v>60.655537105449845</v>
      </c>
      <c r="H62" s="250">
        <v>64.061427608028652</v>
      </c>
      <c r="I62" s="250">
        <v>67.953171582483265</v>
      </c>
      <c r="J62" s="250">
        <v>69.40591739526846</v>
      </c>
      <c r="K62" s="250">
        <v>70.893549719765105</v>
      </c>
      <c r="L62" s="250">
        <v>72.417022319769515</v>
      </c>
      <c r="M62" s="250">
        <v>73.977319444588616</v>
      </c>
      <c r="N62" s="250">
        <v>75.575456893172912</v>
      </c>
      <c r="O62" s="238"/>
    </row>
    <row r="63" spans="2:15">
      <c r="C63" s="239"/>
      <c r="D63" s="239"/>
      <c r="E63" s="240">
        <f t="shared" ref="E63:N63" si="1">SUM(E6:E62)</f>
        <v>2376.6449644458421</v>
      </c>
      <c r="F63" s="240">
        <f t="shared" si="1"/>
        <v>2437.8399946536697</v>
      </c>
      <c r="G63" s="240">
        <f t="shared" si="1"/>
        <v>2481.1059987570925</v>
      </c>
      <c r="H63" s="240">
        <f t="shared" si="1"/>
        <v>2530.9108563709242</v>
      </c>
      <c r="I63" s="240">
        <f t="shared" si="1"/>
        <v>2581.3903603492045</v>
      </c>
      <c r="J63" s="240">
        <f t="shared" si="1"/>
        <v>2636.9059187235594</v>
      </c>
      <c r="K63" s="240">
        <f t="shared" si="1"/>
        <v>2705.4654151912246</v>
      </c>
      <c r="L63" s="240">
        <f t="shared" si="1"/>
        <v>2782.4797414589457</v>
      </c>
      <c r="M63" s="240">
        <f t="shared" si="1"/>
        <v>2846.4572010879838</v>
      </c>
      <c r="N63" s="240">
        <f t="shared" si="1"/>
        <v>2912.3783586529771</v>
      </c>
    </row>
    <row r="66" spans="5:5">
      <c r="E66" s="237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Q412"/>
  <sheetViews>
    <sheetView showGridLines="0" topLeftCell="A4" zoomScaleNormal="100" workbookViewId="0">
      <selection activeCell="O23" sqref="O23"/>
    </sheetView>
  </sheetViews>
  <sheetFormatPr defaultColWidth="8.7109375" defaultRowHeight="12.75"/>
  <cols>
    <col min="1" max="1" width="8.7109375" style="227"/>
    <col min="2" max="2" width="21" style="227" customWidth="1"/>
    <col min="3" max="3" width="18.85546875" style="227" bestFit="1" customWidth="1"/>
    <col min="4" max="4" width="45.42578125" style="227" customWidth="1"/>
    <col min="5" max="14" width="11.28515625" style="227" customWidth="1"/>
    <col min="15" max="15" width="12" style="227" customWidth="1"/>
    <col min="16" max="16384" width="8.7109375" style="227"/>
  </cols>
  <sheetData>
    <row r="1" spans="1:17" s="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  <c r="N1" s="200"/>
      <c r="O1" s="200"/>
    </row>
    <row r="2" spans="1:17" s="1" customFormat="1" ht="15.75">
      <c r="A2" s="211" t="s">
        <v>640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  <c r="N2" s="208"/>
      <c r="O2" s="208"/>
      <c r="Q2" s="125"/>
    </row>
    <row r="4" spans="1:17">
      <c r="M4" s="228"/>
    </row>
    <row r="5" spans="1:17">
      <c r="B5" s="236" t="s">
        <v>172</v>
      </c>
      <c r="C5" s="244" t="s">
        <v>173</v>
      </c>
      <c r="D5" s="236" t="s">
        <v>246</v>
      </c>
      <c r="E5" s="236">
        <v>2016</v>
      </c>
      <c r="F5" s="236">
        <f>E5+1</f>
        <v>2017</v>
      </c>
      <c r="G5" s="236">
        <f>F5+1</f>
        <v>2018</v>
      </c>
      <c r="H5" s="236">
        <f t="shared" ref="H5:N5" si="0">G5+1</f>
        <v>2019</v>
      </c>
      <c r="I5" s="236">
        <f t="shared" si="0"/>
        <v>2020</v>
      </c>
      <c r="J5" s="236">
        <f t="shared" si="0"/>
        <v>2021</v>
      </c>
      <c r="K5" s="236">
        <f t="shared" si="0"/>
        <v>2022</v>
      </c>
      <c r="L5" s="236">
        <f t="shared" si="0"/>
        <v>2023</v>
      </c>
      <c r="M5" s="236">
        <f t="shared" si="0"/>
        <v>2024</v>
      </c>
      <c r="N5" s="236">
        <f t="shared" si="0"/>
        <v>2025</v>
      </c>
      <c r="O5" s="236" t="s">
        <v>247</v>
      </c>
    </row>
    <row r="6" spans="1:17">
      <c r="B6" s="239" t="s">
        <v>176</v>
      </c>
      <c r="C6" s="239" t="s">
        <v>4</v>
      </c>
      <c r="D6" s="243" t="s">
        <v>248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0</v>
      </c>
      <c r="K6" s="251">
        <v>0</v>
      </c>
      <c r="L6" s="251">
        <v>0</v>
      </c>
      <c r="M6" s="251">
        <v>0</v>
      </c>
      <c r="N6" s="251">
        <v>1.0357864404865791</v>
      </c>
      <c r="O6" s="251">
        <v>0</v>
      </c>
    </row>
    <row r="7" spans="1:17">
      <c r="B7" s="239" t="s">
        <v>176</v>
      </c>
      <c r="C7" s="239" t="s">
        <v>4</v>
      </c>
      <c r="D7" s="243" t="s">
        <v>249</v>
      </c>
      <c r="E7" s="251">
        <v>0</v>
      </c>
      <c r="F7" s="251">
        <v>0</v>
      </c>
      <c r="G7" s="251">
        <v>0.62147186429194745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>
        <v>0</v>
      </c>
      <c r="N7" s="251">
        <v>0</v>
      </c>
      <c r="O7" s="251">
        <v>0</v>
      </c>
    </row>
    <row r="8" spans="1:17">
      <c r="B8" s="239" t="s">
        <v>176</v>
      </c>
      <c r="C8" s="239" t="s">
        <v>4</v>
      </c>
      <c r="D8" s="243" t="s">
        <v>250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0.20715728809731579</v>
      </c>
      <c r="N8" s="251">
        <v>0</v>
      </c>
      <c r="O8" s="251">
        <v>0</v>
      </c>
    </row>
    <row r="9" spans="1:17">
      <c r="B9" s="239" t="s">
        <v>176</v>
      </c>
      <c r="C9" s="239" t="s">
        <v>4</v>
      </c>
      <c r="D9" s="243" t="s">
        <v>251</v>
      </c>
      <c r="E9" s="251">
        <v>0</v>
      </c>
      <c r="F9" s="251">
        <v>0</v>
      </c>
      <c r="G9" s="251">
        <v>0</v>
      </c>
      <c r="H9" s="251">
        <v>0</v>
      </c>
      <c r="I9" s="251">
        <v>1.5847532539444664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</row>
    <row r="10" spans="1:17">
      <c r="B10" s="239" t="s">
        <v>176</v>
      </c>
      <c r="C10" s="239" t="s">
        <v>4</v>
      </c>
      <c r="D10" s="243" t="s">
        <v>252</v>
      </c>
      <c r="E10" s="251">
        <v>0</v>
      </c>
      <c r="F10" s="251">
        <v>0</v>
      </c>
      <c r="G10" s="251">
        <v>0.30037806774110792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</row>
    <row r="11" spans="1:17">
      <c r="B11" s="239" t="s">
        <v>176</v>
      </c>
      <c r="C11" s="239" t="s">
        <v>4</v>
      </c>
      <c r="D11" s="243" t="s">
        <v>253</v>
      </c>
      <c r="E11" s="251">
        <v>0</v>
      </c>
      <c r="F11" s="251">
        <v>0</v>
      </c>
      <c r="G11" s="251">
        <v>0</v>
      </c>
      <c r="H11" s="251">
        <v>0.31073593214597373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  <c r="N11" s="251">
        <v>0</v>
      </c>
      <c r="O11" s="251">
        <v>0</v>
      </c>
    </row>
    <row r="12" spans="1:17">
      <c r="B12" s="239" t="s">
        <v>176</v>
      </c>
      <c r="C12" s="239" t="s">
        <v>4</v>
      </c>
      <c r="D12" s="243" t="s">
        <v>254</v>
      </c>
      <c r="E12" s="251">
        <v>0</v>
      </c>
      <c r="F12" s="251">
        <v>0.36252525417030262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</row>
    <row r="13" spans="1:17">
      <c r="B13" s="239" t="s">
        <v>176</v>
      </c>
      <c r="C13" s="239" t="s">
        <v>4</v>
      </c>
      <c r="D13" s="243" t="s">
        <v>255</v>
      </c>
      <c r="E13" s="251">
        <v>0.47646176262382656</v>
      </c>
      <c r="F13" s="251">
        <v>1.4293852878714797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</row>
    <row r="14" spans="1:17">
      <c r="B14" s="239" t="s">
        <v>176</v>
      </c>
      <c r="C14" s="239" t="s">
        <v>4</v>
      </c>
      <c r="D14" s="243" t="s">
        <v>256</v>
      </c>
      <c r="E14" s="251">
        <v>0</v>
      </c>
      <c r="F14" s="251">
        <v>0</v>
      </c>
      <c r="G14" s="251">
        <v>0.31073593214597373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</row>
    <row r="15" spans="1:17">
      <c r="B15" s="239" t="s">
        <v>176</v>
      </c>
      <c r="C15" s="239" t="s">
        <v>4</v>
      </c>
      <c r="D15" s="243" t="s">
        <v>257</v>
      </c>
      <c r="E15" s="251">
        <v>0</v>
      </c>
      <c r="F15" s="251">
        <v>0</v>
      </c>
      <c r="G15" s="251">
        <v>0</v>
      </c>
      <c r="H15" s="251">
        <v>0</v>
      </c>
      <c r="I15" s="251">
        <v>0.15536796607298686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</row>
    <row r="16" spans="1:17">
      <c r="B16" s="239" t="s">
        <v>176</v>
      </c>
      <c r="C16" s="239" t="s">
        <v>4</v>
      </c>
      <c r="D16" s="243" t="s">
        <v>258</v>
      </c>
      <c r="E16" s="251">
        <v>0</v>
      </c>
      <c r="F16" s="251">
        <v>0</v>
      </c>
      <c r="G16" s="251">
        <v>0</v>
      </c>
      <c r="H16" s="251">
        <v>0</v>
      </c>
      <c r="I16" s="251">
        <v>0.42763434742048856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</row>
    <row r="17" spans="2:15">
      <c r="B17" s="239" t="s">
        <v>176</v>
      </c>
      <c r="C17" s="239" t="s">
        <v>4</v>
      </c>
      <c r="D17" s="243" t="s">
        <v>259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0.503</v>
      </c>
      <c r="K17" s="251">
        <v>5.7117186429194735</v>
      </c>
      <c r="L17" s="251">
        <v>0</v>
      </c>
      <c r="M17" s="251">
        <v>0</v>
      </c>
      <c r="N17" s="251">
        <v>0</v>
      </c>
      <c r="O17" s="251">
        <v>0</v>
      </c>
    </row>
    <row r="18" spans="2:15">
      <c r="B18" s="239" t="s">
        <v>176</v>
      </c>
      <c r="C18" s="239" t="s">
        <v>4</v>
      </c>
      <c r="D18" s="243" t="s">
        <v>260</v>
      </c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2.0715728809731582</v>
      </c>
      <c r="O18" s="251">
        <v>0</v>
      </c>
    </row>
    <row r="19" spans="2:15">
      <c r="B19" s="239" t="s">
        <v>176</v>
      </c>
      <c r="C19" s="239" t="s">
        <v>4</v>
      </c>
      <c r="D19" s="243" t="s">
        <v>260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2.0715728809731582</v>
      </c>
      <c r="O19" s="251">
        <v>0</v>
      </c>
    </row>
    <row r="20" spans="2:15">
      <c r="B20" s="239" t="s">
        <v>176</v>
      </c>
      <c r="C20" s="239" t="s">
        <v>4</v>
      </c>
      <c r="D20" s="243" t="s">
        <v>261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0.17608369488271841</v>
      </c>
      <c r="N20" s="251">
        <v>0</v>
      </c>
      <c r="O20" s="251">
        <v>0</v>
      </c>
    </row>
    <row r="21" spans="2:15">
      <c r="B21" s="239" t="s">
        <v>176</v>
      </c>
      <c r="C21" s="239" t="s">
        <v>4</v>
      </c>
      <c r="D21" s="243" t="s">
        <v>262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0</v>
      </c>
      <c r="K21" s="251">
        <v>0</v>
      </c>
      <c r="L21" s="251">
        <v>0.24858874571677894</v>
      </c>
      <c r="M21" s="251">
        <v>0</v>
      </c>
      <c r="N21" s="251">
        <v>0</v>
      </c>
      <c r="O21" s="251">
        <v>0</v>
      </c>
    </row>
    <row r="22" spans="2:15">
      <c r="B22" s="239" t="s">
        <v>176</v>
      </c>
      <c r="C22" s="239" t="s">
        <v>4</v>
      </c>
      <c r="D22" s="243" t="s">
        <v>263</v>
      </c>
      <c r="E22" s="251">
        <v>0</v>
      </c>
      <c r="F22" s="251">
        <v>0</v>
      </c>
      <c r="G22" s="251">
        <v>0</v>
      </c>
      <c r="H22" s="251">
        <v>0</v>
      </c>
      <c r="I22" s="251">
        <v>0</v>
      </c>
      <c r="J22" s="251">
        <v>0</v>
      </c>
      <c r="K22" s="251">
        <v>0</v>
      </c>
      <c r="L22" s="251">
        <v>0</v>
      </c>
      <c r="M22" s="251">
        <v>0.10357864404865789</v>
      </c>
      <c r="N22" s="251">
        <v>0</v>
      </c>
      <c r="O22" s="251">
        <v>0</v>
      </c>
    </row>
    <row r="23" spans="2:15">
      <c r="B23" s="239" t="s">
        <v>176</v>
      </c>
      <c r="C23" s="239" t="s">
        <v>264</v>
      </c>
      <c r="D23" s="243" t="s">
        <v>265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0</v>
      </c>
      <c r="K23" s="251">
        <v>7.6648196596006839</v>
      </c>
      <c r="L23" s="251">
        <v>0</v>
      </c>
      <c r="M23" s="251">
        <v>0</v>
      </c>
      <c r="N23" s="251">
        <v>0</v>
      </c>
      <c r="O23" s="251">
        <v>-7.441572485049576E-2</v>
      </c>
    </row>
    <row r="24" spans="2:15">
      <c r="B24" s="239" t="s">
        <v>176</v>
      </c>
      <c r="C24" s="239" t="s">
        <v>264</v>
      </c>
      <c r="D24" s="243" t="s">
        <v>266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1.7608369488271844</v>
      </c>
      <c r="M24" s="251">
        <v>0</v>
      </c>
      <c r="N24" s="251">
        <v>0</v>
      </c>
      <c r="O24" s="251">
        <v>-1.2115850565324666</v>
      </c>
    </row>
    <row r="25" spans="2:15">
      <c r="B25" s="239" t="s">
        <v>176</v>
      </c>
      <c r="C25" s="239" t="s">
        <v>264</v>
      </c>
      <c r="D25" s="243" t="s">
        <v>267</v>
      </c>
      <c r="E25" s="251">
        <v>0</v>
      </c>
      <c r="F25" s="251">
        <v>0</v>
      </c>
      <c r="G25" s="251">
        <v>0</v>
      </c>
      <c r="H25" s="251">
        <v>0</v>
      </c>
      <c r="I25" s="251">
        <v>0</v>
      </c>
      <c r="J25" s="251">
        <v>1.5329639319201369</v>
      </c>
      <c r="K25" s="251">
        <v>0</v>
      </c>
      <c r="L25" s="251">
        <v>0</v>
      </c>
      <c r="M25" s="251">
        <v>0</v>
      </c>
      <c r="N25" s="251">
        <v>0</v>
      </c>
      <c r="O25" s="251">
        <v>-1.0360281239893592</v>
      </c>
    </row>
    <row r="26" spans="2:15">
      <c r="B26" s="239" t="s">
        <v>176</v>
      </c>
      <c r="C26" s="239" t="s">
        <v>264</v>
      </c>
      <c r="D26" s="243" t="s">
        <v>268</v>
      </c>
      <c r="E26" s="251">
        <v>0</v>
      </c>
      <c r="F26" s="251">
        <v>0</v>
      </c>
      <c r="G26" s="251">
        <v>0</v>
      </c>
      <c r="H26" s="251">
        <v>0</v>
      </c>
      <c r="I26" s="251">
        <v>0</v>
      </c>
      <c r="J26" s="251">
        <v>1.3212737999999999</v>
      </c>
      <c r="K26" s="251">
        <v>4.1683943345788679</v>
      </c>
      <c r="L26" s="251">
        <v>0</v>
      </c>
      <c r="M26" s="251">
        <v>0</v>
      </c>
      <c r="N26" s="251">
        <v>0</v>
      </c>
      <c r="O26" s="251">
        <v>-2.2125026118151192</v>
      </c>
    </row>
    <row r="27" spans="2:15">
      <c r="B27" s="239" t="s">
        <v>176</v>
      </c>
      <c r="C27" s="239" t="s">
        <v>177</v>
      </c>
      <c r="D27" s="243" t="s">
        <v>269</v>
      </c>
      <c r="E27" s="251">
        <v>0</v>
      </c>
      <c r="F27" s="251">
        <v>0</v>
      </c>
      <c r="G27" s="251">
        <v>1.139365084535237</v>
      </c>
      <c r="H27" s="251">
        <v>0</v>
      </c>
      <c r="I27" s="251">
        <v>0</v>
      </c>
      <c r="J27" s="251">
        <v>0</v>
      </c>
      <c r="K27" s="251">
        <v>0</v>
      </c>
      <c r="L27" s="251">
        <v>0</v>
      </c>
      <c r="M27" s="251">
        <v>0</v>
      </c>
      <c r="N27" s="251">
        <v>0</v>
      </c>
      <c r="O27" s="251">
        <v>0</v>
      </c>
    </row>
    <row r="28" spans="2:15">
      <c r="B28" s="239" t="s">
        <v>176</v>
      </c>
      <c r="C28" s="239" t="s">
        <v>177</v>
      </c>
      <c r="D28" s="243" t="s">
        <v>270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0.20273320000000003</v>
      </c>
      <c r="K28" s="251">
        <v>14.8161701870554</v>
      </c>
      <c r="L28" s="251">
        <v>0</v>
      </c>
      <c r="M28" s="251">
        <v>0</v>
      </c>
      <c r="N28" s="251">
        <v>0</v>
      </c>
      <c r="O28" s="251">
        <v>-6.6674828672836854</v>
      </c>
    </row>
    <row r="29" spans="2:15">
      <c r="B29" s="239" t="s">
        <v>176</v>
      </c>
      <c r="C29" s="239" t="s">
        <v>177</v>
      </c>
      <c r="D29" s="243" t="s">
        <v>271</v>
      </c>
      <c r="E29" s="251">
        <v>0</v>
      </c>
      <c r="F29" s="251">
        <v>0</v>
      </c>
      <c r="G29" s="251">
        <v>0</v>
      </c>
      <c r="H29" s="251">
        <v>0</v>
      </c>
      <c r="I29" s="251">
        <v>0</v>
      </c>
      <c r="J29" s="251">
        <v>0</v>
      </c>
      <c r="K29" s="251">
        <v>0</v>
      </c>
      <c r="L29" s="251">
        <v>0</v>
      </c>
      <c r="M29" s="251">
        <v>0</v>
      </c>
      <c r="N29" s="251">
        <v>5.1789322024328968</v>
      </c>
      <c r="O29" s="251">
        <v>-4.5982640464025417</v>
      </c>
    </row>
    <row r="30" spans="2:15">
      <c r="B30" s="239" t="s">
        <v>176</v>
      </c>
      <c r="C30" s="239" t="s">
        <v>177</v>
      </c>
      <c r="D30" s="243" t="s">
        <v>272</v>
      </c>
      <c r="E30" s="251">
        <v>0</v>
      </c>
      <c r="F30" s="251">
        <v>0</v>
      </c>
      <c r="G30" s="251">
        <v>1.0357864404865791</v>
      </c>
      <c r="H30" s="251">
        <v>0</v>
      </c>
      <c r="I30" s="251">
        <v>0</v>
      </c>
      <c r="J30" s="251">
        <v>0</v>
      </c>
      <c r="K30" s="251">
        <v>0</v>
      </c>
      <c r="L30" s="251">
        <v>0</v>
      </c>
      <c r="M30" s="251">
        <v>0</v>
      </c>
      <c r="N30" s="251">
        <v>0</v>
      </c>
      <c r="O30" s="251">
        <v>0</v>
      </c>
    </row>
    <row r="31" spans="2:15">
      <c r="B31" s="239" t="s">
        <v>176</v>
      </c>
      <c r="C31" s="239" t="s">
        <v>628</v>
      </c>
      <c r="D31" s="243" t="s">
        <v>629</v>
      </c>
      <c r="E31" s="251">
        <v>0.12016388534218599</v>
      </c>
      <c r="F31" s="251">
        <v>0.12016388534218599</v>
      </c>
      <c r="G31" s="251">
        <v>0.12016388534218599</v>
      </c>
      <c r="H31" s="251">
        <v>0.12016388534218599</v>
      </c>
      <c r="I31" s="251">
        <v>0.12016388534218599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</row>
    <row r="32" spans="2:15">
      <c r="B32" s="239" t="s">
        <v>176</v>
      </c>
      <c r="C32" s="239" t="s">
        <v>630</v>
      </c>
      <c r="D32" s="243" t="s">
        <v>629</v>
      </c>
      <c r="E32" s="251">
        <v>0.22983611465781398</v>
      </c>
      <c r="F32" s="251">
        <v>0.22983611465781398</v>
      </c>
      <c r="G32" s="251">
        <v>0.22983611465781398</v>
      </c>
      <c r="H32" s="251">
        <v>0.22983611465781398</v>
      </c>
      <c r="I32" s="251">
        <v>0.22983611465781398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</row>
    <row r="33" spans="2:15">
      <c r="B33" s="239" t="s">
        <v>185</v>
      </c>
      <c r="C33" s="239" t="s">
        <v>4</v>
      </c>
      <c r="D33" s="243" t="s">
        <v>273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0.31073593214597373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</row>
    <row r="34" spans="2:15">
      <c r="B34" s="239" t="s">
        <v>185</v>
      </c>
      <c r="C34" s="239" t="s">
        <v>4</v>
      </c>
      <c r="D34" s="243" t="s">
        <v>274</v>
      </c>
      <c r="E34" s="251">
        <v>0</v>
      </c>
      <c r="F34" s="251">
        <v>0</v>
      </c>
      <c r="G34" s="251">
        <v>0</v>
      </c>
      <c r="H34" s="251">
        <v>0</v>
      </c>
      <c r="I34" s="251">
        <v>0.43503030500436318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</row>
    <row r="35" spans="2:15">
      <c r="B35" s="239" t="s">
        <v>185</v>
      </c>
      <c r="C35" s="239" t="s">
        <v>4</v>
      </c>
      <c r="D35" s="243" t="s">
        <v>275</v>
      </c>
      <c r="E35" s="251">
        <v>0</v>
      </c>
      <c r="F35" s="251">
        <v>0</v>
      </c>
      <c r="G35" s="251">
        <v>0</v>
      </c>
      <c r="H35" s="251">
        <v>0.3564062003331751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</row>
    <row r="36" spans="2:15">
      <c r="B36" s="239" t="s">
        <v>185</v>
      </c>
      <c r="C36" s="239" t="s">
        <v>4</v>
      </c>
      <c r="D36" s="243" t="s">
        <v>276</v>
      </c>
      <c r="E36" s="251">
        <v>0</v>
      </c>
      <c r="F36" s="251">
        <v>0</v>
      </c>
      <c r="G36" s="251">
        <v>0.15536796607298686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</row>
    <row r="37" spans="2:15">
      <c r="B37" s="239" t="s">
        <v>185</v>
      </c>
      <c r="C37" s="239" t="s">
        <v>4</v>
      </c>
      <c r="D37" s="243" t="s">
        <v>277</v>
      </c>
      <c r="E37" s="251">
        <v>0</v>
      </c>
      <c r="F37" s="251">
        <v>0</v>
      </c>
      <c r="G37" s="251">
        <v>7.4385095037648757E-2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</row>
    <row r="38" spans="2:15">
      <c r="B38" s="239" t="s">
        <v>185</v>
      </c>
      <c r="C38" s="239" t="s">
        <v>4</v>
      </c>
      <c r="D38" s="243" t="s">
        <v>278</v>
      </c>
      <c r="E38" s="251">
        <v>0</v>
      </c>
      <c r="F38" s="251">
        <v>0</v>
      </c>
      <c r="G38" s="251">
        <v>0.42763434742048856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</row>
    <row r="39" spans="2:15">
      <c r="B39" s="239" t="s">
        <v>185</v>
      </c>
      <c r="C39" s="239" t="s">
        <v>4</v>
      </c>
      <c r="D39" s="243" t="s">
        <v>279</v>
      </c>
      <c r="E39" s="251">
        <v>0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0.43503030500436318</v>
      </c>
      <c r="L39" s="251">
        <v>0</v>
      </c>
      <c r="M39" s="251">
        <v>0</v>
      </c>
      <c r="N39" s="251">
        <v>0</v>
      </c>
      <c r="O39" s="251">
        <v>0</v>
      </c>
    </row>
    <row r="40" spans="2:15">
      <c r="B40" s="239" t="s">
        <v>185</v>
      </c>
      <c r="C40" s="239" t="s">
        <v>4</v>
      </c>
      <c r="D40" s="243" t="s">
        <v>280</v>
      </c>
      <c r="E40" s="251">
        <v>0</v>
      </c>
      <c r="F40" s="251">
        <v>0.42763434742048856</v>
      </c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</row>
    <row r="41" spans="2:15">
      <c r="B41" s="239" t="s">
        <v>185</v>
      </c>
      <c r="C41" s="239" t="s">
        <v>4</v>
      </c>
      <c r="D41" s="243" t="s">
        <v>281</v>
      </c>
      <c r="E41" s="251">
        <v>0</v>
      </c>
      <c r="F41" s="251">
        <v>0</v>
      </c>
      <c r="G41" s="251">
        <v>0.42763434742048856</v>
      </c>
      <c r="H41" s="251">
        <v>0</v>
      </c>
      <c r="I41" s="251">
        <v>0</v>
      </c>
      <c r="J41" s="251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</row>
    <row r="42" spans="2:15">
      <c r="B42" s="239" t="s">
        <v>185</v>
      </c>
      <c r="C42" s="239" t="s">
        <v>4</v>
      </c>
      <c r="D42" s="243" t="s">
        <v>282</v>
      </c>
      <c r="E42" s="251">
        <v>0</v>
      </c>
      <c r="F42" s="251">
        <v>0</v>
      </c>
      <c r="G42" s="251">
        <v>7.4385095037648757E-2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  <c r="M42" s="251">
        <v>0</v>
      </c>
      <c r="N42" s="251">
        <v>0</v>
      </c>
      <c r="O42" s="251">
        <v>0</v>
      </c>
    </row>
    <row r="43" spans="2:15">
      <c r="B43" s="239" t="s">
        <v>185</v>
      </c>
      <c r="C43" s="239" t="s">
        <v>4</v>
      </c>
      <c r="D43" s="243" t="s">
        <v>283</v>
      </c>
      <c r="E43" s="251">
        <v>0</v>
      </c>
      <c r="F43" s="251">
        <v>0</v>
      </c>
      <c r="G43" s="251">
        <v>7.4385095037648757E-2</v>
      </c>
      <c r="H43" s="251">
        <v>0</v>
      </c>
      <c r="I43" s="251">
        <v>0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</row>
    <row r="44" spans="2:15">
      <c r="B44" s="239" t="s">
        <v>185</v>
      </c>
      <c r="C44" s="239" t="s">
        <v>4</v>
      </c>
      <c r="D44" s="243" t="s">
        <v>284</v>
      </c>
      <c r="E44" s="251">
        <v>0</v>
      </c>
      <c r="F44" s="251">
        <v>0</v>
      </c>
      <c r="G44" s="251">
        <v>0.42763434742048856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</row>
    <row r="45" spans="2:15">
      <c r="B45" s="239" t="s">
        <v>185</v>
      </c>
      <c r="C45" s="239" t="s">
        <v>4</v>
      </c>
      <c r="D45" s="243" t="s">
        <v>285</v>
      </c>
      <c r="E45" s="251">
        <v>0</v>
      </c>
      <c r="F45" s="251">
        <v>0</v>
      </c>
      <c r="G45" s="251">
        <v>0</v>
      </c>
      <c r="H45" s="251">
        <v>0.47231861686188004</v>
      </c>
      <c r="I45" s="251">
        <v>0</v>
      </c>
      <c r="J45" s="251">
        <v>0</v>
      </c>
      <c r="K45" s="251">
        <v>0</v>
      </c>
      <c r="L45" s="251">
        <v>0</v>
      </c>
      <c r="M45" s="251">
        <v>0</v>
      </c>
      <c r="N45" s="251">
        <v>0</v>
      </c>
      <c r="O45" s="251">
        <v>0</v>
      </c>
    </row>
    <row r="46" spans="2:15">
      <c r="B46" s="239" t="s">
        <v>185</v>
      </c>
      <c r="C46" s="239" t="s">
        <v>4</v>
      </c>
      <c r="D46" s="243" t="s">
        <v>286</v>
      </c>
      <c r="E46" s="251">
        <v>0</v>
      </c>
      <c r="F46" s="251">
        <v>0</v>
      </c>
      <c r="G46" s="251">
        <v>7.4385095037648757E-2</v>
      </c>
      <c r="H46" s="251">
        <v>0</v>
      </c>
      <c r="I46" s="251">
        <v>0</v>
      </c>
      <c r="J46" s="251">
        <v>0</v>
      </c>
      <c r="K46" s="251">
        <v>0</v>
      </c>
      <c r="L46" s="251">
        <v>0</v>
      </c>
      <c r="M46" s="251">
        <v>0</v>
      </c>
      <c r="N46" s="251">
        <v>0</v>
      </c>
      <c r="O46" s="251">
        <v>0</v>
      </c>
    </row>
    <row r="47" spans="2:15">
      <c r="B47" s="239" t="s">
        <v>185</v>
      </c>
      <c r="C47" s="239" t="s">
        <v>4</v>
      </c>
      <c r="D47" s="243" t="s">
        <v>287</v>
      </c>
      <c r="E47" s="251">
        <v>0.12429437285838947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</row>
    <row r="48" spans="2:15">
      <c r="B48" s="239" t="s">
        <v>185</v>
      </c>
      <c r="C48" s="239" t="s">
        <v>4</v>
      </c>
      <c r="D48" s="243" t="s">
        <v>288</v>
      </c>
      <c r="E48" s="251">
        <v>0.22372987114510107</v>
      </c>
      <c r="F48" s="251">
        <v>0</v>
      </c>
      <c r="G48" s="251">
        <v>0</v>
      </c>
      <c r="H48" s="251">
        <v>0</v>
      </c>
      <c r="I48" s="251">
        <v>0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</row>
    <row r="49" spans="2:15">
      <c r="B49" s="239" t="s">
        <v>185</v>
      </c>
      <c r="C49" s="239" t="s">
        <v>4</v>
      </c>
      <c r="D49" s="243" t="s">
        <v>289</v>
      </c>
      <c r="E49" s="251">
        <v>0</v>
      </c>
      <c r="F49" s="251">
        <v>0</v>
      </c>
      <c r="G49" s="251">
        <v>0</v>
      </c>
      <c r="H49" s="251">
        <v>0</v>
      </c>
      <c r="I49" s="251">
        <v>0</v>
      </c>
      <c r="J49" s="251">
        <v>0</v>
      </c>
      <c r="K49" s="251">
        <v>0</v>
      </c>
      <c r="L49" s="251">
        <v>0</v>
      </c>
      <c r="M49" s="251">
        <v>0.37288311857516837</v>
      </c>
      <c r="N49" s="251">
        <v>0</v>
      </c>
      <c r="O49" s="251">
        <v>0</v>
      </c>
    </row>
    <row r="50" spans="2:15">
      <c r="B50" s="239" t="s">
        <v>185</v>
      </c>
      <c r="C50" s="239" t="s">
        <v>4</v>
      </c>
      <c r="D50" s="243" t="s">
        <v>290</v>
      </c>
      <c r="E50" s="251">
        <v>0</v>
      </c>
      <c r="F50" s="251">
        <v>0</v>
      </c>
      <c r="G50" s="251">
        <v>0.43503030500436318</v>
      </c>
      <c r="H50" s="251">
        <v>0</v>
      </c>
      <c r="I50" s="251">
        <v>0</v>
      </c>
      <c r="J50" s="251">
        <v>0</v>
      </c>
      <c r="K50" s="251">
        <v>0</v>
      </c>
      <c r="L50" s="251">
        <v>0</v>
      </c>
      <c r="M50" s="251">
        <v>0</v>
      </c>
      <c r="N50" s="251">
        <v>0</v>
      </c>
      <c r="O50" s="251">
        <v>0</v>
      </c>
    </row>
    <row r="51" spans="2:15">
      <c r="B51" s="239" t="s">
        <v>185</v>
      </c>
      <c r="C51" s="239" t="s">
        <v>4</v>
      </c>
      <c r="D51" s="243" t="s">
        <v>291</v>
      </c>
      <c r="E51" s="251">
        <v>0</v>
      </c>
      <c r="F51" s="251">
        <v>0</v>
      </c>
      <c r="G51" s="251">
        <v>0</v>
      </c>
      <c r="H51" s="251">
        <v>0</v>
      </c>
      <c r="I51" s="251">
        <v>0.43503030500436318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</row>
    <row r="52" spans="2:15">
      <c r="B52" s="239" t="s">
        <v>185</v>
      </c>
      <c r="C52" s="239" t="s">
        <v>4</v>
      </c>
      <c r="D52" s="243" t="s">
        <v>292</v>
      </c>
      <c r="E52" s="251">
        <v>0</v>
      </c>
      <c r="F52" s="251">
        <v>0</v>
      </c>
      <c r="G52" s="251">
        <v>0</v>
      </c>
      <c r="H52" s="251">
        <v>0</v>
      </c>
      <c r="I52" s="251">
        <v>0</v>
      </c>
      <c r="J52" s="251">
        <v>0.43503030500436318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</row>
    <row r="53" spans="2:15">
      <c r="B53" s="239" t="s">
        <v>185</v>
      </c>
      <c r="C53" s="239" t="s">
        <v>4</v>
      </c>
      <c r="D53" s="243" t="s">
        <v>293</v>
      </c>
      <c r="E53" s="251">
        <v>0</v>
      </c>
      <c r="F53" s="251">
        <v>0</v>
      </c>
      <c r="G53" s="251">
        <v>0</v>
      </c>
      <c r="H53" s="251">
        <v>0.3564062003331751</v>
      </c>
      <c r="I53" s="251">
        <v>0</v>
      </c>
      <c r="J53" s="251">
        <v>0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</row>
    <row r="54" spans="2:15">
      <c r="B54" s="239" t="s">
        <v>185</v>
      </c>
      <c r="C54" s="239" t="s">
        <v>4</v>
      </c>
      <c r="D54" s="243" t="s">
        <v>294</v>
      </c>
      <c r="E54" s="251">
        <v>0</v>
      </c>
      <c r="F54" s="251">
        <v>0</v>
      </c>
      <c r="G54" s="251">
        <v>0</v>
      </c>
      <c r="H54" s="251">
        <v>0.24858874571677894</v>
      </c>
      <c r="I54" s="251">
        <v>0</v>
      </c>
      <c r="J54" s="251">
        <v>0</v>
      </c>
      <c r="K54" s="251">
        <v>0</v>
      </c>
      <c r="L54" s="251">
        <v>0</v>
      </c>
      <c r="M54" s="251">
        <v>0</v>
      </c>
      <c r="N54" s="251">
        <v>0</v>
      </c>
      <c r="O54" s="251">
        <v>0</v>
      </c>
    </row>
    <row r="55" spans="2:15">
      <c r="B55" s="239" t="s">
        <v>185</v>
      </c>
      <c r="C55" s="239" t="s">
        <v>4</v>
      </c>
      <c r="D55" s="243" t="s">
        <v>295</v>
      </c>
      <c r="E55" s="251">
        <v>0</v>
      </c>
      <c r="F55" s="251">
        <v>0.23615930843094002</v>
      </c>
      <c r="G55" s="251">
        <v>0</v>
      </c>
      <c r="H55" s="251">
        <v>0</v>
      </c>
      <c r="I55" s="251">
        <v>0</v>
      </c>
      <c r="J55" s="251">
        <v>0</v>
      </c>
      <c r="K55" s="251">
        <v>0</v>
      </c>
      <c r="L55" s="251">
        <v>0</v>
      </c>
      <c r="M55" s="251">
        <v>0</v>
      </c>
      <c r="N55" s="251">
        <v>0</v>
      </c>
      <c r="O55" s="251">
        <v>0</v>
      </c>
    </row>
    <row r="56" spans="2:15">
      <c r="B56" s="239" t="s">
        <v>185</v>
      </c>
      <c r="C56" s="239" t="s">
        <v>4</v>
      </c>
      <c r="D56" s="243" t="s">
        <v>296</v>
      </c>
      <c r="E56" s="251">
        <v>0</v>
      </c>
      <c r="F56" s="251">
        <v>0</v>
      </c>
      <c r="G56" s="251">
        <v>0</v>
      </c>
      <c r="H56" s="251">
        <v>0.62147186429194745</v>
      </c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51">
        <v>0</v>
      </c>
    </row>
    <row r="57" spans="2:15">
      <c r="B57" s="239" t="s">
        <v>185</v>
      </c>
      <c r="C57" s="239" t="s">
        <v>4</v>
      </c>
      <c r="D57" s="243" t="s">
        <v>297</v>
      </c>
      <c r="E57" s="251">
        <v>0</v>
      </c>
      <c r="F57" s="251">
        <v>0</v>
      </c>
      <c r="G57" s="251">
        <v>0</v>
      </c>
      <c r="H57" s="251">
        <v>0.28508956494699245</v>
      </c>
      <c r="I57" s="251">
        <v>0</v>
      </c>
      <c r="J57" s="251">
        <v>0</v>
      </c>
      <c r="K57" s="251">
        <v>0</v>
      </c>
      <c r="L57" s="251">
        <v>0</v>
      </c>
      <c r="M57" s="251">
        <v>0</v>
      </c>
      <c r="N57" s="251">
        <v>0</v>
      </c>
      <c r="O57" s="251">
        <v>0</v>
      </c>
    </row>
    <row r="58" spans="2:15">
      <c r="B58" s="239" t="s">
        <v>185</v>
      </c>
      <c r="C58" s="239" t="s">
        <v>4</v>
      </c>
      <c r="D58" s="243" t="s">
        <v>298</v>
      </c>
      <c r="E58" s="251">
        <v>0</v>
      </c>
      <c r="F58" s="251">
        <v>0</v>
      </c>
      <c r="G58" s="251">
        <v>0.15536796607298686</v>
      </c>
      <c r="H58" s="251">
        <v>0</v>
      </c>
      <c r="I58" s="251">
        <v>0</v>
      </c>
      <c r="J58" s="251">
        <v>0</v>
      </c>
      <c r="K58" s="251">
        <v>0</v>
      </c>
      <c r="L58" s="251">
        <v>0</v>
      </c>
      <c r="M58" s="251">
        <v>0</v>
      </c>
      <c r="N58" s="251">
        <v>0</v>
      </c>
      <c r="O58" s="251">
        <v>0</v>
      </c>
    </row>
    <row r="59" spans="2:15">
      <c r="B59" s="239" t="s">
        <v>185</v>
      </c>
      <c r="C59" s="239" t="s">
        <v>4</v>
      </c>
      <c r="D59" s="243" t="s">
        <v>299</v>
      </c>
      <c r="E59" s="251">
        <v>0</v>
      </c>
      <c r="F59" s="251">
        <v>0</v>
      </c>
      <c r="G59" s="251">
        <v>0</v>
      </c>
      <c r="H59" s="251">
        <v>0.16158268471590631</v>
      </c>
      <c r="I59" s="251">
        <v>2.1130043385926212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</row>
    <row r="60" spans="2:15">
      <c r="B60" s="239" t="s">
        <v>185</v>
      </c>
      <c r="C60" s="239" t="s">
        <v>4</v>
      </c>
      <c r="D60" s="243" t="s">
        <v>300</v>
      </c>
      <c r="E60" s="251">
        <v>0.14915324743006739</v>
      </c>
      <c r="F60" s="251">
        <v>2.1130043385926212</v>
      </c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</row>
    <row r="61" spans="2:15">
      <c r="B61" s="239" t="s">
        <v>185</v>
      </c>
      <c r="C61" s="239" t="s">
        <v>4</v>
      </c>
      <c r="D61" s="243" t="s">
        <v>301</v>
      </c>
      <c r="E61" s="251">
        <v>0</v>
      </c>
      <c r="F61" s="251">
        <v>0</v>
      </c>
      <c r="G61" s="251">
        <v>0</v>
      </c>
      <c r="H61" s="251">
        <v>0</v>
      </c>
      <c r="I61" s="251">
        <v>0</v>
      </c>
      <c r="J61" s="251">
        <v>3.3559480671765161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</row>
    <row r="62" spans="2:15">
      <c r="B62" s="239" t="s">
        <v>185</v>
      </c>
      <c r="C62" s="239" t="s">
        <v>4</v>
      </c>
      <c r="D62" s="243" t="s">
        <v>302</v>
      </c>
      <c r="E62" s="251">
        <v>0</v>
      </c>
      <c r="F62" s="251">
        <v>0</v>
      </c>
      <c r="G62" s="251">
        <v>0.3564062003331751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</row>
    <row r="63" spans="2:15">
      <c r="B63" s="239" t="s">
        <v>185</v>
      </c>
      <c r="C63" s="239" t="s">
        <v>4</v>
      </c>
      <c r="D63" s="243" t="s">
        <v>303</v>
      </c>
      <c r="E63" s="251">
        <v>0</v>
      </c>
      <c r="F63" s="251">
        <v>0</v>
      </c>
      <c r="G63" s="251">
        <v>0</v>
      </c>
      <c r="H63" s="251">
        <v>0.24858874571677894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1">
        <v>0</v>
      </c>
    </row>
    <row r="64" spans="2:15">
      <c r="B64" s="239" t="s">
        <v>185</v>
      </c>
      <c r="C64" s="239" t="s">
        <v>4</v>
      </c>
      <c r="D64" s="243" t="s">
        <v>304</v>
      </c>
      <c r="E64" s="251">
        <v>0</v>
      </c>
      <c r="F64" s="251">
        <v>0</v>
      </c>
      <c r="G64" s="251">
        <v>0</v>
      </c>
      <c r="H64" s="251">
        <v>0</v>
      </c>
      <c r="I64" s="251">
        <v>0.7768398303649342</v>
      </c>
      <c r="J64" s="251">
        <v>0</v>
      </c>
      <c r="K64" s="251">
        <v>0</v>
      </c>
      <c r="L64" s="251">
        <v>0</v>
      </c>
      <c r="M64" s="251">
        <v>0</v>
      </c>
      <c r="N64" s="251">
        <v>0</v>
      </c>
      <c r="O64" s="251">
        <v>0</v>
      </c>
    </row>
    <row r="65" spans="2:15">
      <c r="B65" s="239" t="s">
        <v>185</v>
      </c>
      <c r="C65" s="239" t="s">
        <v>4</v>
      </c>
      <c r="D65" s="243" t="s">
        <v>305</v>
      </c>
      <c r="E65" s="251">
        <v>0</v>
      </c>
      <c r="F65" s="251">
        <v>0</v>
      </c>
      <c r="G65" s="251">
        <v>0</v>
      </c>
      <c r="H65" s="251">
        <v>0</v>
      </c>
      <c r="I65" s="251">
        <v>0.27344762028845687</v>
      </c>
      <c r="J65" s="251">
        <v>0</v>
      </c>
      <c r="K65" s="251">
        <v>0</v>
      </c>
      <c r="L65" s="251">
        <v>0</v>
      </c>
      <c r="M65" s="251">
        <v>0</v>
      </c>
      <c r="N65" s="251">
        <v>0</v>
      </c>
      <c r="O65" s="251">
        <v>0</v>
      </c>
    </row>
    <row r="66" spans="2:15">
      <c r="B66" s="239" t="s">
        <v>185</v>
      </c>
      <c r="C66" s="239" t="s">
        <v>4</v>
      </c>
      <c r="D66" s="243" t="s">
        <v>306</v>
      </c>
      <c r="E66" s="251">
        <v>0</v>
      </c>
      <c r="F66" s="251">
        <v>0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  <c r="L66" s="251">
        <v>0</v>
      </c>
      <c r="M66" s="251">
        <v>0.43503030500436318</v>
      </c>
      <c r="N66" s="251">
        <v>0</v>
      </c>
      <c r="O66" s="251">
        <v>0</v>
      </c>
    </row>
    <row r="67" spans="2:15">
      <c r="B67" s="239" t="s">
        <v>185</v>
      </c>
      <c r="C67" s="239" t="s">
        <v>4</v>
      </c>
      <c r="D67" s="243" t="s">
        <v>307</v>
      </c>
      <c r="E67" s="251">
        <v>0</v>
      </c>
      <c r="F67" s="251">
        <v>0</v>
      </c>
      <c r="G67" s="251">
        <v>0</v>
      </c>
      <c r="H67" s="251">
        <v>0</v>
      </c>
      <c r="I67" s="251">
        <v>0</v>
      </c>
      <c r="J67" s="251">
        <v>0</v>
      </c>
      <c r="K67" s="251">
        <v>0.99435498286711577</v>
      </c>
      <c r="L67" s="251">
        <v>0</v>
      </c>
      <c r="M67" s="251">
        <v>0</v>
      </c>
      <c r="N67" s="251">
        <v>0</v>
      </c>
      <c r="O67" s="251">
        <v>0</v>
      </c>
    </row>
    <row r="68" spans="2:15">
      <c r="B68" s="239" t="s">
        <v>185</v>
      </c>
      <c r="C68" s="239" t="s">
        <v>4</v>
      </c>
      <c r="D68" s="243" t="s">
        <v>308</v>
      </c>
      <c r="E68" s="251">
        <v>0</v>
      </c>
      <c r="F68" s="251">
        <v>0</v>
      </c>
      <c r="G68" s="251">
        <v>0.36252525417030262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</row>
    <row r="69" spans="2:15">
      <c r="B69" s="239" t="s">
        <v>185</v>
      </c>
      <c r="C69" s="239" t="s">
        <v>264</v>
      </c>
      <c r="D69" s="243" t="s">
        <v>309</v>
      </c>
      <c r="E69" s="251">
        <v>0</v>
      </c>
      <c r="F69" s="251">
        <v>0</v>
      </c>
      <c r="G69" s="251">
        <v>0</v>
      </c>
      <c r="H69" s="251">
        <v>0</v>
      </c>
      <c r="I69" s="251">
        <v>0.31073593214597367</v>
      </c>
      <c r="J69" s="251">
        <v>2.7344762028845686</v>
      </c>
      <c r="K69" s="251">
        <v>0</v>
      </c>
      <c r="L69" s="251">
        <v>0</v>
      </c>
      <c r="M69" s="251">
        <v>0</v>
      </c>
      <c r="N69" s="251">
        <v>0</v>
      </c>
      <c r="O69" s="251">
        <v>-2.7270556433109334</v>
      </c>
    </row>
    <row r="70" spans="2:15">
      <c r="B70" s="239" t="s">
        <v>185</v>
      </c>
      <c r="C70" s="239" t="s">
        <v>264</v>
      </c>
      <c r="D70" s="243" t="s">
        <v>310</v>
      </c>
      <c r="E70" s="251">
        <v>0</v>
      </c>
      <c r="F70" s="251">
        <v>0</v>
      </c>
      <c r="G70" s="251">
        <v>0</v>
      </c>
      <c r="H70" s="251">
        <v>0</v>
      </c>
      <c r="I70" s="251">
        <v>0.31073593214597373</v>
      </c>
      <c r="J70" s="251">
        <v>3.1073593214597368</v>
      </c>
      <c r="K70" s="251">
        <v>0</v>
      </c>
      <c r="L70" s="251">
        <v>0</v>
      </c>
      <c r="M70" s="251">
        <v>0</v>
      </c>
      <c r="N70" s="251">
        <v>0</v>
      </c>
      <c r="O70" s="251">
        <v>-3.0609808241245173</v>
      </c>
    </row>
    <row r="71" spans="2:15">
      <c r="B71" s="239" t="s">
        <v>185</v>
      </c>
      <c r="C71" s="239" t="s">
        <v>177</v>
      </c>
      <c r="D71" s="243" t="s">
        <v>311</v>
      </c>
      <c r="E71" s="251">
        <v>0</v>
      </c>
      <c r="F71" s="251">
        <v>0</v>
      </c>
      <c r="G71" s="251">
        <v>0</v>
      </c>
      <c r="H71" s="251">
        <v>0.70433477953087364</v>
      </c>
      <c r="I71" s="251">
        <v>0</v>
      </c>
      <c r="J71" s="251">
        <v>0</v>
      </c>
      <c r="K71" s="251">
        <v>0</v>
      </c>
      <c r="L71" s="251">
        <v>0</v>
      </c>
      <c r="M71" s="251">
        <v>0</v>
      </c>
      <c r="N71" s="251">
        <v>0</v>
      </c>
      <c r="O71" s="251">
        <v>0</v>
      </c>
    </row>
    <row r="72" spans="2:15">
      <c r="B72" s="239" t="s">
        <v>185</v>
      </c>
      <c r="C72" s="239" t="s">
        <v>177</v>
      </c>
      <c r="D72" s="243" t="s">
        <v>312</v>
      </c>
      <c r="E72" s="251">
        <v>0.87006061000872637</v>
      </c>
      <c r="F72" s="251">
        <v>0</v>
      </c>
      <c r="G72" s="251">
        <v>0</v>
      </c>
      <c r="H72" s="251">
        <v>0</v>
      </c>
      <c r="I72" s="251">
        <v>0</v>
      </c>
      <c r="J72" s="251">
        <v>0</v>
      </c>
      <c r="K72" s="251">
        <v>0</v>
      </c>
      <c r="L72" s="251">
        <v>0</v>
      </c>
      <c r="M72" s="251">
        <v>0</v>
      </c>
      <c r="N72" s="251">
        <v>0</v>
      </c>
      <c r="O72" s="251">
        <v>0</v>
      </c>
    </row>
    <row r="73" spans="2:15">
      <c r="B73" s="239" t="s">
        <v>185</v>
      </c>
      <c r="C73" s="239" t="s">
        <v>177</v>
      </c>
      <c r="D73" s="243" t="s">
        <v>313</v>
      </c>
      <c r="E73" s="251">
        <v>0</v>
      </c>
      <c r="F73" s="251">
        <v>0</v>
      </c>
      <c r="G73" s="251">
        <v>0</v>
      </c>
      <c r="H73" s="251">
        <v>0</v>
      </c>
      <c r="I73" s="251">
        <v>0</v>
      </c>
      <c r="J73" s="251">
        <v>6.7326118631627621</v>
      </c>
      <c r="K73" s="251">
        <v>0</v>
      </c>
      <c r="L73" s="251">
        <v>0</v>
      </c>
      <c r="M73" s="251">
        <v>0</v>
      </c>
      <c r="N73" s="251">
        <v>0</v>
      </c>
      <c r="O73" s="251">
        <v>-1.0812982689322015</v>
      </c>
    </row>
    <row r="74" spans="2:15">
      <c r="B74" s="239" t="s">
        <v>185</v>
      </c>
      <c r="C74" s="239" t="s">
        <v>628</v>
      </c>
      <c r="D74" s="243" t="s">
        <v>629</v>
      </c>
      <c r="E74" s="251">
        <v>0.12016388534218599</v>
      </c>
      <c r="F74" s="251">
        <v>0.12016388534218599</v>
      </c>
      <c r="G74" s="251">
        <v>0.12016388534218599</v>
      </c>
      <c r="H74" s="251">
        <v>0.12016388534218599</v>
      </c>
      <c r="I74" s="251">
        <v>0.12016388534218599</v>
      </c>
      <c r="J74" s="251">
        <v>0</v>
      </c>
      <c r="K74" s="251">
        <v>0</v>
      </c>
      <c r="L74" s="251">
        <v>0</v>
      </c>
      <c r="M74" s="251">
        <v>0</v>
      </c>
      <c r="N74" s="251">
        <v>0</v>
      </c>
      <c r="O74" s="251">
        <v>0</v>
      </c>
    </row>
    <row r="75" spans="2:15">
      <c r="B75" s="239" t="s">
        <v>185</v>
      </c>
      <c r="C75" s="239" t="s">
        <v>630</v>
      </c>
      <c r="D75" s="243" t="s">
        <v>629</v>
      </c>
      <c r="E75" s="251">
        <v>0.22983611465781398</v>
      </c>
      <c r="F75" s="251">
        <v>0.22983611465781398</v>
      </c>
      <c r="G75" s="251">
        <v>0.22983611465781398</v>
      </c>
      <c r="H75" s="251">
        <v>0.22983611465781398</v>
      </c>
      <c r="I75" s="251">
        <v>0.22983611465781398</v>
      </c>
      <c r="J75" s="251">
        <v>0</v>
      </c>
      <c r="K75" s="251">
        <v>0</v>
      </c>
      <c r="L75" s="251">
        <v>0</v>
      </c>
      <c r="M75" s="251">
        <v>0</v>
      </c>
      <c r="N75" s="251">
        <v>0</v>
      </c>
      <c r="O75" s="251">
        <v>0</v>
      </c>
    </row>
    <row r="76" spans="2:15">
      <c r="B76" s="239" t="s">
        <v>189</v>
      </c>
      <c r="C76" s="239" t="s">
        <v>4</v>
      </c>
      <c r="D76" s="243" t="s">
        <v>314</v>
      </c>
      <c r="E76" s="251">
        <v>0</v>
      </c>
      <c r="F76" s="251">
        <v>0</v>
      </c>
      <c r="G76" s="251">
        <v>0</v>
      </c>
      <c r="H76" s="251">
        <v>0</v>
      </c>
      <c r="I76" s="251">
        <v>0</v>
      </c>
      <c r="J76" s="251">
        <v>1.0357864404865791</v>
      </c>
      <c r="K76" s="251">
        <v>0</v>
      </c>
      <c r="L76" s="251">
        <v>0</v>
      </c>
      <c r="M76" s="251">
        <v>0</v>
      </c>
      <c r="N76" s="251">
        <v>0</v>
      </c>
      <c r="O76" s="251">
        <v>0</v>
      </c>
    </row>
    <row r="77" spans="2:15">
      <c r="B77" s="239" t="s">
        <v>189</v>
      </c>
      <c r="C77" s="239" t="s">
        <v>4</v>
      </c>
      <c r="D77" s="243" t="s">
        <v>315</v>
      </c>
      <c r="E77" s="251">
        <v>0</v>
      </c>
      <c r="F77" s="251">
        <v>0</v>
      </c>
      <c r="G77" s="251">
        <v>0</v>
      </c>
      <c r="H77" s="251">
        <v>0</v>
      </c>
      <c r="I77" s="251">
        <v>0</v>
      </c>
      <c r="J77" s="251">
        <v>0</v>
      </c>
      <c r="K77" s="251">
        <v>0.25894661012164477</v>
      </c>
      <c r="L77" s="251">
        <v>0</v>
      </c>
      <c r="M77" s="251">
        <v>0</v>
      </c>
      <c r="N77" s="251">
        <v>0</v>
      </c>
      <c r="O77" s="251">
        <v>0</v>
      </c>
    </row>
    <row r="78" spans="2:15">
      <c r="B78" s="239" t="s">
        <v>189</v>
      </c>
      <c r="C78" s="239" t="s">
        <v>4</v>
      </c>
      <c r="D78" s="243" t="s">
        <v>316</v>
      </c>
      <c r="E78" s="251">
        <v>0</v>
      </c>
      <c r="F78" s="251">
        <v>0</v>
      </c>
      <c r="G78" s="251">
        <v>0</v>
      </c>
      <c r="H78" s="251">
        <v>0</v>
      </c>
      <c r="I78" s="251">
        <v>0.46610389821896059</v>
      </c>
      <c r="J78" s="251">
        <v>0</v>
      </c>
      <c r="K78" s="251">
        <v>0</v>
      </c>
      <c r="L78" s="251">
        <v>0</v>
      </c>
      <c r="M78" s="251">
        <v>0</v>
      </c>
      <c r="N78" s="251">
        <v>0</v>
      </c>
      <c r="O78" s="251">
        <v>0</v>
      </c>
    </row>
    <row r="79" spans="2:15">
      <c r="B79" s="239" t="s">
        <v>189</v>
      </c>
      <c r="C79" s="239" t="s">
        <v>4</v>
      </c>
      <c r="D79" s="243" t="s">
        <v>317</v>
      </c>
      <c r="E79" s="251">
        <v>0</v>
      </c>
      <c r="F79" s="251">
        <v>0</v>
      </c>
      <c r="G79" s="251">
        <v>0.25894661012164477</v>
      </c>
      <c r="H79" s="251">
        <v>0</v>
      </c>
      <c r="I79" s="251">
        <v>0</v>
      </c>
      <c r="J79" s="251">
        <v>0</v>
      </c>
      <c r="K79" s="251">
        <v>0</v>
      </c>
      <c r="L79" s="251">
        <v>0</v>
      </c>
      <c r="M79" s="251">
        <v>0</v>
      </c>
      <c r="N79" s="251">
        <v>0</v>
      </c>
      <c r="O79" s="251">
        <v>0</v>
      </c>
    </row>
    <row r="80" spans="2:15">
      <c r="B80" s="239" t="s">
        <v>189</v>
      </c>
      <c r="C80" s="239" t="s">
        <v>4</v>
      </c>
      <c r="D80" s="243" t="s">
        <v>318</v>
      </c>
      <c r="E80" s="251">
        <v>0.35636480016740901</v>
      </c>
      <c r="F80" s="251">
        <v>0</v>
      </c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</row>
    <row r="81" spans="2:15">
      <c r="B81" s="239" t="s">
        <v>189</v>
      </c>
      <c r="C81" s="239" t="s">
        <v>4</v>
      </c>
      <c r="D81" s="243" t="s">
        <v>319</v>
      </c>
      <c r="E81" s="251">
        <v>0</v>
      </c>
      <c r="F81" s="251">
        <v>0</v>
      </c>
      <c r="G81" s="251">
        <v>0</v>
      </c>
      <c r="H81" s="251">
        <v>0</v>
      </c>
      <c r="I81" s="251">
        <v>0</v>
      </c>
      <c r="J81" s="251">
        <v>0</v>
      </c>
      <c r="K81" s="251">
        <v>0</v>
      </c>
      <c r="L81" s="251">
        <v>0</v>
      </c>
      <c r="M81" s="251">
        <v>0.25894661012164477</v>
      </c>
      <c r="N81" s="251">
        <v>0</v>
      </c>
      <c r="O81" s="251">
        <v>0</v>
      </c>
    </row>
    <row r="82" spans="2:15">
      <c r="B82" s="239" t="s">
        <v>189</v>
      </c>
      <c r="C82" s="239" t="s">
        <v>4</v>
      </c>
      <c r="D82" s="243" t="s">
        <v>320</v>
      </c>
      <c r="E82" s="251">
        <v>0</v>
      </c>
      <c r="F82" s="251">
        <v>0</v>
      </c>
      <c r="G82" s="251">
        <v>0</v>
      </c>
      <c r="H82" s="251">
        <v>0</v>
      </c>
      <c r="I82" s="251">
        <v>0</v>
      </c>
      <c r="J82" s="251">
        <v>0</v>
      </c>
      <c r="K82" s="251">
        <v>0.25894661012164477</v>
      </c>
      <c r="L82" s="251">
        <v>0</v>
      </c>
      <c r="M82" s="251">
        <v>0</v>
      </c>
      <c r="N82" s="251">
        <v>0</v>
      </c>
      <c r="O82" s="251">
        <v>0</v>
      </c>
    </row>
    <row r="83" spans="2:15">
      <c r="B83" s="239" t="s">
        <v>189</v>
      </c>
      <c r="C83" s="239" t="s">
        <v>4</v>
      </c>
      <c r="D83" s="243" t="s">
        <v>321</v>
      </c>
      <c r="E83" s="251">
        <v>0</v>
      </c>
      <c r="F83" s="251">
        <v>0</v>
      </c>
      <c r="G83" s="251">
        <v>0</v>
      </c>
      <c r="H83" s="251">
        <v>0</v>
      </c>
      <c r="I83" s="251">
        <v>0</v>
      </c>
      <c r="J83" s="251">
        <v>0</v>
      </c>
      <c r="K83" s="251">
        <v>0</v>
      </c>
      <c r="L83" s="251">
        <v>0</v>
      </c>
      <c r="M83" s="251">
        <v>0.20715728809731579</v>
      </c>
      <c r="N83" s="251">
        <v>0</v>
      </c>
      <c r="O83" s="251">
        <v>0</v>
      </c>
    </row>
    <row r="84" spans="2:15">
      <c r="B84" s="239" t="s">
        <v>189</v>
      </c>
      <c r="C84" s="239" t="s">
        <v>4</v>
      </c>
      <c r="D84" s="243" t="s">
        <v>322</v>
      </c>
      <c r="E84" s="251">
        <v>0</v>
      </c>
      <c r="F84" s="251">
        <v>0</v>
      </c>
      <c r="G84" s="251">
        <v>0</v>
      </c>
      <c r="H84" s="251">
        <v>0</v>
      </c>
      <c r="I84" s="251">
        <v>0.25894661012164477</v>
      </c>
      <c r="J84" s="251">
        <v>0</v>
      </c>
      <c r="K84" s="251">
        <v>0</v>
      </c>
      <c r="L84" s="251">
        <v>0</v>
      </c>
      <c r="M84" s="251">
        <v>0</v>
      </c>
      <c r="N84" s="251">
        <v>0</v>
      </c>
      <c r="O84" s="251">
        <v>0</v>
      </c>
    </row>
    <row r="85" spans="2:15">
      <c r="B85" s="239" t="s">
        <v>189</v>
      </c>
      <c r="C85" s="239" t="s">
        <v>4</v>
      </c>
      <c r="D85" s="243" t="s">
        <v>323</v>
      </c>
      <c r="E85" s="251">
        <v>0.18644155928758419</v>
      </c>
      <c r="F85" s="251">
        <v>0</v>
      </c>
      <c r="G85" s="251">
        <v>0</v>
      </c>
      <c r="H85" s="251">
        <v>0</v>
      </c>
      <c r="I85" s="251">
        <v>0</v>
      </c>
      <c r="J85" s="251">
        <v>0</v>
      </c>
      <c r="K85" s="251">
        <v>0</v>
      </c>
      <c r="L85" s="251">
        <v>0</v>
      </c>
      <c r="M85" s="251">
        <v>0</v>
      </c>
      <c r="N85" s="251">
        <v>0</v>
      </c>
      <c r="O85" s="251">
        <v>0</v>
      </c>
    </row>
    <row r="86" spans="2:15">
      <c r="B86" s="239" t="s">
        <v>189</v>
      </c>
      <c r="C86" s="239" t="s">
        <v>4</v>
      </c>
      <c r="D86" s="243" t="s">
        <v>324</v>
      </c>
      <c r="E86" s="251">
        <v>0</v>
      </c>
      <c r="F86" s="251">
        <v>0.41431457619463158</v>
      </c>
      <c r="G86" s="251">
        <v>1.1393650845352368</v>
      </c>
      <c r="H86" s="251">
        <v>0</v>
      </c>
      <c r="I86" s="251">
        <v>0</v>
      </c>
      <c r="J86" s="251">
        <v>0</v>
      </c>
      <c r="K86" s="251">
        <v>0</v>
      </c>
      <c r="L86" s="251">
        <v>0</v>
      </c>
      <c r="M86" s="251">
        <v>0</v>
      </c>
      <c r="N86" s="251">
        <v>0</v>
      </c>
      <c r="O86" s="251">
        <v>0</v>
      </c>
    </row>
    <row r="87" spans="2:15">
      <c r="B87" s="239" t="s">
        <v>189</v>
      </c>
      <c r="C87" s="239" t="s">
        <v>4</v>
      </c>
      <c r="D87" s="243" t="s">
        <v>325</v>
      </c>
      <c r="E87" s="251">
        <v>0</v>
      </c>
      <c r="F87" s="251">
        <v>0</v>
      </c>
      <c r="G87" s="251">
        <v>0</v>
      </c>
      <c r="H87" s="251">
        <v>0</v>
      </c>
      <c r="I87" s="251">
        <v>0</v>
      </c>
      <c r="J87" s="251">
        <v>0</v>
      </c>
      <c r="K87" s="251">
        <v>1.0357864404865791</v>
      </c>
      <c r="L87" s="251">
        <v>0</v>
      </c>
      <c r="M87" s="251">
        <v>0</v>
      </c>
      <c r="N87" s="251">
        <v>0</v>
      </c>
      <c r="O87" s="251">
        <v>0</v>
      </c>
    </row>
    <row r="88" spans="2:15">
      <c r="B88" s="239" t="s">
        <v>189</v>
      </c>
      <c r="C88" s="239" t="s">
        <v>4</v>
      </c>
      <c r="D88" s="243" t="s">
        <v>326</v>
      </c>
      <c r="E88" s="251">
        <v>0</v>
      </c>
      <c r="F88" s="251">
        <v>0</v>
      </c>
      <c r="G88" s="251">
        <v>0.3564062003331751</v>
      </c>
      <c r="H88" s="251">
        <v>0</v>
      </c>
      <c r="I88" s="251">
        <v>0</v>
      </c>
      <c r="J88" s="251">
        <v>0</v>
      </c>
      <c r="K88" s="251">
        <v>0</v>
      </c>
      <c r="L88" s="251">
        <v>0</v>
      </c>
      <c r="M88" s="251">
        <v>0</v>
      </c>
      <c r="N88" s="251">
        <v>0</v>
      </c>
      <c r="O88" s="251">
        <v>0</v>
      </c>
    </row>
    <row r="89" spans="2:15">
      <c r="B89" s="239" t="s">
        <v>189</v>
      </c>
      <c r="C89" s="239" t="s">
        <v>4</v>
      </c>
      <c r="D89" s="243" t="s">
        <v>327</v>
      </c>
      <c r="E89" s="251">
        <v>0.29002020333624212</v>
      </c>
      <c r="F89" s="251">
        <v>0</v>
      </c>
      <c r="G89" s="251">
        <v>0</v>
      </c>
      <c r="H89" s="251">
        <v>0</v>
      </c>
      <c r="I89" s="251">
        <v>0</v>
      </c>
      <c r="J89" s="251">
        <v>0</v>
      </c>
      <c r="K89" s="251">
        <v>0</v>
      </c>
      <c r="L89" s="251">
        <v>0</v>
      </c>
      <c r="M89" s="251">
        <v>0</v>
      </c>
      <c r="N89" s="251">
        <v>0</v>
      </c>
      <c r="O89" s="251">
        <v>0</v>
      </c>
    </row>
    <row r="90" spans="2:15">
      <c r="B90" s="239" t="s">
        <v>189</v>
      </c>
      <c r="C90" s="239" t="s">
        <v>4</v>
      </c>
      <c r="D90" s="243" t="s">
        <v>328</v>
      </c>
      <c r="E90" s="251">
        <v>0</v>
      </c>
      <c r="F90" s="251">
        <v>0</v>
      </c>
      <c r="G90" s="251">
        <v>0</v>
      </c>
      <c r="H90" s="251">
        <v>0.72505050834060525</v>
      </c>
      <c r="I90" s="251">
        <v>0</v>
      </c>
      <c r="J90" s="251">
        <v>0</v>
      </c>
      <c r="K90" s="251">
        <v>0</v>
      </c>
      <c r="L90" s="251">
        <v>0</v>
      </c>
      <c r="M90" s="251">
        <v>0</v>
      </c>
      <c r="N90" s="251">
        <v>0</v>
      </c>
      <c r="O90" s="251">
        <v>0</v>
      </c>
    </row>
    <row r="91" spans="2:15">
      <c r="B91" s="239" t="s">
        <v>189</v>
      </c>
      <c r="C91" s="239" t="s">
        <v>4</v>
      </c>
      <c r="D91" s="243" t="s">
        <v>329</v>
      </c>
      <c r="E91" s="251">
        <v>0</v>
      </c>
      <c r="F91" s="251">
        <v>0</v>
      </c>
      <c r="G91" s="251">
        <v>0</v>
      </c>
      <c r="H91" s="251">
        <v>0</v>
      </c>
      <c r="I91" s="251">
        <v>0</v>
      </c>
      <c r="J91" s="251">
        <v>0</v>
      </c>
      <c r="K91" s="251">
        <v>0.25894661012164477</v>
      </c>
      <c r="L91" s="251">
        <v>0</v>
      </c>
      <c r="M91" s="251">
        <v>0</v>
      </c>
      <c r="N91" s="251">
        <v>0</v>
      </c>
      <c r="O91" s="251">
        <v>0</v>
      </c>
    </row>
    <row r="92" spans="2:15">
      <c r="B92" s="239" t="s">
        <v>189</v>
      </c>
      <c r="C92" s="239" t="s">
        <v>4</v>
      </c>
      <c r="D92" s="243" t="s">
        <v>330</v>
      </c>
      <c r="E92" s="251">
        <v>0</v>
      </c>
      <c r="F92" s="251">
        <v>0</v>
      </c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0.25894661012164477</v>
      </c>
      <c r="N92" s="251">
        <v>0</v>
      </c>
      <c r="O92" s="251">
        <v>0</v>
      </c>
    </row>
    <row r="93" spans="2:15">
      <c r="B93" s="239" t="s">
        <v>189</v>
      </c>
      <c r="C93" s="239" t="s">
        <v>4</v>
      </c>
      <c r="D93" s="243" t="s">
        <v>331</v>
      </c>
      <c r="E93" s="251">
        <v>0</v>
      </c>
      <c r="F93" s="251">
        <v>0</v>
      </c>
      <c r="G93" s="251">
        <v>0</v>
      </c>
      <c r="H93" s="251">
        <v>0</v>
      </c>
      <c r="I93" s="251">
        <v>0</v>
      </c>
      <c r="J93" s="251">
        <v>0</v>
      </c>
      <c r="K93" s="251">
        <v>0</v>
      </c>
      <c r="L93" s="251">
        <v>0</v>
      </c>
      <c r="M93" s="251">
        <v>0.62147186429194745</v>
      </c>
      <c r="N93" s="251">
        <v>0</v>
      </c>
      <c r="O93" s="251">
        <v>0</v>
      </c>
    </row>
    <row r="94" spans="2:15">
      <c r="B94" s="239" t="s">
        <v>189</v>
      </c>
      <c r="C94" s="239" t="s">
        <v>4</v>
      </c>
      <c r="D94" s="243" t="s">
        <v>332</v>
      </c>
      <c r="E94" s="251">
        <v>0</v>
      </c>
      <c r="F94" s="251">
        <v>0</v>
      </c>
      <c r="G94" s="251">
        <v>0</v>
      </c>
      <c r="H94" s="251">
        <v>0</v>
      </c>
      <c r="I94" s="251">
        <v>0</v>
      </c>
      <c r="J94" s="251">
        <v>0</v>
      </c>
      <c r="K94" s="251">
        <v>0</v>
      </c>
      <c r="L94" s="251">
        <v>0</v>
      </c>
      <c r="M94" s="251">
        <v>0.72505050834060525</v>
      </c>
      <c r="N94" s="251">
        <v>0</v>
      </c>
      <c r="O94" s="251">
        <v>0</v>
      </c>
    </row>
    <row r="95" spans="2:15">
      <c r="B95" s="239" t="s">
        <v>189</v>
      </c>
      <c r="C95" s="239" t="s">
        <v>4</v>
      </c>
      <c r="D95" s="243" t="s">
        <v>333</v>
      </c>
      <c r="E95" s="251">
        <v>0</v>
      </c>
      <c r="F95" s="251">
        <v>0</v>
      </c>
      <c r="G95" s="251">
        <v>0</v>
      </c>
      <c r="H95" s="251">
        <v>0</v>
      </c>
      <c r="I95" s="251">
        <v>0</v>
      </c>
      <c r="J95" s="251">
        <v>0</v>
      </c>
      <c r="K95" s="251">
        <v>0.3564062003331751</v>
      </c>
      <c r="L95" s="251">
        <v>0</v>
      </c>
      <c r="M95" s="251">
        <v>0</v>
      </c>
      <c r="N95" s="251">
        <v>0</v>
      </c>
      <c r="O95" s="251">
        <v>0</v>
      </c>
    </row>
    <row r="96" spans="2:15">
      <c r="B96" s="239" t="s">
        <v>189</v>
      </c>
      <c r="C96" s="239" t="s">
        <v>4</v>
      </c>
      <c r="D96" s="243" t="s">
        <v>334</v>
      </c>
      <c r="E96" s="251">
        <v>0</v>
      </c>
      <c r="F96" s="251">
        <v>0</v>
      </c>
      <c r="G96" s="251">
        <v>0</v>
      </c>
      <c r="H96" s="251">
        <v>0</v>
      </c>
      <c r="I96" s="251">
        <v>0</v>
      </c>
      <c r="J96" s="251">
        <v>0</v>
      </c>
      <c r="K96" s="251">
        <v>0</v>
      </c>
      <c r="L96" s="251">
        <v>0</v>
      </c>
      <c r="M96" s="251">
        <v>0.3564062003331751</v>
      </c>
      <c r="N96" s="251">
        <v>0</v>
      </c>
      <c r="O96" s="251">
        <v>0</v>
      </c>
    </row>
    <row r="97" spans="2:15">
      <c r="B97" s="239" t="s">
        <v>189</v>
      </c>
      <c r="C97" s="239" t="s">
        <v>4</v>
      </c>
      <c r="D97" s="243" t="s">
        <v>335</v>
      </c>
      <c r="E97" s="251">
        <v>0</v>
      </c>
      <c r="F97" s="251">
        <v>0</v>
      </c>
      <c r="G97" s="251">
        <v>0</v>
      </c>
      <c r="H97" s="251">
        <v>1.0357864404865791</v>
      </c>
      <c r="I97" s="251">
        <v>0</v>
      </c>
      <c r="J97" s="251">
        <v>0</v>
      </c>
      <c r="K97" s="251">
        <v>0</v>
      </c>
      <c r="L97" s="251">
        <v>0</v>
      </c>
      <c r="M97" s="251">
        <v>0</v>
      </c>
      <c r="N97" s="251">
        <v>0</v>
      </c>
      <c r="O97" s="251">
        <v>0</v>
      </c>
    </row>
    <row r="98" spans="2:15">
      <c r="B98" s="239" t="s">
        <v>189</v>
      </c>
      <c r="C98" s="239" t="s">
        <v>4</v>
      </c>
      <c r="D98" s="243" t="s">
        <v>336</v>
      </c>
      <c r="E98" s="251">
        <v>0</v>
      </c>
      <c r="F98" s="251">
        <v>0</v>
      </c>
      <c r="G98" s="251">
        <v>0</v>
      </c>
      <c r="H98" s="251">
        <v>0</v>
      </c>
      <c r="I98" s="251">
        <v>0</v>
      </c>
      <c r="J98" s="251">
        <v>0.25894661012164477</v>
      </c>
      <c r="K98" s="251">
        <v>0</v>
      </c>
      <c r="L98" s="251">
        <v>0</v>
      </c>
      <c r="M98" s="251">
        <v>0</v>
      </c>
      <c r="N98" s="251">
        <v>0</v>
      </c>
      <c r="O98" s="251">
        <v>0</v>
      </c>
    </row>
    <row r="99" spans="2:15">
      <c r="B99" s="239" t="s">
        <v>189</v>
      </c>
      <c r="C99" s="239" t="s">
        <v>4</v>
      </c>
      <c r="D99" s="243" t="s">
        <v>337</v>
      </c>
      <c r="E99" s="251">
        <v>0</v>
      </c>
      <c r="F99" s="251">
        <v>0</v>
      </c>
      <c r="G99" s="251">
        <v>0</v>
      </c>
      <c r="H99" s="251">
        <v>0</v>
      </c>
      <c r="I99" s="251">
        <v>9.3220779643792093E-2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>
        <v>0</v>
      </c>
    </row>
    <row r="100" spans="2:15">
      <c r="B100" s="239" t="s">
        <v>189</v>
      </c>
      <c r="C100" s="239" t="s">
        <v>4</v>
      </c>
      <c r="D100" s="243" t="s">
        <v>338</v>
      </c>
      <c r="E100" s="251">
        <v>0</v>
      </c>
      <c r="F100" s="251">
        <v>0</v>
      </c>
      <c r="G100" s="251">
        <v>0</v>
      </c>
      <c r="H100" s="251">
        <v>0</v>
      </c>
      <c r="I100" s="251">
        <v>0.41431457619463158</v>
      </c>
      <c r="J100" s="251">
        <v>0</v>
      </c>
      <c r="K100" s="251">
        <v>0</v>
      </c>
      <c r="L100" s="251">
        <v>0</v>
      </c>
      <c r="M100" s="251">
        <v>0</v>
      </c>
      <c r="N100" s="251">
        <v>0</v>
      </c>
      <c r="O100" s="251">
        <v>0</v>
      </c>
    </row>
    <row r="101" spans="2:15">
      <c r="B101" s="239" t="s">
        <v>189</v>
      </c>
      <c r="C101" s="239" t="s">
        <v>4</v>
      </c>
      <c r="D101" s="243" t="s">
        <v>339</v>
      </c>
      <c r="E101" s="251">
        <v>0</v>
      </c>
      <c r="F101" s="251">
        <v>8.2862915238926318E-2</v>
      </c>
      <c r="G101" s="251">
        <v>0</v>
      </c>
      <c r="H101" s="251">
        <v>0</v>
      </c>
      <c r="I101" s="251">
        <v>0</v>
      </c>
      <c r="J101" s="251">
        <v>0</v>
      </c>
      <c r="K101" s="251">
        <v>0</v>
      </c>
      <c r="L101" s="251">
        <v>0</v>
      </c>
      <c r="M101" s="251">
        <v>0</v>
      </c>
      <c r="N101" s="251">
        <v>0</v>
      </c>
      <c r="O101" s="251">
        <v>0</v>
      </c>
    </row>
    <row r="102" spans="2:15">
      <c r="B102" s="239" t="s">
        <v>189</v>
      </c>
      <c r="C102" s="239" t="s">
        <v>4</v>
      </c>
      <c r="D102" s="243" t="s">
        <v>340</v>
      </c>
      <c r="E102" s="251">
        <v>0</v>
      </c>
      <c r="F102" s="251">
        <v>0</v>
      </c>
      <c r="G102" s="251">
        <v>1.4196652954272619</v>
      </c>
      <c r="H102" s="251">
        <v>0</v>
      </c>
      <c r="I102" s="251">
        <v>0</v>
      </c>
      <c r="J102" s="251">
        <v>0</v>
      </c>
      <c r="K102" s="251">
        <v>0</v>
      </c>
      <c r="L102" s="251">
        <v>0</v>
      </c>
      <c r="M102" s="251">
        <v>0</v>
      </c>
      <c r="N102" s="251">
        <v>0</v>
      </c>
      <c r="O102" s="251">
        <v>0</v>
      </c>
    </row>
    <row r="103" spans="2:15">
      <c r="B103" s="239" t="s">
        <v>189</v>
      </c>
      <c r="C103" s="239" t="s">
        <v>4</v>
      </c>
      <c r="D103" s="243" t="s">
        <v>341</v>
      </c>
      <c r="E103" s="251">
        <v>0</v>
      </c>
      <c r="F103" s="251">
        <v>0</v>
      </c>
      <c r="G103" s="251">
        <v>0</v>
      </c>
      <c r="H103" s="251">
        <v>0</v>
      </c>
      <c r="I103" s="251">
        <v>1.6562761779984723</v>
      </c>
      <c r="J103" s="251">
        <v>0</v>
      </c>
      <c r="K103" s="251">
        <v>0</v>
      </c>
      <c r="L103" s="251">
        <v>0</v>
      </c>
      <c r="M103" s="251">
        <v>0</v>
      </c>
      <c r="N103" s="251">
        <v>0</v>
      </c>
      <c r="O103" s="251">
        <v>0</v>
      </c>
    </row>
    <row r="104" spans="2:15">
      <c r="B104" s="239" t="s">
        <v>189</v>
      </c>
      <c r="C104" s="239" t="s">
        <v>4</v>
      </c>
      <c r="D104" s="243" t="s">
        <v>342</v>
      </c>
      <c r="E104" s="251">
        <v>0</v>
      </c>
      <c r="F104" s="251">
        <v>0</v>
      </c>
      <c r="G104" s="251">
        <v>0</v>
      </c>
      <c r="H104" s="251">
        <v>0</v>
      </c>
      <c r="I104" s="251">
        <v>0</v>
      </c>
      <c r="J104" s="251">
        <v>2.0715728809731582</v>
      </c>
      <c r="K104" s="251">
        <v>0</v>
      </c>
      <c r="L104" s="251">
        <v>0</v>
      </c>
      <c r="M104" s="251">
        <v>0</v>
      </c>
      <c r="N104" s="251">
        <v>0</v>
      </c>
      <c r="O104" s="251">
        <v>0</v>
      </c>
    </row>
    <row r="105" spans="2:15">
      <c r="B105" s="239" t="s">
        <v>189</v>
      </c>
      <c r="C105" s="239" t="s">
        <v>4</v>
      </c>
      <c r="D105" s="243" t="s">
        <v>343</v>
      </c>
      <c r="E105" s="251">
        <v>0</v>
      </c>
      <c r="F105" s="251">
        <v>0.36252525417030262</v>
      </c>
      <c r="G105" s="251">
        <v>0</v>
      </c>
      <c r="H105" s="251">
        <v>0</v>
      </c>
      <c r="I105" s="251">
        <v>0</v>
      </c>
      <c r="J105" s="251">
        <v>0</v>
      </c>
      <c r="K105" s="251">
        <v>0</v>
      </c>
      <c r="L105" s="251">
        <v>0</v>
      </c>
      <c r="M105" s="251">
        <v>0</v>
      </c>
      <c r="N105" s="251">
        <v>0</v>
      </c>
      <c r="O105" s="251">
        <v>0</v>
      </c>
    </row>
    <row r="106" spans="2:15">
      <c r="B106" s="239" t="s">
        <v>189</v>
      </c>
      <c r="C106" s="239" t="s">
        <v>4</v>
      </c>
      <c r="D106" s="243" t="s">
        <v>344</v>
      </c>
      <c r="E106" s="251">
        <v>0</v>
      </c>
      <c r="F106" s="251">
        <v>0</v>
      </c>
      <c r="G106" s="251">
        <v>0</v>
      </c>
      <c r="H106" s="251">
        <v>0.82862915238926327</v>
      </c>
      <c r="I106" s="251">
        <v>0</v>
      </c>
      <c r="J106" s="251">
        <v>0.51789322024328954</v>
      </c>
      <c r="K106" s="251">
        <v>0</v>
      </c>
      <c r="L106" s="251">
        <v>0</v>
      </c>
      <c r="M106" s="251">
        <v>0</v>
      </c>
      <c r="N106" s="251">
        <v>0</v>
      </c>
      <c r="O106" s="251">
        <v>0</v>
      </c>
    </row>
    <row r="107" spans="2:15">
      <c r="B107" s="239" t="s">
        <v>189</v>
      </c>
      <c r="C107" s="239" t="s">
        <v>4</v>
      </c>
      <c r="D107" s="243" t="s">
        <v>345</v>
      </c>
      <c r="E107" s="251">
        <v>0</v>
      </c>
      <c r="F107" s="251">
        <v>0</v>
      </c>
      <c r="G107" s="251">
        <v>0</v>
      </c>
      <c r="H107" s="251">
        <v>0</v>
      </c>
      <c r="I107" s="251">
        <v>0</v>
      </c>
      <c r="J107" s="251">
        <v>0</v>
      </c>
      <c r="K107" s="251">
        <v>0</v>
      </c>
      <c r="L107" s="251">
        <v>0</v>
      </c>
      <c r="M107" s="251">
        <v>0</v>
      </c>
      <c r="N107" s="251">
        <v>1.4501010166812105</v>
      </c>
      <c r="O107" s="251">
        <v>0</v>
      </c>
    </row>
    <row r="108" spans="2:15">
      <c r="B108" s="239" t="s">
        <v>189</v>
      </c>
      <c r="C108" s="239" t="s">
        <v>4</v>
      </c>
      <c r="D108" s="243" t="s">
        <v>346</v>
      </c>
      <c r="E108" s="251">
        <v>0</v>
      </c>
      <c r="F108" s="251">
        <v>0</v>
      </c>
      <c r="G108" s="251">
        <v>0</v>
      </c>
      <c r="H108" s="251">
        <v>0</v>
      </c>
      <c r="I108" s="251">
        <v>0</v>
      </c>
      <c r="J108" s="251">
        <v>0</v>
      </c>
      <c r="K108" s="251">
        <v>0</v>
      </c>
      <c r="L108" s="251">
        <v>0</v>
      </c>
      <c r="M108" s="251">
        <v>0.51789322024328954</v>
      </c>
      <c r="N108" s="251">
        <v>0</v>
      </c>
      <c r="O108" s="251">
        <v>0</v>
      </c>
    </row>
    <row r="109" spans="2:15">
      <c r="B109" s="239" t="s">
        <v>189</v>
      </c>
      <c r="C109" s="239" t="s">
        <v>4</v>
      </c>
      <c r="D109" s="243" t="s">
        <v>347</v>
      </c>
      <c r="E109" s="251">
        <v>0</v>
      </c>
      <c r="F109" s="251">
        <v>0</v>
      </c>
      <c r="G109" s="251">
        <v>0</v>
      </c>
      <c r="H109" s="251">
        <v>0</v>
      </c>
      <c r="I109" s="251">
        <v>0</v>
      </c>
      <c r="J109" s="251">
        <v>0</v>
      </c>
      <c r="K109" s="251">
        <v>0</v>
      </c>
      <c r="L109" s="251">
        <v>0</v>
      </c>
      <c r="M109" s="251">
        <v>0.51789322024328954</v>
      </c>
      <c r="N109" s="251">
        <v>0</v>
      </c>
      <c r="O109" s="251">
        <v>0</v>
      </c>
    </row>
    <row r="110" spans="2:15">
      <c r="B110" s="239" t="s">
        <v>189</v>
      </c>
      <c r="C110" s="239" t="s">
        <v>4</v>
      </c>
      <c r="D110" s="243" t="s">
        <v>348</v>
      </c>
      <c r="E110" s="251">
        <v>0.22787301690704737</v>
      </c>
      <c r="F110" s="251">
        <v>0</v>
      </c>
      <c r="G110" s="251">
        <v>0</v>
      </c>
      <c r="H110" s="251">
        <v>0</v>
      </c>
      <c r="I110" s="251">
        <v>0</v>
      </c>
      <c r="J110" s="251">
        <v>0</v>
      </c>
      <c r="K110" s="251">
        <v>0</v>
      </c>
      <c r="L110" s="251">
        <v>0</v>
      </c>
      <c r="M110" s="251">
        <v>0</v>
      </c>
      <c r="N110" s="251">
        <v>0</v>
      </c>
      <c r="O110" s="251">
        <v>0</v>
      </c>
    </row>
    <row r="111" spans="2:15">
      <c r="B111" s="239" t="s">
        <v>189</v>
      </c>
      <c r="C111" s="239" t="s">
        <v>4</v>
      </c>
      <c r="D111" s="243" t="s">
        <v>349</v>
      </c>
      <c r="E111" s="251">
        <v>0</v>
      </c>
      <c r="F111" s="251">
        <v>0.51789322024328954</v>
      </c>
      <c r="G111" s="251">
        <v>0</v>
      </c>
      <c r="H111" s="251">
        <v>0</v>
      </c>
      <c r="I111" s="251">
        <v>0</v>
      </c>
      <c r="J111" s="251">
        <v>0</v>
      </c>
      <c r="K111" s="251">
        <v>0</v>
      </c>
      <c r="L111" s="251">
        <v>0</v>
      </c>
      <c r="M111" s="251">
        <v>0</v>
      </c>
      <c r="N111" s="251">
        <v>0</v>
      </c>
      <c r="O111" s="251">
        <v>0</v>
      </c>
    </row>
    <row r="112" spans="2:15">
      <c r="B112" s="239" t="s">
        <v>189</v>
      </c>
      <c r="C112" s="239" t="s">
        <v>4</v>
      </c>
      <c r="D112" s="243" t="s">
        <v>350</v>
      </c>
      <c r="E112" s="251">
        <v>0</v>
      </c>
      <c r="F112" s="251">
        <v>0</v>
      </c>
      <c r="G112" s="251">
        <v>0</v>
      </c>
      <c r="H112" s="251">
        <v>0</v>
      </c>
      <c r="I112" s="251">
        <v>0</v>
      </c>
      <c r="J112" s="251">
        <v>0</v>
      </c>
      <c r="K112" s="251">
        <v>0</v>
      </c>
      <c r="L112" s="251">
        <v>0</v>
      </c>
      <c r="M112" s="251">
        <v>0.41431457619463158</v>
      </c>
      <c r="N112" s="251">
        <v>0</v>
      </c>
      <c r="O112" s="251">
        <v>0</v>
      </c>
    </row>
    <row r="113" spans="2:15">
      <c r="B113" s="239" t="s">
        <v>189</v>
      </c>
      <c r="C113" s="239" t="s">
        <v>4</v>
      </c>
      <c r="D113" s="243" t="s">
        <v>351</v>
      </c>
      <c r="E113" s="251">
        <v>0</v>
      </c>
      <c r="F113" s="251">
        <v>0</v>
      </c>
      <c r="G113" s="251">
        <v>0</v>
      </c>
      <c r="H113" s="251">
        <v>0.34180952536057108</v>
      </c>
      <c r="I113" s="251">
        <v>0</v>
      </c>
      <c r="J113" s="251">
        <v>0</v>
      </c>
      <c r="K113" s="251">
        <v>0</v>
      </c>
      <c r="L113" s="251">
        <v>0</v>
      </c>
      <c r="M113" s="251">
        <v>0</v>
      </c>
      <c r="N113" s="251">
        <v>0</v>
      </c>
      <c r="O113" s="251">
        <v>0</v>
      </c>
    </row>
    <row r="114" spans="2:15">
      <c r="B114" s="239" t="s">
        <v>189</v>
      </c>
      <c r="C114" s="239" t="s">
        <v>4</v>
      </c>
      <c r="D114" s="243" t="s">
        <v>352</v>
      </c>
      <c r="E114" s="251">
        <v>0</v>
      </c>
      <c r="F114" s="251">
        <v>0</v>
      </c>
      <c r="G114" s="251">
        <v>8.2862915238926318E-2</v>
      </c>
      <c r="H114" s="251">
        <v>0</v>
      </c>
      <c r="I114" s="251">
        <v>0</v>
      </c>
      <c r="J114" s="251">
        <v>0</v>
      </c>
      <c r="K114" s="251">
        <v>0</v>
      </c>
      <c r="L114" s="251">
        <v>0</v>
      </c>
      <c r="M114" s="251">
        <v>0</v>
      </c>
      <c r="N114" s="251">
        <v>0</v>
      </c>
      <c r="O114" s="251">
        <v>0</v>
      </c>
    </row>
    <row r="115" spans="2:15">
      <c r="B115" s="239" t="s">
        <v>189</v>
      </c>
      <c r="C115" s="239" t="s">
        <v>4</v>
      </c>
      <c r="D115" s="243" t="s">
        <v>353</v>
      </c>
      <c r="E115" s="251">
        <v>0</v>
      </c>
      <c r="F115" s="251">
        <v>0</v>
      </c>
      <c r="G115" s="251">
        <v>0</v>
      </c>
      <c r="H115" s="251">
        <v>0.20715728809731579</v>
      </c>
      <c r="I115" s="251">
        <v>0</v>
      </c>
      <c r="J115" s="251">
        <v>0</v>
      </c>
      <c r="K115" s="251">
        <v>0</v>
      </c>
      <c r="L115" s="251">
        <v>0</v>
      </c>
      <c r="M115" s="251">
        <v>0</v>
      </c>
      <c r="N115" s="251">
        <v>0</v>
      </c>
      <c r="O115" s="251">
        <v>0</v>
      </c>
    </row>
    <row r="116" spans="2:15">
      <c r="B116" s="239" t="s">
        <v>189</v>
      </c>
      <c r="C116" s="239" t="s">
        <v>4</v>
      </c>
      <c r="D116" s="243" t="s">
        <v>354</v>
      </c>
      <c r="E116" s="251">
        <v>0</v>
      </c>
      <c r="F116" s="251">
        <v>0</v>
      </c>
      <c r="G116" s="251">
        <v>0</v>
      </c>
      <c r="H116" s="251">
        <v>0</v>
      </c>
      <c r="I116" s="251">
        <v>0</v>
      </c>
      <c r="J116" s="251">
        <v>0.67326118631627641</v>
      </c>
      <c r="K116" s="251">
        <v>0</v>
      </c>
      <c r="L116" s="251">
        <v>0</v>
      </c>
      <c r="M116" s="251">
        <v>0</v>
      </c>
      <c r="N116" s="251">
        <v>0</v>
      </c>
      <c r="O116" s="251">
        <v>0</v>
      </c>
    </row>
    <row r="117" spans="2:15">
      <c r="B117" s="239" t="s">
        <v>189</v>
      </c>
      <c r="C117" s="239" t="s">
        <v>264</v>
      </c>
      <c r="D117" s="243" t="s">
        <v>355</v>
      </c>
      <c r="E117" s="251">
        <v>0</v>
      </c>
      <c r="F117" s="251">
        <v>0</v>
      </c>
      <c r="G117" s="251">
        <v>0</v>
      </c>
      <c r="H117" s="251">
        <v>0</v>
      </c>
      <c r="I117" s="251">
        <v>1.0357864404865791</v>
      </c>
      <c r="J117" s="251">
        <v>0</v>
      </c>
      <c r="K117" s="251">
        <v>0</v>
      </c>
      <c r="L117" s="251">
        <v>0</v>
      </c>
      <c r="M117" s="251">
        <v>0</v>
      </c>
      <c r="N117" s="251">
        <v>0</v>
      </c>
      <c r="O117" s="251">
        <v>0</v>
      </c>
    </row>
    <row r="118" spans="2:15">
      <c r="B118" s="239" t="s">
        <v>189</v>
      </c>
      <c r="C118" s="239" t="s">
        <v>264</v>
      </c>
      <c r="D118" s="243" t="s">
        <v>356</v>
      </c>
      <c r="E118" s="251">
        <v>0</v>
      </c>
      <c r="F118" s="251">
        <v>0</v>
      </c>
      <c r="G118" s="251">
        <v>0</v>
      </c>
      <c r="H118" s="251">
        <v>0</v>
      </c>
      <c r="I118" s="251">
        <v>0</v>
      </c>
      <c r="J118" s="251">
        <v>0</v>
      </c>
      <c r="K118" s="251">
        <v>0</v>
      </c>
      <c r="L118" s="251">
        <v>0</v>
      </c>
      <c r="M118" s="251">
        <v>3.1073593214597368</v>
      </c>
      <c r="N118" s="251">
        <v>0</v>
      </c>
      <c r="O118" s="251">
        <v>-6.2147186429194687E-2</v>
      </c>
    </row>
    <row r="119" spans="2:15">
      <c r="B119" s="239" t="s">
        <v>189</v>
      </c>
      <c r="C119" s="239" t="s">
        <v>264</v>
      </c>
      <c r="D119" s="243" t="s">
        <v>357</v>
      </c>
      <c r="E119" s="251">
        <v>0</v>
      </c>
      <c r="F119" s="251">
        <v>0.31073593214597373</v>
      </c>
      <c r="G119" s="251">
        <v>2.7966233893137633</v>
      </c>
      <c r="H119" s="251">
        <v>0</v>
      </c>
      <c r="I119" s="251">
        <v>0</v>
      </c>
      <c r="J119" s="251">
        <v>0</v>
      </c>
      <c r="K119" s="251">
        <v>0</v>
      </c>
      <c r="L119" s="251">
        <v>0</v>
      </c>
      <c r="M119" s="251">
        <v>0</v>
      </c>
      <c r="N119" s="251">
        <v>0</v>
      </c>
      <c r="O119" s="251">
        <v>0</v>
      </c>
    </row>
    <row r="120" spans="2:15">
      <c r="B120" s="239" t="s">
        <v>189</v>
      </c>
      <c r="C120" s="239" t="s">
        <v>177</v>
      </c>
      <c r="D120" s="243" t="s">
        <v>358</v>
      </c>
      <c r="E120" s="251">
        <v>0</v>
      </c>
      <c r="F120" s="251">
        <v>0.15536796607298686</v>
      </c>
      <c r="G120" s="251">
        <v>0</v>
      </c>
      <c r="H120" s="251">
        <v>0</v>
      </c>
      <c r="I120" s="251">
        <v>0</v>
      </c>
      <c r="J120" s="251">
        <v>0</v>
      </c>
      <c r="K120" s="251">
        <v>0</v>
      </c>
      <c r="L120" s="251">
        <v>0</v>
      </c>
      <c r="M120" s="251">
        <v>0</v>
      </c>
      <c r="N120" s="251">
        <v>0</v>
      </c>
      <c r="O120" s="251">
        <v>0</v>
      </c>
    </row>
    <row r="121" spans="2:15">
      <c r="B121" s="239" t="s">
        <v>189</v>
      </c>
      <c r="C121" s="239" t="s">
        <v>177</v>
      </c>
      <c r="D121" s="243" t="s">
        <v>359</v>
      </c>
      <c r="E121" s="251">
        <v>0</v>
      </c>
      <c r="F121" s="251">
        <v>0</v>
      </c>
      <c r="G121" s="251">
        <v>0</v>
      </c>
      <c r="H121" s="251">
        <v>0</v>
      </c>
      <c r="I121" s="251">
        <v>0.15536796607298686</v>
      </c>
      <c r="J121" s="251">
        <v>0</v>
      </c>
      <c r="K121" s="251">
        <v>0</v>
      </c>
      <c r="L121" s="251">
        <v>0</v>
      </c>
      <c r="M121" s="251">
        <v>0</v>
      </c>
      <c r="N121" s="251">
        <v>0</v>
      </c>
      <c r="O121" s="251">
        <v>0</v>
      </c>
    </row>
    <row r="122" spans="2:15">
      <c r="B122" s="239" t="s">
        <v>189</v>
      </c>
      <c r="C122" s="239" t="s">
        <v>177</v>
      </c>
      <c r="D122" s="243" t="s">
        <v>360</v>
      </c>
      <c r="E122" s="251">
        <v>0</v>
      </c>
      <c r="F122" s="251">
        <v>0</v>
      </c>
      <c r="G122" s="251">
        <v>0</v>
      </c>
      <c r="H122" s="251">
        <v>0</v>
      </c>
      <c r="I122" s="251">
        <v>0</v>
      </c>
      <c r="J122" s="251">
        <v>0</v>
      </c>
      <c r="K122" s="251">
        <v>0</v>
      </c>
      <c r="L122" s="251">
        <v>0</v>
      </c>
      <c r="M122" s="251">
        <v>0</v>
      </c>
      <c r="N122" s="251">
        <v>4.1431457619463163</v>
      </c>
      <c r="O122" s="251">
        <v>-2.3101176369640064</v>
      </c>
    </row>
    <row r="123" spans="2:15">
      <c r="B123" s="239" t="s">
        <v>189</v>
      </c>
      <c r="C123" s="239" t="s">
        <v>177</v>
      </c>
      <c r="D123" s="243" t="s">
        <v>361</v>
      </c>
      <c r="E123" s="251">
        <v>0</v>
      </c>
      <c r="F123" s="251">
        <v>0</v>
      </c>
      <c r="G123" s="251">
        <v>0</v>
      </c>
      <c r="H123" s="251">
        <v>0</v>
      </c>
      <c r="I123" s="251">
        <v>0</v>
      </c>
      <c r="J123" s="251">
        <v>0</v>
      </c>
      <c r="K123" s="251">
        <v>0.47122591907850953</v>
      </c>
      <c r="L123" s="251">
        <v>4.2933917071597536</v>
      </c>
      <c r="M123" s="251">
        <v>0</v>
      </c>
      <c r="N123" s="251">
        <v>0</v>
      </c>
      <c r="O123" s="251">
        <v>-1.4149470526404535</v>
      </c>
    </row>
    <row r="124" spans="2:15">
      <c r="B124" s="239" t="s">
        <v>189</v>
      </c>
      <c r="C124" s="239" t="s">
        <v>177</v>
      </c>
      <c r="D124" s="243" t="s">
        <v>362</v>
      </c>
      <c r="E124" s="251">
        <v>0</v>
      </c>
      <c r="F124" s="251">
        <v>0</v>
      </c>
      <c r="G124" s="251">
        <v>0</v>
      </c>
      <c r="H124" s="251">
        <v>0</v>
      </c>
      <c r="I124" s="251">
        <v>0</v>
      </c>
      <c r="J124" s="251">
        <v>5.5932467786275266</v>
      </c>
      <c r="K124" s="251">
        <v>0</v>
      </c>
      <c r="L124" s="251">
        <v>0</v>
      </c>
      <c r="M124" s="251">
        <v>0</v>
      </c>
      <c r="N124" s="251">
        <v>0</v>
      </c>
      <c r="O124" s="251">
        <v>-3.3220496018515009</v>
      </c>
    </row>
    <row r="125" spans="2:15">
      <c r="B125" s="239" t="s">
        <v>189</v>
      </c>
      <c r="C125" s="239" t="s">
        <v>177</v>
      </c>
      <c r="D125" s="243" t="s">
        <v>363</v>
      </c>
      <c r="E125" s="251">
        <v>0</v>
      </c>
      <c r="F125" s="251">
        <v>0</v>
      </c>
      <c r="G125" s="251">
        <v>0</v>
      </c>
      <c r="H125" s="251">
        <v>0.41431457619463158</v>
      </c>
      <c r="I125" s="251">
        <v>0</v>
      </c>
      <c r="J125" s="251">
        <v>0</v>
      </c>
      <c r="K125" s="251">
        <v>0</v>
      </c>
      <c r="L125" s="251">
        <v>0</v>
      </c>
      <c r="M125" s="251">
        <v>0</v>
      </c>
      <c r="N125" s="251">
        <v>0</v>
      </c>
      <c r="O125" s="251">
        <v>0</v>
      </c>
    </row>
    <row r="126" spans="2:15">
      <c r="B126" s="239" t="s">
        <v>189</v>
      </c>
      <c r="C126" s="239" t="s">
        <v>177</v>
      </c>
      <c r="D126" s="243" t="s">
        <v>364</v>
      </c>
      <c r="E126" s="251">
        <v>0</v>
      </c>
      <c r="F126" s="251">
        <v>0</v>
      </c>
      <c r="G126" s="251">
        <v>0</v>
      </c>
      <c r="H126" s="251">
        <v>0</v>
      </c>
      <c r="I126" s="251">
        <v>0.31073593214597373</v>
      </c>
      <c r="J126" s="251">
        <v>0</v>
      </c>
      <c r="K126" s="251">
        <v>0</v>
      </c>
      <c r="L126" s="251">
        <v>0</v>
      </c>
      <c r="M126" s="251">
        <v>0</v>
      </c>
      <c r="N126" s="251">
        <v>0</v>
      </c>
      <c r="O126" s="251">
        <v>0</v>
      </c>
    </row>
    <row r="127" spans="2:15">
      <c r="B127" s="239" t="s">
        <v>189</v>
      </c>
      <c r="C127" s="239" t="s">
        <v>628</v>
      </c>
      <c r="D127" s="243" t="s">
        <v>629</v>
      </c>
      <c r="E127" s="251">
        <v>0.12016388534218599</v>
      </c>
      <c r="F127" s="251">
        <v>0.12016388534218599</v>
      </c>
      <c r="G127" s="251">
        <v>0.12016388534218599</v>
      </c>
      <c r="H127" s="251">
        <v>0.12016388534218599</v>
      </c>
      <c r="I127" s="251">
        <v>0.12016388534218599</v>
      </c>
      <c r="J127" s="251">
        <v>0</v>
      </c>
      <c r="K127" s="251">
        <v>0</v>
      </c>
      <c r="L127" s="251">
        <v>0</v>
      </c>
      <c r="M127" s="251">
        <v>0</v>
      </c>
      <c r="N127" s="251">
        <v>0</v>
      </c>
      <c r="O127" s="251">
        <v>0</v>
      </c>
    </row>
    <row r="128" spans="2:15">
      <c r="B128" s="239" t="s">
        <v>189</v>
      </c>
      <c r="C128" s="239" t="s">
        <v>630</v>
      </c>
      <c r="D128" s="243" t="s">
        <v>629</v>
      </c>
      <c r="E128" s="251">
        <v>0.22983611465781398</v>
      </c>
      <c r="F128" s="251">
        <v>0.22983611465781398</v>
      </c>
      <c r="G128" s="251">
        <v>0.22983611465781398</v>
      </c>
      <c r="H128" s="251">
        <v>0.22983611465781398</v>
      </c>
      <c r="I128" s="251">
        <v>0.22983611465781398</v>
      </c>
      <c r="J128" s="251">
        <v>0</v>
      </c>
      <c r="K128" s="251">
        <v>0</v>
      </c>
      <c r="L128" s="251">
        <v>0</v>
      </c>
      <c r="M128" s="251">
        <v>0</v>
      </c>
      <c r="N128" s="251">
        <v>0</v>
      </c>
      <c r="O128" s="251">
        <v>0</v>
      </c>
    </row>
    <row r="129" spans="2:15">
      <c r="B129" s="239" t="s">
        <v>195</v>
      </c>
      <c r="C129" s="239" t="s">
        <v>4</v>
      </c>
      <c r="D129" s="243" t="s">
        <v>365</v>
      </c>
      <c r="E129" s="251">
        <v>0</v>
      </c>
      <c r="F129" s="251">
        <v>0</v>
      </c>
      <c r="G129" s="251">
        <v>0</v>
      </c>
      <c r="H129" s="251">
        <v>0</v>
      </c>
      <c r="I129" s="251">
        <v>0</v>
      </c>
      <c r="J129" s="251">
        <v>0</v>
      </c>
      <c r="K129" s="251">
        <v>0.39774199314684633</v>
      </c>
      <c r="L129" s="251">
        <v>0</v>
      </c>
      <c r="M129" s="251">
        <v>0</v>
      </c>
      <c r="N129" s="251">
        <v>0</v>
      </c>
      <c r="O129" s="251">
        <v>0</v>
      </c>
    </row>
    <row r="130" spans="2:15">
      <c r="B130" s="239" t="s">
        <v>195</v>
      </c>
      <c r="C130" s="239" t="s">
        <v>4</v>
      </c>
      <c r="D130" s="243" t="s">
        <v>366</v>
      </c>
      <c r="E130" s="251">
        <v>0.12429437285838947</v>
      </c>
      <c r="F130" s="251">
        <v>0</v>
      </c>
      <c r="G130" s="251">
        <v>0</v>
      </c>
      <c r="H130" s="251">
        <v>0</v>
      </c>
      <c r="I130" s="251">
        <v>0</v>
      </c>
      <c r="J130" s="251">
        <v>0</v>
      </c>
      <c r="K130" s="251">
        <v>0</v>
      </c>
      <c r="L130" s="251">
        <v>0</v>
      </c>
      <c r="M130" s="251">
        <v>0</v>
      </c>
      <c r="N130" s="251">
        <v>0</v>
      </c>
      <c r="O130" s="251">
        <v>0</v>
      </c>
    </row>
    <row r="131" spans="2:15">
      <c r="B131" s="239" t="s">
        <v>195</v>
      </c>
      <c r="C131" s="239" t="s">
        <v>4</v>
      </c>
      <c r="D131" s="243" t="s">
        <v>367</v>
      </c>
      <c r="E131" s="251">
        <v>0</v>
      </c>
      <c r="F131" s="251">
        <v>0</v>
      </c>
      <c r="G131" s="251">
        <v>0</v>
      </c>
      <c r="H131" s="251">
        <v>0</v>
      </c>
      <c r="I131" s="251">
        <v>0</v>
      </c>
      <c r="J131" s="251">
        <v>0</v>
      </c>
      <c r="K131" s="251">
        <v>0.64633073886362535</v>
      </c>
      <c r="L131" s="251">
        <v>0</v>
      </c>
      <c r="M131" s="251">
        <v>0</v>
      </c>
      <c r="N131" s="251">
        <v>0</v>
      </c>
      <c r="O131" s="251">
        <v>0</v>
      </c>
    </row>
    <row r="132" spans="2:15">
      <c r="B132" s="239" t="s">
        <v>195</v>
      </c>
      <c r="C132" s="239" t="s">
        <v>4</v>
      </c>
      <c r="D132" s="243" t="s">
        <v>368</v>
      </c>
      <c r="E132" s="251">
        <v>0</v>
      </c>
      <c r="F132" s="251">
        <v>0</v>
      </c>
      <c r="G132" s="251">
        <v>0</v>
      </c>
      <c r="H132" s="251">
        <v>0</v>
      </c>
      <c r="I132" s="251">
        <v>0</v>
      </c>
      <c r="J132" s="251">
        <v>0</v>
      </c>
      <c r="K132" s="251">
        <v>0.59661298972026955</v>
      </c>
      <c r="L132" s="251">
        <v>0</v>
      </c>
      <c r="M132" s="251">
        <v>0</v>
      </c>
      <c r="N132" s="251">
        <v>0</v>
      </c>
      <c r="O132" s="251">
        <v>0</v>
      </c>
    </row>
    <row r="133" spans="2:15">
      <c r="B133" s="239" t="s">
        <v>195</v>
      </c>
      <c r="C133" s="239" t="s">
        <v>4</v>
      </c>
      <c r="D133" s="243" t="s">
        <v>369</v>
      </c>
      <c r="E133" s="251">
        <v>0.19273203437625375</v>
      </c>
      <c r="F133" s="251">
        <v>2.05580836668004</v>
      </c>
      <c r="G133" s="251">
        <v>0</v>
      </c>
      <c r="H133" s="251">
        <v>0</v>
      </c>
      <c r="I133" s="251">
        <v>0</v>
      </c>
      <c r="J133" s="251">
        <v>0</v>
      </c>
      <c r="K133" s="251">
        <v>0</v>
      </c>
      <c r="L133" s="251">
        <v>0</v>
      </c>
      <c r="M133" s="251">
        <v>0</v>
      </c>
      <c r="N133" s="251">
        <v>0</v>
      </c>
      <c r="O133" s="251">
        <v>0</v>
      </c>
    </row>
    <row r="134" spans="2:15">
      <c r="B134" s="239" t="s">
        <v>195</v>
      </c>
      <c r="C134" s="239" t="s">
        <v>4</v>
      </c>
      <c r="D134" s="243" t="s">
        <v>370</v>
      </c>
      <c r="E134" s="251">
        <v>0</v>
      </c>
      <c r="F134" s="251">
        <v>0</v>
      </c>
      <c r="G134" s="251">
        <v>0</v>
      </c>
      <c r="H134" s="251">
        <v>0.25352627380330922</v>
      </c>
      <c r="I134" s="251">
        <v>2.9578065277052743</v>
      </c>
      <c r="J134" s="251">
        <v>0</v>
      </c>
      <c r="K134" s="251">
        <v>0</v>
      </c>
      <c r="L134" s="251">
        <v>0</v>
      </c>
      <c r="M134" s="251">
        <v>0</v>
      </c>
      <c r="N134" s="251">
        <v>0</v>
      </c>
      <c r="O134" s="251">
        <v>0</v>
      </c>
    </row>
    <row r="135" spans="2:15">
      <c r="B135" s="239" t="s">
        <v>195</v>
      </c>
      <c r="C135" s="239" t="s">
        <v>4</v>
      </c>
      <c r="D135" s="243" t="s">
        <v>371</v>
      </c>
      <c r="E135" s="251">
        <v>0.42763434742048856</v>
      </c>
      <c r="F135" s="251">
        <v>0</v>
      </c>
      <c r="G135" s="251">
        <v>0</v>
      </c>
      <c r="H135" s="251">
        <v>0</v>
      </c>
      <c r="I135" s="251">
        <v>0</v>
      </c>
      <c r="J135" s="251">
        <v>0</v>
      </c>
      <c r="K135" s="251">
        <v>0</v>
      </c>
      <c r="L135" s="251">
        <v>0</v>
      </c>
      <c r="M135" s="251">
        <v>0</v>
      </c>
      <c r="N135" s="251">
        <v>0</v>
      </c>
      <c r="O135" s="251">
        <v>0</v>
      </c>
    </row>
    <row r="136" spans="2:15">
      <c r="B136" s="239" t="s">
        <v>195</v>
      </c>
      <c r="C136" s="239" t="s">
        <v>4</v>
      </c>
      <c r="D136" s="243" t="s">
        <v>372</v>
      </c>
      <c r="E136" s="251">
        <v>0</v>
      </c>
      <c r="F136" s="251">
        <v>0</v>
      </c>
      <c r="G136" s="251">
        <v>0</v>
      </c>
      <c r="H136" s="251">
        <v>0.28587705757429582</v>
      </c>
      <c r="I136" s="251">
        <v>0</v>
      </c>
      <c r="J136" s="251">
        <v>0</v>
      </c>
      <c r="K136" s="251">
        <v>0</v>
      </c>
      <c r="L136" s="251">
        <v>0</v>
      </c>
      <c r="M136" s="251">
        <v>0</v>
      </c>
      <c r="N136" s="251">
        <v>0</v>
      </c>
      <c r="O136" s="251">
        <v>0</v>
      </c>
    </row>
    <row r="137" spans="2:15">
      <c r="B137" s="239" t="s">
        <v>195</v>
      </c>
      <c r="C137" s="239" t="s">
        <v>4</v>
      </c>
      <c r="D137" s="243" t="s">
        <v>373</v>
      </c>
      <c r="E137" s="251">
        <v>0</v>
      </c>
      <c r="F137" s="251">
        <v>0</v>
      </c>
      <c r="G137" s="251">
        <v>0.27344762028845687</v>
      </c>
      <c r="H137" s="251">
        <v>0</v>
      </c>
      <c r="I137" s="251">
        <v>0</v>
      </c>
      <c r="J137" s="251">
        <v>0</v>
      </c>
      <c r="K137" s="251">
        <v>0</v>
      </c>
      <c r="L137" s="251">
        <v>0</v>
      </c>
      <c r="M137" s="251">
        <v>0</v>
      </c>
      <c r="N137" s="251">
        <v>0</v>
      </c>
      <c r="O137" s="251">
        <v>0</v>
      </c>
    </row>
    <row r="138" spans="2:15">
      <c r="B138" s="239" t="s">
        <v>195</v>
      </c>
      <c r="C138" s="239" t="s">
        <v>4</v>
      </c>
      <c r="D138" s="243" t="s">
        <v>374</v>
      </c>
      <c r="E138" s="251">
        <v>0</v>
      </c>
      <c r="F138" s="251">
        <v>0</v>
      </c>
      <c r="G138" s="251">
        <v>0</v>
      </c>
      <c r="H138" s="251">
        <v>0.19900143094648912</v>
      </c>
      <c r="I138" s="251">
        <v>0</v>
      </c>
      <c r="J138" s="251">
        <v>0</v>
      </c>
      <c r="K138" s="251">
        <v>0</v>
      </c>
      <c r="L138" s="251">
        <v>0</v>
      </c>
      <c r="M138" s="251">
        <v>0</v>
      </c>
      <c r="N138" s="251">
        <v>0</v>
      </c>
      <c r="O138" s="251">
        <v>0</v>
      </c>
    </row>
    <row r="139" spans="2:15">
      <c r="B139" s="239" t="s">
        <v>195</v>
      </c>
      <c r="C139" s="239" t="s">
        <v>4</v>
      </c>
      <c r="D139" s="243" t="s">
        <v>375</v>
      </c>
      <c r="E139" s="251">
        <v>0</v>
      </c>
      <c r="F139" s="251">
        <v>0.13494394943048105</v>
      </c>
      <c r="G139" s="251">
        <v>3.4185800522388532</v>
      </c>
      <c r="H139" s="251">
        <v>0</v>
      </c>
      <c r="I139" s="251">
        <v>0</v>
      </c>
      <c r="J139" s="251">
        <v>0</v>
      </c>
      <c r="K139" s="251">
        <v>0</v>
      </c>
      <c r="L139" s="251">
        <v>0</v>
      </c>
      <c r="M139" s="251">
        <v>0</v>
      </c>
      <c r="N139" s="251">
        <v>0</v>
      </c>
      <c r="O139" s="251">
        <v>0</v>
      </c>
    </row>
    <row r="140" spans="2:15">
      <c r="B140" s="239" t="s">
        <v>195</v>
      </c>
      <c r="C140" s="239" t="s">
        <v>4</v>
      </c>
      <c r="D140" s="243" t="s">
        <v>376</v>
      </c>
      <c r="E140" s="251">
        <v>0.22310143646522004</v>
      </c>
      <c r="F140" s="251">
        <v>0</v>
      </c>
      <c r="G140" s="251">
        <v>0</v>
      </c>
      <c r="H140" s="251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</row>
    <row r="141" spans="2:15">
      <c r="B141" s="239" t="s">
        <v>195</v>
      </c>
      <c r="C141" s="239" t="s">
        <v>4</v>
      </c>
      <c r="D141" s="243" t="s">
        <v>377</v>
      </c>
      <c r="E141" s="251">
        <v>0</v>
      </c>
      <c r="F141" s="251">
        <v>0.21247755853830477</v>
      </c>
      <c r="G141" s="251">
        <v>0</v>
      </c>
      <c r="H141" s="251">
        <v>0</v>
      </c>
      <c r="I141" s="251">
        <v>0</v>
      </c>
      <c r="J141" s="251">
        <v>0</v>
      </c>
      <c r="K141" s="251">
        <v>0</v>
      </c>
      <c r="L141" s="251">
        <v>0</v>
      </c>
      <c r="M141" s="251">
        <v>0</v>
      </c>
      <c r="N141" s="251">
        <v>0</v>
      </c>
      <c r="O141" s="251">
        <v>0</v>
      </c>
    </row>
    <row r="142" spans="2:15">
      <c r="B142" s="239" t="s">
        <v>195</v>
      </c>
      <c r="C142" s="239" t="s">
        <v>4</v>
      </c>
      <c r="D142" s="243" t="s">
        <v>378</v>
      </c>
      <c r="E142" s="251">
        <v>0</v>
      </c>
      <c r="F142" s="251">
        <v>0</v>
      </c>
      <c r="G142" s="251">
        <v>0</v>
      </c>
      <c r="H142" s="251">
        <v>0</v>
      </c>
      <c r="I142" s="251">
        <v>0.21247755853830477</v>
      </c>
      <c r="J142" s="251">
        <v>0</v>
      </c>
      <c r="K142" s="251">
        <v>0</v>
      </c>
      <c r="L142" s="251">
        <v>0</v>
      </c>
      <c r="M142" s="251">
        <v>0</v>
      </c>
      <c r="N142" s="251">
        <v>0</v>
      </c>
      <c r="O142" s="251">
        <v>0</v>
      </c>
    </row>
    <row r="143" spans="2:15">
      <c r="B143" s="239" t="s">
        <v>195</v>
      </c>
      <c r="C143" s="239" t="s">
        <v>4</v>
      </c>
      <c r="D143" s="243" t="s">
        <v>379</v>
      </c>
      <c r="E143" s="251">
        <v>0</v>
      </c>
      <c r="F143" s="251">
        <v>0</v>
      </c>
      <c r="G143" s="251">
        <v>0</v>
      </c>
      <c r="H143" s="251">
        <v>0</v>
      </c>
      <c r="I143" s="251">
        <v>0</v>
      </c>
      <c r="J143" s="251">
        <v>0.43503030500436318</v>
      </c>
      <c r="K143" s="251">
        <v>0</v>
      </c>
      <c r="L143" s="251">
        <v>0</v>
      </c>
      <c r="M143" s="251">
        <v>0</v>
      </c>
      <c r="N143" s="251">
        <v>0</v>
      </c>
      <c r="O143" s="251">
        <v>0</v>
      </c>
    </row>
    <row r="144" spans="2:15">
      <c r="B144" s="239" t="s">
        <v>195</v>
      </c>
      <c r="C144" s="239" t="s">
        <v>4</v>
      </c>
      <c r="D144" s="243" t="s">
        <v>380</v>
      </c>
      <c r="E144" s="251">
        <v>0</v>
      </c>
      <c r="F144" s="251">
        <v>0</v>
      </c>
      <c r="G144" s="251">
        <v>0</v>
      </c>
      <c r="H144" s="251">
        <v>0</v>
      </c>
      <c r="I144" s="251">
        <v>0</v>
      </c>
      <c r="J144" s="251">
        <v>0</v>
      </c>
      <c r="K144" s="251">
        <v>0.47231861686188004</v>
      </c>
      <c r="L144" s="251">
        <v>0</v>
      </c>
      <c r="M144" s="251">
        <v>0</v>
      </c>
      <c r="N144" s="251">
        <v>0</v>
      </c>
      <c r="O144" s="251">
        <v>0</v>
      </c>
    </row>
    <row r="145" spans="2:15">
      <c r="B145" s="239" t="s">
        <v>195</v>
      </c>
      <c r="C145" s="239" t="s">
        <v>4</v>
      </c>
      <c r="D145" s="243" t="s">
        <v>381</v>
      </c>
      <c r="E145" s="251">
        <v>0.20715728809731579</v>
      </c>
      <c r="F145" s="251">
        <v>0</v>
      </c>
      <c r="G145" s="251">
        <v>0</v>
      </c>
      <c r="H145" s="251">
        <v>0</v>
      </c>
      <c r="I145" s="251">
        <v>0</v>
      </c>
      <c r="J145" s="251">
        <v>0</v>
      </c>
      <c r="K145" s="251">
        <v>0</v>
      </c>
      <c r="L145" s="251">
        <v>0</v>
      </c>
      <c r="M145" s="251">
        <v>0</v>
      </c>
      <c r="N145" s="251">
        <v>0</v>
      </c>
      <c r="O145" s="251">
        <v>0</v>
      </c>
    </row>
    <row r="146" spans="2:15">
      <c r="B146" s="239" t="s">
        <v>195</v>
      </c>
      <c r="C146" s="239" t="s">
        <v>4</v>
      </c>
      <c r="D146" s="243" t="s">
        <v>382</v>
      </c>
      <c r="E146" s="251">
        <v>0</v>
      </c>
      <c r="F146" s="251">
        <v>0</v>
      </c>
      <c r="G146" s="251">
        <v>0</v>
      </c>
      <c r="H146" s="251">
        <v>0</v>
      </c>
      <c r="I146" s="251">
        <v>0</v>
      </c>
      <c r="J146" s="251">
        <v>0.27966233893137632</v>
      </c>
      <c r="K146" s="251">
        <v>0</v>
      </c>
      <c r="L146" s="251">
        <v>0</v>
      </c>
      <c r="M146" s="251">
        <v>0</v>
      </c>
      <c r="N146" s="251">
        <v>0</v>
      </c>
      <c r="O146" s="251">
        <v>0</v>
      </c>
    </row>
    <row r="147" spans="2:15">
      <c r="B147" s="239" t="s">
        <v>195</v>
      </c>
      <c r="C147" s="239" t="s">
        <v>4</v>
      </c>
      <c r="D147" s="243" t="s">
        <v>383</v>
      </c>
      <c r="E147" s="251">
        <v>0</v>
      </c>
      <c r="F147" s="251">
        <v>0</v>
      </c>
      <c r="G147" s="251">
        <v>0</v>
      </c>
      <c r="H147" s="251">
        <v>0</v>
      </c>
      <c r="I147" s="251">
        <v>0</v>
      </c>
      <c r="J147" s="251">
        <v>2.2372987114510106</v>
      </c>
      <c r="K147" s="251">
        <v>0</v>
      </c>
      <c r="L147" s="251">
        <v>0</v>
      </c>
      <c r="M147" s="251">
        <v>0</v>
      </c>
      <c r="N147" s="251">
        <v>0</v>
      </c>
      <c r="O147" s="251">
        <v>0</v>
      </c>
    </row>
    <row r="148" spans="2:15">
      <c r="B148" s="239" t="s">
        <v>195</v>
      </c>
      <c r="C148" s="239" t="s">
        <v>4</v>
      </c>
      <c r="D148" s="243" t="s">
        <v>384</v>
      </c>
      <c r="E148" s="251">
        <v>0.12429437285838947</v>
      </c>
      <c r="F148" s="251">
        <v>0</v>
      </c>
      <c r="G148" s="251">
        <v>0</v>
      </c>
      <c r="H148" s="251">
        <v>0</v>
      </c>
      <c r="I148" s="251">
        <v>0</v>
      </c>
      <c r="J148" s="251">
        <v>0</v>
      </c>
      <c r="K148" s="251">
        <v>0</v>
      </c>
      <c r="L148" s="251">
        <v>0</v>
      </c>
      <c r="M148" s="251">
        <v>0</v>
      </c>
      <c r="N148" s="251">
        <v>0</v>
      </c>
      <c r="O148" s="251">
        <v>0</v>
      </c>
    </row>
    <row r="149" spans="2:15">
      <c r="B149" s="239" t="s">
        <v>195</v>
      </c>
      <c r="C149" s="239" t="s">
        <v>4</v>
      </c>
      <c r="D149" s="243" t="s">
        <v>385</v>
      </c>
      <c r="E149" s="251">
        <v>0</v>
      </c>
      <c r="F149" s="251">
        <v>0</v>
      </c>
      <c r="G149" s="251">
        <v>0.21656156373809746</v>
      </c>
      <c r="H149" s="251">
        <v>2.1656156373809745</v>
      </c>
      <c r="I149" s="251">
        <v>0</v>
      </c>
      <c r="J149" s="251">
        <v>0</v>
      </c>
      <c r="K149" s="251">
        <v>0</v>
      </c>
      <c r="L149" s="251">
        <v>0</v>
      </c>
      <c r="M149" s="251">
        <v>0</v>
      </c>
      <c r="N149" s="251">
        <v>0</v>
      </c>
      <c r="O149" s="251">
        <v>0</v>
      </c>
    </row>
    <row r="150" spans="2:15">
      <c r="B150" s="239" t="s">
        <v>195</v>
      </c>
      <c r="C150" s="239" t="s">
        <v>4</v>
      </c>
      <c r="D150" s="243" t="s">
        <v>386</v>
      </c>
      <c r="E150" s="251">
        <v>0</v>
      </c>
      <c r="F150" s="251">
        <v>0</v>
      </c>
      <c r="G150" s="251">
        <v>0.38344546485370479</v>
      </c>
      <c r="H150" s="251">
        <v>0</v>
      </c>
      <c r="I150" s="251">
        <v>0</v>
      </c>
      <c r="J150" s="251">
        <v>0</v>
      </c>
      <c r="K150" s="251">
        <v>0</v>
      </c>
      <c r="L150" s="251">
        <v>0</v>
      </c>
      <c r="M150" s="251">
        <v>0</v>
      </c>
      <c r="N150" s="251">
        <v>0</v>
      </c>
      <c r="O150" s="251">
        <v>0</v>
      </c>
    </row>
    <row r="151" spans="2:15">
      <c r="B151" s="239" t="s">
        <v>195</v>
      </c>
      <c r="C151" s="239" t="s">
        <v>4</v>
      </c>
      <c r="D151" s="243" t="s">
        <v>387</v>
      </c>
      <c r="E151" s="251">
        <v>0</v>
      </c>
      <c r="F151" s="251">
        <v>0</v>
      </c>
      <c r="G151" s="251">
        <v>0</v>
      </c>
      <c r="H151" s="251">
        <v>0.28355130186936772</v>
      </c>
      <c r="I151" s="251">
        <v>0</v>
      </c>
      <c r="J151" s="251">
        <v>0</v>
      </c>
      <c r="K151" s="251">
        <v>0</v>
      </c>
      <c r="L151" s="251">
        <v>0</v>
      </c>
      <c r="M151" s="251">
        <v>0</v>
      </c>
      <c r="N151" s="251">
        <v>0</v>
      </c>
      <c r="O151" s="251">
        <v>0</v>
      </c>
    </row>
    <row r="152" spans="2:15">
      <c r="B152" s="239" t="s">
        <v>195</v>
      </c>
      <c r="C152" s="239" t="s">
        <v>4</v>
      </c>
      <c r="D152" s="243" t="s">
        <v>388</v>
      </c>
      <c r="E152" s="251">
        <v>0</v>
      </c>
      <c r="F152" s="251">
        <v>0</v>
      </c>
      <c r="G152" s="251">
        <v>0</v>
      </c>
      <c r="H152" s="251">
        <v>0.13399209552508642</v>
      </c>
      <c r="I152" s="251">
        <v>0</v>
      </c>
      <c r="J152" s="251">
        <v>0</v>
      </c>
      <c r="K152" s="251">
        <v>0</v>
      </c>
      <c r="L152" s="251">
        <v>0</v>
      </c>
      <c r="M152" s="251">
        <v>0</v>
      </c>
      <c r="N152" s="251">
        <v>0</v>
      </c>
      <c r="O152" s="251">
        <v>0</v>
      </c>
    </row>
    <row r="153" spans="2:15">
      <c r="B153" s="239" t="s">
        <v>195</v>
      </c>
      <c r="C153" s="239" t="s">
        <v>4</v>
      </c>
      <c r="D153" s="243" t="s">
        <v>389</v>
      </c>
      <c r="E153" s="251">
        <v>0</v>
      </c>
      <c r="F153" s="251">
        <v>0</v>
      </c>
      <c r="G153" s="251">
        <v>0</v>
      </c>
      <c r="H153" s="251">
        <v>0</v>
      </c>
      <c r="I153" s="251">
        <v>1.113640000523153</v>
      </c>
      <c r="J153" s="251">
        <v>0</v>
      </c>
      <c r="K153" s="251">
        <v>0</v>
      </c>
      <c r="L153" s="251">
        <v>0</v>
      </c>
      <c r="M153" s="251">
        <v>0</v>
      </c>
      <c r="N153" s="251">
        <v>0</v>
      </c>
      <c r="O153" s="251">
        <v>0</v>
      </c>
    </row>
    <row r="154" spans="2:15">
      <c r="B154" s="239" t="s">
        <v>195</v>
      </c>
      <c r="C154" s="239" t="s">
        <v>4</v>
      </c>
      <c r="D154" s="243" t="s">
        <v>390</v>
      </c>
      <c r="E154" s="251">
        <v>0</v>
      </c>
      <c r="F154" s="251">
        <v>7.4385095037648757E-2</v>
      </c>
      <c r="G154" s="251">
        <v>0</v>
      </c>
      <c r="H154" s="251">
        <v>0</v>
      </c>
      <c r="I154" s="251">
        <v>0</v>
      </c>
      <c r="J154" s="251">
        <v>0</v>
      </c>
      <c r="K154" s="251">
        <v>0</v>
      </c>
      <c r="L154" s="251">
        <v>0</v>
      </c>
      <c r="M154" s="251">
        <v>0</v>
      </c>
      <c r="N154" s="251">
        <v>0</v>
      </c>
      <c r="O154" s="251">
        <v>0</v>
      </c>
    </row>
    <row r="155" spans="2:15">
      <c r="B155" s="239" t="s">
        <v>195</v>
      </c>
      <c r="C155" s="239" t="s">
        <v>4</v>
      </c>
      <c r="D155" s="243" t="s">
        <v>391</v>
      </c>
      <c r="E155" s="251">
        <v>0</v>
      </c>
      <c r="F155" s="251">
        <v>0</v>
      </c>
      <c r="G155" s="251">
        <v>0</v>
      </c>
      <c r="H155" s="251">
        <v>0.16572583047785264</v>
      </c>
      <c r="I155" s="251">
        <v>0</v>
      </c>
      <c r="J155" s="251">
        <v>0</v>
      </c>
      <c r="K155" s="251">
        <v>0</v>
      </c>
      <c r="L155" s="251">
        <v>0</v>
      </c>
      <c r="M155" s="251">
        <v>0</v>
      </c>
      <c r="N155" s="251">
        <v>0</v>
      </c>
      <c r="O155" s="251">
        <v>0</v>
      </c>
    </row>
    <row r="156" spans="2:15">
      <c r="B156" s="239" t="s">
        <v>195</v>
      </c>
      <c r="C156" s="239" t="s">
        <v>4</v>
      </c>
      <c r="D156" s="243" t="s">
        <v>392</v>
      </c>
      <c r="E156" s="251">
        <v>0</v>
      </c>
      <c r="F156" s="251">
        <v>0</v>
      </c>
      <c r="G156" s="251">
        <v>0</v>
      </c>
      <c r="H156" s="251">
        <v>0</v>
      </c>
      <c r="I156" s="251">
        <v>0.42467244059949738</v>
      </c>
      <c r="J156" s="251">
        <v>0</v>
      </c>
      <c r="K156" s="251">
        <v>0</v>
      </c>
      <c r="L156" s="251">
        <v>0</v>
      </c>
      <c r="M156" s="251">
        <v>0</v>
      </c>
      <c r="N156" s="251">
        <v>0</v>
      </c>
      <c r="O156" s="251">
        <v>0</v>
      </c>
    </row>
    <row r="157" spans="2:15">
      <c r="B157" s="239" t="s">
        <v>195</v>
      </c>
      <c r="C157" s="239" t="s">
        <v>4</v>
      </c>
      <c r="D157" s="243" t="s">
        <v>393</v>
      </c>
      <c r="E157" s="251">
        <v>0</v>
      </c>
      <c r="F157" s="251">
        <v>0</v>
      </c>
      <c r="G157" s="251">
        <v>0</v>
      </c>
      <c r="H157" s="251">
        <v>0</v>
      </c>
      <c r="I157" s="251">
        <v>2.1130043385926212</v>
      </c>
      <c r="J157" s="251">
        <v>0</v>
      </c>
      <c r="K157" s="251">
        <v>0</v>
      </c>
      <c r="L157" s="251">
        <v>0</v>
      </c>
      <c r="M157" s="251">
        <v>0</v>
      </c>
      <c r="N157" s="251">
        <v>0</v>
      </c>
      <c r="O157" s="251">
        <v>0</v>
      </c>
    </row>
    <row r="158" spans="2:15">
      <c r="B158" s="239" t="s">
        <v>195</v>
      </c>
      <c r="C158" s="239" t="s">
        <v>4</v>
      </c>
      <c r="D158" s="243" t="s">
        <v>394</v>
      </c>
      <c r="E158" s="251">
        <v>0</v>
      </c>
      <c r="F158" s="251">
        <v>0</v>
      </c>
      <c r="G158" s="251">
        <v>0.36045368128932942</v>
      </c>
      <c r="H158" s="251">
        <v>0</v>
      </c>
      <c r="I158" s="251">
        <v>0</v>
      </c>
      <c r="J158" s="251">
        <v>0</v>
      </c>
      <c r="K158" s="251">
        <v>0</v>
      </c>
      <c r="L158" s="251">
        <v>0</v>
      </c>
      <c r="M158" s="251">
        <v>0</v>
      </c>
      <c r="N158" s="251">
        <v>0</v>
      </c>
      <c r="O158" s="251">
        <v>0</v>
      </c>
    </row>
    <row r="159" spans="2:15">
      <c r="B159" s="239" t="s">
        <v>195</v>
      </c>
      <c r="C159" s="239" t="s">
        <v>264</v>
      </c>
      <c r="D159" s="243" t="s">
        <v>395</v>
      </c>
      <c r="E159" s="251">
        <v>0</v>
      </c>
      <c r="F159" s="251">
        <v>0</v>
      </c>
      <c r="G159" s="251">
        <v>2.8587705757429576</v>
      </c>
      <c r="H159" s="251">
        <v>0</v>
      </c>
      <c r="I159" s="251">
        <v>0</v>
      </c>
      <c r="J159" s="251">
        <v>0</v>
      </c>
      <c r="K159" s="251">
        <v>0</v>
      </c>
      <c r="L159" s="251">
        <v>0</v>
      </c>
      <c r="M159" s="251">
        <v>0</v>
      </c>
      <c r="N159" s="251">
        <v>0</v>
      </c>
      <c r="O159" s="251">
        <v>0</v>
      </c>
    </row>
    <row r="160" spans="2:15">
      <c r="B160" s="239" t="s">
        <v>195</v>
      </c>
      <c r="C160" s="239" t="s">
        <v>264</v>
      </c>
      <c r="D160" s="243" t="s">
        <v>396</v>
      </c>
      <c r="E160" s="251">
        <v>0</v>
      </c>
      <c r="F160" s="251">
        <v>0</v>
      </c>
      <c r="G160" s="251">
        <v>1.7504790844223184</v>
      </c>
      <c r="H160" s="251">
        <v>0</v>
      </c>
      <c r="I160" s="251">
        <v>0</v>
      </c>
      <c r="J160" s="251">
        <v>0</v>
      </c>
      <c r="K160" s="251">
        <v>0</v>
      </c>
      <c r="L160" s="251">
        <v>0</v>
      </c>
      <c r="M160" s="251">
        <v>0</v>
      </c>
      <c r="N160" s="251">
        <v>0</v>
      </c>
      <c r="O160" s="251">
        <v>0</v>
      </c>
    </row>
    <row r="161" spans="2:15">
      <c r="B161" s="239" t="s">
        <v>195</v>
      </c>
      <c r="C161" s="239" t="s">
        <v>264</v>
      </c>
      <c r="D161" s="243" t="s">
        <v>397</v>
      </c>
      <c r="E161" s="251">
        <v>0</v>
      </c>
      <c r="F161" s="251">
        <v>0</v>
      </c>
      <c r="G161" s="251">
        <v>1.9679942369245009</v>
      </c>
      <c r="H161" s="251">
        <v>0</v>
      </c>
      <c r="I161" s="251">
        <v>0</v>
      </c>
      <c r="J161" s="251">
        <v>0</v>
      </c>
      <c r="K161" s="251">
        <v>0</v>
      </c>
      <c r="L161" s="251">
        <v>0</v>
      </c>
      <c r="M161" s="251">
        <v>0</v>
      </c>
      <c r="N161" s="251">
        <v>0</v>
      </c>
      <c r="O161" s="251">
        <v>0</v>
      </c>
    </row>
    <row r="162" spans="2:15">
      <c r="B162" s="239" t="s">
        <v>195</v>
      </c>
      <c r="C162" s="239" t="s">
        <v>264</v>
      </c>
      <c r="D162" s="243" t="s">
        <v>398</v>
      </c>
      <c r="E162" s="251">
        <v>0</v>
      </c>
      <c r="F162" s="251">
        <v>0</v>
      </c>
      <c r="G162" s="251">
        <v>0</v>
      </c>
      <c r="H162" s="251">
        <v>2.4858874571677907</v>
      </c>
      <c r="I162" s="251">
        <v>0</v>
      </c>
      <c r="J162" s="251">
        <v>0</v>
      </c>
      <c r="K162" s="251">
        <v>0</v>
      </c>
      <c r="L162" s="251">
        <v>0</v>
      </c>
      <c r="M162" s="251">
        <v>0</v>
      </c>
      <c r="N162" s="251">
        <v>0</v>
      </c>
      <c r="O162" s="251">
        <v>0</v>
      </c>
    </row>
    <row r="163" spans="2:15">
      <c r="B163" s="239" t="s">
        <v>195</v>
      </c>
      <c r="C163" s="239" t="s">
        <v>177</v>
      </c>
      <c r="D163" s="243" t="s">
        <v>399</v>
      </c>
      <c r="E163" s="251">
        <v>0</v>
      </c>
      <c r="F163" s="251">
        <v>0</v>
      </c>
      <c r="G163" s="251">
        <v>0</v>
      </c>
      <c r="H163" s="251">
        <v>0</v>
      </c>
      <c r="I163" s="251">
        <v>0</v>
      </c>
      <c r="J163" s="251">
        <v>1.2932677917411941</v>
      </c>
      <c r="K163" s="251">
        <v>4.5982854817464665</v>
      </c>
      <c r="L163" s="251">
        <v>0</v>
      </c>
      <c r="M163" s="251">
        <v>0</v>
      </c>
      <c r="N163" s="251">
        <v>0</v>
      </c>
      <c r="O163" s="251">
        <v>0</v>
      </c>
    </row>
    <row r="164" spans="2:15">
      <c r="B164" s="239" t="s">
        <v>195</v>
      </c>
      <c r="C164" s="239" t="s">
        <v>177</v>
      </c>
      <c r="D164" s="243" t="s">
        <v>400</v>
      </c>
      <c r="E164" s="251">
        <v>0</v>
      </c>
      <c r="F164" s="251">
        <v>0</v>
      </c>
      <c r="G164" s="251">
        <v>0</v>
      </c>
      <c r="H164" s="251">
        <v>0</v>
      </c>
      <c r="I164" s="251">
        <v>0</v>
      </c>
      <c r="J164" s="251">
        <v>0</v>
      </c>
      <c r="K164" s="251">
        <v>0.55932467786275264</v>
      </c>
      <c r="L164" s="251">
        <v>0</v>
      </c>
      <c r="M164" s="251">
        <v>0</v>
      </c>
      <c r="N164" s="251">
        <v>0</v>
      </c>
      <c r="O164" s="251">
        <v>0</v>
      </c>
    </row>
    <row r="165" spans="2:15">
      <c r="B165" s="239" t="s">
        <v>195</v>
      </c>
      <c r="C165" s="239" t="s">
        <v>177</v>
      </c>
      <c r="D165" s="243" t="s">
        <v>401</v>
      </c>
      <c r="E165" s="251">
        <v>0</v>
      </c>
      <c r="F165" s="251">
        <v>0.15536796607298689</v>
      </c>
      <c r="G165" s="251">
        <v>0</v>
      </c>
      <c r="H165" s="251">
        <v>0</v>
      </c>
      <c r="I165" s="251">
        <v>0</v>
      </c>
      <c r="J165" s="251">
        <v>0</v>
      </c>
      <c r="K165" s="251">
        <v>0</v>
      </c>
      <c r="L165" s="251">
        <v>0</v>
      </c>
      <c r="M165" s="251">
        <v>0</v>
      </c>
      <c r="N165" s="251">
        <v>0</v>
      </c>
      <c r="O165" s="251">
        <v>0</v>
      </c>
    </row>
    <row r="166" spans="2:15">
      <c r="B166" s="239" t="s">
        <v>195</v>
      </c>
      <c r="C166" s="239" t="s">
        <v>177</v>
      </c>
      <c r="D166" s="243" t="s">
        <v>402</v>
      </c>
      <c r="E166" s="251">
        <v>0</v>
      </c>
      <c r="F166" s="251">
        <v>0</v>
      </c>
      <c r="G166" s="251">
        <v>0</v>
      </c>
      <c r="H166" s="251">
        <v>0</v>
      </c>
      <c r="I166" s="251">
        <v>0</v>
      </c>
      <c r="J166" s="251">
        <v>0</v>
      </c>
      <c r="K166" s="251">
        <v>1.2169010980802322</v>
      </c>
      <c r="L166" s="251">
        <v>5.1718296668409867</v>
      </c>
      <c r="M166" s="251">
        <v>0</v>
      </c>
      <c r="N166" s="251">
        <v>0</v>
      </c>
      <c r="O166" s="251">
        <v>0</v>
      </c>
    </row>
    <row r="167" spans="2:15">
      <c r="B167" s="239" t="s">
        <v>195</v>
      </c>
      <c r="C167" s="239" t="s">
        <v>177</v>
      </c>
      <c r="D167" s="243" t="s">
        <v>403</v>
      </c>
      <c r="E167" s="251">
        <v>0</v>
      </c>
      <c r="F167" s="251">
        <v>0</v>
      </c>
      <c r="G167" s="251">
        <v>0</v>
      </c>
      <c r="H167" s="251">
        <v>0</v>
      </c>
      <c r="I167" s="251">
        <v>0</v>
      </c>
      <c r="J167" s="251">
        <v>0</v>
      </c>
      <c r="K167" s="251">
        <v>1.4915324743006735</v>
      </c>
      <c r="L167" s="251">
        <v>0</v>
      </c>
      <c r="M167" s="251">
        <v>0</v>
      </c>
      <c r="N167" s="251">
        <v>0</v>
      </c>
      <c r="O167" s="251">
        <v>0</v>
      </c>
    </row>
    <row r="168" spans="2:15">
      <c r="B168" s="239" t="s">
        <v>195</v>
      </c>
      <c r="C168" s="239" t="s">
        <v>177</v>
      </c>
      <c r="D168" s="243" t="s">
        <v>404</v>
      </c>
      <c r="E168" s="251">
        <v>0</v>
      </c>
      <c r="F168" s="251">
        <v>0</v>
      </c>
      <c r="G168" s="251">
        <v>0</v>
      </c>
      <c r="H168" s="251">
        <v>0</v>
      </c>
      <c r="I168" s="251">
        <v>0.47231861686188004</v>
      </c>
      <c r="J168" s="251">
        <v>0</v>
      </c>
      <c r="K168" s="251">
        <v>0</v>
      </c>
      <c r="L168" s="251">
        <v>0</v>
      </c>
      <c r="M168" s="251">
        <v>0</v>
      </c>
      <c r="N168" s="251">
        <v>0</v>
      </c>
      <c r="O168" s="251">
        <v>0</v>
      </c>
    </row>
    <row r="169" spans="2:15">
      <c r="B169" s="239" t="s">
        <v>195</v>
      </c>
      <c r="C169" s="239" t="s">
        <v>177</v>
      </c>
      <c r="D169" s="243" t="s">
        <v>405</v>
      </c>
      <c r="E169" s="251">
        <v>3.4715847111261349</v>
      </c>
      <c r="F169" s="251">
        <v>5.0631727786885792</v>
      </c>
      <c r="G169" s="251">
        <v>0</v>
      </c>
      <c r="H169" s="251">
        <v>0</v>
      </c>
      <c r="I169" s="251">
        <v>0</v>
      </c>
      <c r="J169" s="251">
        <v>0</v>
      </c>
      <c r="K169" s="251">
        <v>0</v>
      </c>
      <c r="L169" s="251">
        <v>0</v>
      </c>
      <c r="M169" s="251">
        <v>0</v>
      </c>
      <c r="N169" s="251">
        <v>0</v>
      </c>
      <c r="O169" s="251">
        <v>0</v>
      </c>
    </row>
    <row r="170" spans="2:15">
      <c r="B170" s="239" t="s">
        <v>195</v>
      </c>
      <c r="C170" s="239" t="s">
        <v>177</v>
      </c>
      <c r="D170" s="243" t="s">
        <v>406</v>
      </c>
      <c r="E170" s="251">
        <v>0</v>
      </c>
      <c r="F170" s="251">
        <v>0</v>
      </c>
      <c r="G170" s="251">
        <v>0</v>
      </c>
      <c r="H170" s="251">
        <v>0</v>
      </c>
      <c r="I170" s="251">
        <v>1.2429437285838949</v>
      </c>
      <c r="J170" s="251">
        <v>0</v>
      </c>
      <c r="K170" s="251">
        <v>0</v>
      </c>
      <c r="L170" s="251">
        <v>0</v>
      </c>
      <c r="M170" s="251">
        <v>0</v>
      </c>
      <c r="N170" s="251">
        <v>0</v>
      </c>
      <c r="O170" s="251">
        <v>0</v>
      </c>
    </row>
    <row r="171" spans="2:15">
      <c r="B171" s="239" t="s">
        <v>195</v>
      </c>
      <c r="C171" s="239" t="s">
        <v>177</v>
      </c>
      <c r="D171" s="243" t="s">
        <v>407</v>
      </c>
      <c r="E171" s="251">
        <v>0</v>
      </c>
      <c r="F171" s="251">
        <v>0</v>
      </c>
      <c r="G171" s="251">
        <v>0.25310000011889844</v>
      </c>
      <c r="H171" s="251">
        <v>0.25310000011889844</v>
      </c>
      <c r="I171" s="251">
        <v>0</v>
      </c>
      <c r="J171" s="251">
        <v>0</v>
      </c>
      <c r="K171" s="251">
        <v>0</v>
      </c>
      <c r="L171" s="251">
        <v>0</v>
      </c>
      <c r="M171" s="251">
        <v>0</v>
      </c>
      <c r="N171" s="251">
        <v>0</v>
      </c>
      <c r="O171" s="251">
        <v>0</v>
      </c>
    </row>
    <row r="172" spans="2:15">
      <c r="B172" s="239" t="s">
        <v>195</v>
      </c>
      <c r="C172" s="239" t="s">
        <v>177</v>
      </c>
      <c r="D172" s="243" t="s">
        <v>408</v>
      </c>
      <c r="E172" s="251">
        <v>0</v>
      </c>
      <c r="F172" s="251">
        <v>0</v>
      </c>
      <c r="G172" s="251">
        <v>0</v>
      </c>
      <c r="H172" s="251">
        <v>4.8919237160552385</v>
      </c>
      <c r="I172" s="251">
        <v>0</v>
      </c>
      <c r="J172" s="251">
        <v>0</v>
      </c>
      <c r="K172" s="251">
        <v>0</v>
      </c>
      <c r="L172" s="251">
        <v>0</v>
      </c>
      <c r="M172" s="251">
        <v>0</v>
      </c>
      <c r="N172" s="251">
        <v>0</v>
      </c>
      <c r="O172" s="251">
        <v>0</v>
      </c>
    </row>
    <row r="173" spans="2:15">
      <c r="B173" s="239" t="s">
        <v>195</v>
      </c>
      <c r="C173" s="239" t="s">
        <v>177</v>
      </c>
      <c r="D173" s="243" t="s">
        <v>409</v>
      </c>
      <c r="E173" s="251">
        <v>0</v>
      </c>
      <c r="F173" s="251">
        <v>0.7366044675435881</v>
      </c>
      <c r="G173" s="251">
        <v>8.7340244008739738</v>
      </c>
      <c r="H173" s="251">
        <v>0</v>
      </c>
      <c r="I173" s="251">
        <v>0</v>
      </c>
      <c r="J173" s="251">
        <v>0</v>
      </c>
      <c r="K173" s="251">
        <v>0</v>
      </c>
      <c r="L173" s="251">
        <v>0</v>
      </c>
      <c r="M173" s="251">
        <v>0</v>
      </c>
      <c r="N173" s="251">
        <v>0</v>
      </c>
      <c r="O173" s="251">
        <v>0</v>
      </c>
    </row>
    <row r="174" spans="2:15">
      <c r="B174" s="239" t="s">
        <v>195</v>
      </c>
      <c r="C174" s="239" t="s">
        <v>177</v>
      </c>
      <c r="D174" s="243" t="s">
        <v>410</v>
      </c>
      <c r="E174" s="251">
        <v>0</v>
      </c>
      <c r="F174" s="251">
        <v>0</v>
      </c>
      <c r="G174" s="251">
        <v>0</v>
      </c>
      <c r="H174" s="251">
        <v>0</v>
      </c>
      <c r="I174" s="251">
        <v>0</v>
      </c>
      <c r="J174" s="251">
        <v>0</v>
      </c>
      <c r="K174" s="251">
        <v>0</v>
      </c>
      <c r="L174" s="251">
        <v>0</v>
      </c>
      <c r="M174" s="251">
        <v>4.8474805414771902</v>
      </c>
      <c r="N174" s="251">
        <v>0</v>
      </c>
      <c r="O174" s="251">
        <v>0</v>
      </c>
    </row>
    <row r="175" spans="2:15">
      <c r="B175" s="239" t="s">
        <v>195</v>
      </c>
      <c r="C175" s="239" t="s">
        <v>628</v>
      </c>
      <c r="D175" s="243" t="s">
        <v>629</v>
      </c>
      <c r="E175" s="251">
        <v>0.12016388534218599</v>
      </c>
      <c r="F175" s="251">
        <v>0.12016388534218599</v>
      </c>
      <c r="G175" s="251">
        <v>0.12016388534218599</v>
      </c>
      <c r="H175" s="251">
        <v>0.12016388534218599</v>
      </c>
      <c r="I175" s="251">
        <v>0.12016388534218599</v>
      </c>
      <c r="J175" s="251">
        <v>0</v>
      </c>
      <c r="K175" s="251">
        <v>0</v>
      </c>
      <c r="L175" s="251">
        <v>0</v>
      </c>
      <c r="M175" s="251">
        <v>0</v>
      </c>
      <c r="N175" s="251">
        <v>0</v>
      </c>
      <c r="O175" s="251">
        <v>0</v>
      </c>
    </row>
    <row r="176" spans="2:15">
      <c r="B176" s="239" t="s">
        <v>195</v>
      </c>
      <c r="C176" s="239" t="s">
        <v>630</v>
      </c>
      <c r="D176" s="243" t="s">
        <v>629</v>
      </c>
      <c r="E176" s="251">
        <v>0.22983611465781398</v>
      </c>
      <c r="F176" s="251">
        <v>0.22983611465781398</v>
      </c>
      <c r="G176" s="251">
        <v>0.22983611465781398</v>
      </c>
      <c r="H176" s="251">
        <v>0.22983611465781398</v>
      </c>
      <c r="I176" s="251">
        <v>0.22983611465781398</v>
      </c>
      <c r="J176" s="251">
        <v>0</v>
      </c>
      <c r="K176" s="251">
        <v>0</v>
      </c>
      <c r="L176" s="251">
        <v>0</v>
      </c>
      <c r="M176" s="251">
        <v>0</v>
      </c>
      <c r="N176" s="251">
        <v>0</v>
      </c>
      <c r="O176" s="251">
        <v>0</v>
      </c>
    </row>
    <row r="177" spans="2:15">
      <c r="B177" s="239" t="s">
        <v>205</v>
      </c>
      <c r="C177" s="239" t="s">
        <v>4</v>
      </c>
      <c r="D177" s="243" t="s">
        <v>411</v>
      </c>
      <c r="E177" s="251">
        <v>0</v>
      </c>
      <c r="F177" s="251">
        <v>0</v>
      </c>
      <c r="G177" s="251">
        <v>0</v>
      </c>
      <c r="H177" s="251">
        <v>7.4385095037648757E-2</v>
      </c>
      <c r="I177" s="251">
        <v>0</v>
      </c>
      <c r="J177" s="251">
        <v>0</v>
      </c>
      <c r="K177" s="251">
        <v>0</v>
      </c>
      <c r="L177" s="251">
        <v>0</v>
      </c>
      <c r="M177" s="251">
        <v>0</v>
      </c>
      <c r="N177" s="251">
        <v>0</v>
      </c>
      <c r="O177" s="251">
        <v>0</v>
      </c>
    </row>
    <row r="178" spans="2:15">
      <c r="B178" s="239" t="s">
        <v>205</v>
      </c>
      <c r="C178" s="239" t="s">
        <v>4</v>
      </c>
      <c r="D178" s="243" t="s">
        <v>412</v>
      </c>
      <c r="E178" s="251">
        <v>0</v>
      </c>
      <c r="F178" s="251">
        <v>0.43503030500436318</v>
      </c>
      <c r="G178" s="251">
        <v>0</v>
      </c>
      <c r="H178" s="251">
        <v>0</v>
      </c>
      <c r="I178" s="251">
        <v>0</v>
      </c>
      <c r="J178" s="251">
        <v>0</v>
      </c>
      <c r="K178" s="251">
        <v>0</v>
      </c>
      <c r="L178" s="251">
        <v>0</v>
      </c>
      <c r="M178" s="251">
        <v>0</v>
      </c>
      <c r="N178" s="251">
        <v>0</v>
      </c>
      <c r="O178" s="251">
        <v>0</v>
      </c>
    </row>
    <row r="179" spans="2:15">
      <c r="B179" s="239" t="s">
        <v>205</v>
      </c>
      <c r="C179" s="239" t="s">
        <v>4</v>
      </c>
      <c r="D179" s="243" t="s">
        <v>413</v>
      </c>
      <c r="E179" s="251">
        <v>0</v>
      </c>
      <c r="F179" s="251">
        <v>0</v>
      </c>
      <c r="G179" s="251">
        <v>0</v>
      </c>
      <c r="H179" s="251">
        <v>0</v>
      </c>
      <c r="I179" s="251">
        <v>0</v>
      </c>
      <c r="J179" s="251">
        <v>8.7006061000872631E-2</v>
      </c>
      <c r="K179" s="251">
        <v>0</v>
      </c>
      <c r="L179" s="251">
        <v>0</v>
      </c>
      <c r="M179" s="251">
        <v>0</v>
      </c>
      <c r="N179" s="251">
        <v>0</v>
      </c>
      <c r="O179" s="251">
        <v>0</v>
      </c>
    </row>
    <row r="180" spans="2:15">
      <c r="B180" s="239" t="s">
        <v>205</v>
      </c>
      <c r="C180" s="239" t="s">
        <v>4</v>
      </c>
      <c r="D180" s="243" t="s">
        <v>414</v>
      </c>
      <c r="E180" s="251">
        <v>0</v>
      </c>
      <c r="F180" s="251">
        <v>0</v>
      </c>
      <c r="G180" s="251">
        <v>0</v>
      </c>
      <c r="H180" s="251">
        <v>0</v>
      </c>
      <c r="I180" s="251">
        <v>0.43503030500436318</v>
      </c>
      <c r="J180" s="251">
        <v>0</v>
      </c>
      <c r="K180" s="251">
        <v>0</v>
      </c>
      <c r="L180" s="251">
        <v>0</v>
      </c>
      <c r="M180" s="251">
        <v>0</v>
      </c>
      <c r="N180" s="251">
        <v>0</v>
      </c>
      <c r="O180" s="251">
        <v>0</v>
      </c>
    </row>
    <row r="181" spans="2:15">
      <c r="B181" s="239" t="s">
        <v>205</v>
      </c>
      <c r="C181" s="239" t="s">
        <v>4</v>
      </c>
      <c r="D181" s="243" t="s">
        <v>415</v>
      </c>
      <c r="E181" s="251">
        <v>0</v>
      </c>
      <c r="F181" s="251">
        <v>0</v>
      </c>
      <c r="G181" s="251">
        <v>0</v>
      </c>
      <c r="H181" s="251">
        <v>0</v>
      </c>
      <c r="I181" s="251">
        <v>0</v>
      </c>
      <c r="J181" s="251">
        <v>0</v>
      </c>
      <c r="K181" s="251">
        <v>0</v>
      </c>
      <c r="L181" s="251">
        <v>0</v>
      </c>
      <c r="M181" s="251">
        <v>0.39774199314684633</v>
      </c>
      <c r="N181" s="251">
        <v>0</v>
      </c>
      <c r="O181" s="251">
        <v>0</v>
      </c>
    </row>
    <row r="182" spans="2:15">
      <c r="B182" s="239" t="s">
        <v>205</v>
      </c>
      <c r="C182" s="239" t="s">
        <v>4</v>
      </c>
      <c r="D182" s="243" t="s">
        <v>416</v>
      </c>
      <c r="E182" s="251">
        <v>0</v>
      </c>
      <c r="F182" s="251">
        <v>0</v>
      </c>
      <c r="G182" s="251">
        <v>0</v>
      </c>
      <c r="H182" s="251">
        <v>0</v>
      </c>
      <c r="I182" s="251">
        <v>0</v>
      </c>
      <c r="J182" s="251">
        <v>0</v>
      </c>
      <c r="K182" s="251">
        <v>0.87006061000872637</v>
      </c>
      <c r="L182" s="251">
        <v>0</v>
      </c>
      <c r="M182" s="251">
        <v>0</v>
      </c>
      <c r="N182" s="251">
        <v>0</v>
      </c>
      <c r="O182" s="251">
        <v>0</v>
      </c>
    </row>
    <row r="183" spans="2:15">
      <c r="B183" s="239" t="s">
        <v>205</v>
      </c>
      <c r="C183" s="239" t="s">
        <v>4</v>
      </c>
      <c r="D183" s="243" t="s">
        <v>417</v>
      </c>
      <c r="E183" s="251">
        <v>0</v>
      </c>
      <c r="F183" s="251">
        <v>0</v>
      </c>
      <c r="G183" s="251">
        <v>0</v>
      </c>
      <c r="H183" s="251">
        <v>0</v>
      </c>
      <c r="I183" s="251">
        <v>0</v>
      </c>
      <c r="J183" s="251">
        <v>0</v>
      </c>
      <c r="K183" s="251">
        <v>0</v>
      </c>
      <c r="L183" s="251">
        <v>0</v>
      </c>
      <c r="M183" s="251">
        <v>0</v>
      </c>
      <c r="N183" s="251">
        <v>1.1186493557255053</v>
      </c>
      <c r="O183" s="251">
        <v>0</v>
      </c>
    </row>
    <row r="184" spans="2:15">
      <c r="B184" s="239" t="s">
        <v>205</v>
      </c>
      <c r="C184" s="239" t="s">
        <v>4</v>
      </c>
      <c r="D184" s="243" t="s">
        <v>418</v>
      </c>
      <c r="E184" s="251">
        <v>0</v>
      </c>
      <c r="F184" s="251">
        <v>0</v>
      </c>
      <c r="G184" s="251">
        <v>0</v>
      </c>
      <c r="H184" s="251">
        <v>0</v>
      </c>
      <c r="I184" s="251">
        <v>0</v>
      </c>
      <c r="J184" s="251">
        <v>0</v>
      </c>
      <c r="K184" s="251">
        <v>0</v>
      </c>
      <c r="L184" s="251">
        <v>0.19995181720697439</v>
      </c>
      <c r="M184" s="251">
        <v>2.0994940806732312</v>
      </c>
      <c r="N184" s="251">
        <v>0</v>
      </c>
      <c r="O184" s="251">
        <v>0</v>
      </c>
    </row>
    <row r="185" spans="2:15">
      <c r="B185" s="239" t="s">
        <v>205</v>
      </c>
      <c r="C185" s="239" t="s">
        <v>4</v>
      </c>
      <c r="D185" s="243" t="s">
        <v>419</v>
      </c>
      <c r="E185" s="251">
        <v>0</v>
      </c>
      <c r="F185" s="251">
        <v>0</v>
      </c>
      <c r="G185" s="251">
        <v>0</v>
      </c>
      <c r="H185" s="251">
        <v>0</v>
      </c>
      <c r="I185" s="251">
        <v>0</v>
      </c>
      <c r="J185" s="251">
        <v>0.3564062003331751</v>
      </c>
      <c r="K185" s="251">
        <v>0</v>
      </c>
      <c r="L185" s="251">
        <v>0</v>
      </c>
      <c r="M185" s="251">
        <v>0</v>
      </c>
      <c r="N185" s="251">
        <v>0</v>
      </c>
      <c r="O185" s="251">
        <v>0</v>
      </c>
    </row>
    <row r="186" spans="2:15">
      <c r="B186" s="239" t="s">
        <v>205</v>
      </c>
      <c r="C186" s="239" t="s">
        <v>4</v>
      </c>
      <c r="D186" s="243" t="s">
        <v>420</v>
      </c>
      <c r="E186" s="251">
        <v>0</v>
      </c>
      <c r="F186" s="251">
        <v>0</v>
      </c>
      <c r="G186" s="251">
        <v>0</v>
      </c>
      <c r="H186" s="251">
        <v>8.7006061000872631E-2</v>
      </c>
      <c r="I186" s="251">
        <v>0</v>
      </c>
      <c r="J186" s="251">
        <v>0</v>
      </c>
      <c r="K186" s="251">
        <v>0</v>
      </c>
      <c r="L186" s="251">
        <v>0</v>
      </c>
      <c r="M186" s="251">
        <v>0</v>
      </c>
      <c r="N186" s="251">
        <v>0</v>
      </c>
      <c r="O186" s="251">
        <v>0</v>
      </c>
    </row>
    <row r="187" spans="2:15">
      <c r="B187" s="239" t="s">
        <v>205</v>
      </c>
      <c r="C187" s="239" t="s">
        <v>4</v>
      </c>
      <c r="D187" s="243" t="s">
        <v>421</v>
      </c>
      <c r="E187" s="251">
        <v>0</v>
      </c>
      <c r="F187" s="251">
        <v>0</v>
      </c>
      <c r="G187" s="251">
        <v>0</v>
      </c>
      <c r="H187" s="251">
        <v>0.3564062003331751</v>
      </c>
      <c r="I187" s="251">
        <v>0</v>
      </c>
      <c r="J187" s="251">
        <v>0</v>
      </c>
      <c r="K187" s="251">
        <v>0</v>
      </c>
      <c r="L187" s="251">
        <v>0</v>
      </c>
      <c r="M187" s="251">
        <v>0</v>
      </c>
      <c r="N187" s="251">
        <v>0</v>
      </c>
      <c r="O187" s="251">
        <v>0</v>
      </c>
    </row>
    <row r="188" spans="2:15">
      <c r="B188" s="239" t="s">
        <v>205</v>
      </c>
      <c r="C188" s="239" t="s">
        <v>264</v>
      </c>
      <c r="D188" s="243" t="s">
        <v>422</v>
      </c>
      <c r="E188" s="251">
        <v>0</v>
      </c>
      <c r="F188" s="251">
        <v>0</v>
      </c>
      <c r="G188" s="251">
        <v>0</v>
      </c>
      <c r="H188" s="251">
        <v>0.20652960009702104</v>
      </c>
      <c r="I188" s="251">
        <v>0</v>
      </c>
      <c r="J188" s="251">
        <v>0</v>
      </c>
      <c r="K188" s="251">
        <v>0</v>
      </c>
      <c r="L188" s="251">
        <v>0</v>
      </c>
      <c r="M188" s="251">
        <v>0</v>
      </c>
      <c r="N188" s="251">
        <v>0</v>
      </c>
      <c r="O188" s="251">
        <v>0</v>
      </c>
    </row>
    <row r="189" spans="2:15">
      <c r="B189" s="239" t="s">
        <v>205</v>
      </c>
      <c r="C189" s="239" t="s">
        <v>264</v>
      </c>
      <c r="D189" s="243" t="s">
        <v>423</v>
      </c>
      <c r="E189" s="251">
        <v>0</v>
      </c>
      <c r="F189" s="251">
        <v>0</v>
      </c>
      <c r="G189" s="251">
        <v>0</v>
      </c>
      <c r="H189" s="251">
        <v>0.20652960009702104</v>
      </c>
      <c r="I189" s="251">
        <v>0</v>
      </c>
      <c r="J189" s="251">
        <v>0</v>
      </c>
      <c r="K189" s="251">
        <v>0</v>
      </c>
      <c r="L189" s="251">
        <v>0</v>
      </c>
      <c r="M189" s="251">
        <v>0</v>
      </c>
      <c r="N189" s="251">
        <v>0</v>
      </c>
      <c r="O189" s="251">
        <v>0</v>
      </c>
    </row>
    <row r="190" spans="2:15">
      <c r="B190" s="239" t="s">
        <v>205</v>
      </c>
      <c r="C190" s="239" t="s">
        <v>177</v>
      </c>
      <c r="D190" s="243" t="s">
        <v>424</v>
      </c>
      <c r="E190" s="251">
        <v>0</v>
      </c>
      <c r="F190" s="251">
        <v>0</v>
      </c>
      <c r="G190" s="251">
        <v>0</v>
      </c>
      <c r="H190" s="251">
        <v>0</v>
      </c>
      <c r="I190" s="251">
        <v>0</v>
      </c>
      <c r="J190" s="251">
        <v>0</v>
      </c>
      <c r="K190" s="251">
        <v>0</v>
      </c>
      <c r="L190" s="251">
        <v>0</v>
      </c>
      <c r="M190" s="251">
        <v>0</v>
      </c>
      <c r="N190" s="251">
        <v>4.4020923720679601</v>
      </c>
      <c r="O190" s="251">
        <v>-3.9485434610064125</v>
      </c>
    </row>
    <row r="191" spans="2:15">
      <c r="B191" s="239" t="s">
        <v>205</v>
      </c>
      <c r="C191" s="239" t="s">
        <v>177</v>
      </c>
      <c r="D191" s="243" t="s">
        <v>425</v>
      </c>
      <c r="E191" s="251">
        <v>0</v>
      </c>
      <c r="F191" s="251">
        <v>0</v>
      </c>
      <c r="G191" s="251">
        <v>0</v>
      </c>
      <c r="H191" s="251">
        <v>0</v>
      </c>
      <c r="I191" s="251">
        <v>0</v>
      </c>
      <c r="J191" s="251">
        <v>0.34826560016360408</v>
      </c>
      <c r="K191" s="251">
        <v>0</v>
      </c>
      <c r="L191" s="251">
        <v>0</v>
      </c>
      <c r="M191" s="251">
        <v>0</v>
      </c>
      <c r="N191" s="251">
        <v>0</v>
      </c>
      <c r="O191" s="251">
        <v>0</v>
      </c>
    </row>
    <row r="192" spans="2:15">
      <c r="B192" s="239" t="s">
        <v>205</v>
      </c>
      <c r="C192" s="239" t="s">
        <v>177</v>
      </c>
      <c r="D192" s="243" t="s">
        <v>426</v>
      </c>
      <c r="E192" s="251">
        <v>0</v>
      </c>
      <c r="F192" s="251">
        <v>0</v>
      </c>
      <c r="G192" s="251">
        <v>0</v>
      </c>
      <c r="H192" s="251">
        <v>0</v>
      </c>
      <c r="I192" s="251">
        <v>0</v>
      </c>
      <c r="J192" s="251">
        <v>0</v>
      </c>
      <c r="K192" s="251">
        <v>0.34802424400349052</v>
      </c>
      <c r="L192" s="251">
        <v>0</v>
      </c>
      <c r="M192" s="251">
        <v>0</v>
      </c>
      <c r="N192" s="251">
        <v>0</v>
      </c>
      <c r="O192" s="251">
        <v>0</v>
      </c>
    </row>
    <row r="193" spans="2:15">
      <c r="B193" s="239" t="s">
        <v>205</v>
      </c>
      <c r="C193" s="239" t="s">
        <v>628</v>
      </c>
      <c r="D193" s="243" t="s">
        <v>629</v>
      </c>
      <c r="E193" s="251">
        <v>0.12016388534218599</v>
      </c>
      <c r="F193" s="251">
        <v>0.12016388534218599</v>
      </c>
      <c r="G193" s="251">
        <v>0.12016388534218599</v>
      </c>
      <c r="H193" s="251">
        <v>0.12016388534218599</v>
      </c>
      <c r="I193" s="251">
        <v>0.12016388534218599</v>
      </c>
      <c r="J193" s="251">
        <v>0</v>
      </c>
      <c r="K193" s="251">
        <v>0</v>
      </c>
      <c r="L193" s="251">
        <v>0</v>
      </c>
      <c r="M193" s="251">
        <v>0</v>
      </c>
      <c r="N193" s="251">
        <v>0</v>
      </c>
      <c r="O193" s="251">
        <v>0</v>
      </c>
    </row>
    <row r="194" spans="2:15">
      <c r="B194" s="239" t="s">
        <v>205</v>
      </c>
      <c r="C194" s="239" t="s">
        <v>630</v>
      </c>
      <c r="D194" s="243" t="s">
        <v>629</v>
      </c>
      <c r="E194" s="251">
        <v>0.22983611465781398</v>
      </c>
      <c r="F194" s="251">
        <v>0.22983611465781398</v>
      </c>
      <c r="G194" s="251">
        <v>0.22983611465781398</v>
      </c>
      <c r="H194" s="251">
        <v>0.22983611465781398</v>
      </c>
      <c r="I194" s="251">
        <v>0.22983611465781398</v>
      </c>
      <c r="J194" s="251">
        <v>0</v>
      </c>
      <c r="K194" s="251">
        <v>0</v>
      </c>
      <c r="L194" s="251">
        <v>0</v>
      </c>
      <c r="M194" s="251">
        <v>0</v>
      </c>
      <c r="N194" s="251">
        <v>0</v>
      </c>
      <c r="O194" s="251">
        <v>0</v>
      </c>
    </row>
    <row r="195" spans="2:15">
      <c r="B195" s="239" t="s">
        <v>211</v>
      </c>
      <c r="C195" s="239" t="s">
        <v>4</v>
      </c>
      <c r="D195" s="243" t="s">
        <v>427</v>
      </c>
      <c r="E195" s="251">
        <v>0</v>
      </c>
      <c r="F195" s="251">
        <v>0</v>
      </c>
      <c r="G195" s="251">
        <v>0</v>
      </c>
      <c r="H195" s="251">
        <v>2.0343425741119794</v>
      </c>
      <c r="I195" s="251">
        <v>0</v>
      </c>
      <c r="J195" s="251">
        <v>0</v>
      </c>
      <c r="K195" s="251">
        <v>0</v>
      </c>
      <c r="L195" s="251">
        <v>0</v>
      </c>
      <c r="M195" s="251">
        <v>0</v>
      </c>
      <c r="N195" s="251">
        <v>0</v>
      </c>
      <c r="O195" s="251">
        <v>0</v>
      </c>
    </row>
    <row r="196" spans="2:15">
      <c r="B196" s="239" t="s">
        <v>211</v>
      </c>
      <c r="C196" s="239" t="s">
        <v>4</v>
      </c>
      <c r="D196" s="243" t="s">
        <v>428</v>
      </c>
      <c r="E196" s="251">
        <v>0</v>
      </c>
      <c r="F196" s="251">
        <v>0</v>
      </c>
      <c r="G196" s="251">
        <v>0</v>
      </c>
      <c r="H196" s="251">
        <v>0</v>
      </c>
      <c r="I196" s="251">
        <v>0</v>
      </c>
      <c r="J196" s="251">
        <v>0.3145890578523679</v>
      </c>
      <c r="K196" s="251">
        <v>0</v>
      </c>
      <c r="L196" s="251">
        <v>0</v>
      </c>
      <c r="M196" s="251">
        <v>0</v>
      </c>
      <c r="N196" s="251">
        <v>0</v>
      </c>
      <c r="O196" s="251">
        <v>0</v>
      </c>
    </row>
    <row r="197" spans="2:15">
      <c r="B197" s="239" t="s">
        <v>211</v>
      </c>
      <c r="C197" s="239" t="s">
        <v>4</v>
      </c>
      <c r="D197" s="243" t="s">
        <v>429</v>
      </c>
      <c r="E197" s="251">
        <v>0</v>
      </c>
      <c r="F197" s="251">
        <v>0</v>
      </c>
      <c r="G197" s="251">
        <v>0</v>
      </c>
      <c r="H197" s="251">
        <v>0</v>
      </c>
      <c r="I197" s="251">
        <v>0</v>
      </c>
      <c r="J197" s="251">
        <v>0</v>
      </c>
      <c r="K197" s="251">
        <v>0</v>
      </c>
      <c r="L197" s="251">
        <v>0</v>
      </c>
      <c r="M197" s="251">
        <v>0.3145890578523679</v>
      </c>
      <c r="N197" s="251">
        <v>0</v>
      </c>
      <c r="O197" s="251">
        <v>0</v>
      </c>
    </row>
    <row r="198" spans="2:15">
      <c r="B198" s="239" t="s">
        <v>211</v>
      </c>
      <c r="C198" s="239" t="s">
        <v>4</v>
      </c>
      <c r="D198" s="243" t="s">
        <v>430</v>
      </c>
      <c r="E198" s="251">
        <v>0</v>
      </c>
      <c r="F198" s="251">
        <v>5.6968254226761841E-2</v>
      </c>
      <c r="G198" s="251">
        <v>0</v>
      </c>
      <c r="H198" s="251">
        <v>0</v>
      </c>
      <c r="I198" s="251">
        <v>0</v>
      </c>
      <c r="J198" s="251">
        <v>0</v>
      </c>
      <c r="K198" s="251">
        <v>0</v>
      </c>
      <c r="L198" s="251">
        <v>0</v>
      </c>
      <c r="M198" s="251">
        <v>0</v>
      </c>
      <c r="N198" s="251">
        <v>0</v>
      </c>
      <c r="O198" s="251">
        <v>0</v>
      </c>
    </row>
    <row r="199" spans="2:15">
      <c r="B199" s="239" t="s">
        <v>211</v>
      </c>
      <c r="C199" s="239" t="s">
        <v>4</v>
      </c>
      <c r="D199" s="243" t="s">
        <v>431</v>
      </c>
      <c r="E199" s="251">
        <v>0</v>
      </c>
      <c r="F199" s="251">
        <v>0</v>
      </c>
      <c r="G199" s="251">
        <v>0</v>
      </c>
      <c r="H199" s="251">
        <v>0</v>
      </c>
      <c r="I199" s="251">
        <v>0.26215754821030657</v>
      </c>
      <c r="J199" s="251">
        <v>0</v>
      </c>
      <c r="K199" s="251">
        <v>0</v>
      </c>
      <c r="L199" s="251">
        <v>0</v>
      </c>
      <c r="M199" s="251">
        <v>0</v>
      </c>
      <c r="N199" s="251">
        <v>0</v>
      </c>
      <c r="O199" s="251">
        <v>0</v>
      </c>
    </row>
    <row r="200" spans="2:15">
      <c r="B200" s="239" t="s">
        <v>211</v>
      </c>
      <c r="C200" s="239" t="s">
        <v>4</v>
      </c>
      <c r="D200" s="243" t="s">
        <v>432</v>
      </c>
      <c r="E200" s="251">
        <v>0</v>
      </c>
      <c r="F200" s="251">
        <v>0</v>
      </c>
      <c r="G200" s="251">
        <v>0</v>
      </c>
      <c r="H200" s="251">
        <v>0</v>
      </c>
      <c r="I200" s="251">
        <v>0</v>
      </c>
      <c r="J200" s="251">
        <v>0</v>
      </c>
      <c r="K200" s="251">
        <v>0</v>
      </c>
      <c r="L200" s="251">
        <v>0</v>
      </c>
      <c r="M200" s="251">
        <v>0.41945207713649041</v>
      </c>
      <c r="N200" s="251">
        <v>0</v>
      </c>
      <c r="O200" s="251">
        <v>0</v>
      </c>
    </row>
    <row r="201" spans="2:15">
      <c r="B201" s="239" t="s">
        <v>211</v>
      </c>
      <c r="C201" s="239" t="s">
        <v>4</v>
      </c>
      <c r="D201" s="243" t="s">
        <v>433</v>
      </c>
      <c r="E201" s="251">
        <v>0</v>
      </c>
      <c r="F201" s="251">
        <v>0</v>
      </c>
      <c r="G201" s="251">
        <v>0</v>
      </c>
      <c r="H201" s="251">
        <v>0</v>
      </c>
      <c r="I201" s="251">
        <v>0</v>
      </c>
      <c r="J201" s="251">
        <v>0</v>
      </c>
      <c r="K201" s="251">
        <v>0</v>
      </c>
      <c r="L201" s="251">
        <v>9.3531515575938098E-2</v>
      </c>
      <c r="M201" s="251">
        <v>1.242632992651749</v>
      </c>
      <c r="N201" s="251">
        <v>0</v>
      </c>
      <c r="O201" s="251">
        <v>0</v>
      </c>
    </row>
    <row r="202" spans="2:15">
      <c r="B202" s="239" t="s">
        <v>211</v>
      </c>
      <c r="C202" s="239" t="s">
        <v>4</v>
      </c>
      <c r="D202" s="243" t="s">
        <v>434</v>
      </c>
      <c r="E202" s="251">
        <v>0</v>
      </c>
      <c r="F202" s="251">
        <v>0</v>
      </c>
      <c r="G202" s="251">
        <v>0</v>
      </c>
      <c r="H202" s="251">
        <v>0</v>
      </c>
      <c r="I202" s="251">
        <v>0</v>
      </c>
      <c r="J202" s="251">
        <v>0</v>
      </c>
      <c r="K202" s="251">
        <v>0</v>
      </c>
      <c r="L202" s="251">
        <v>0</v>
      </c>
      <c r="M202" s="251">
        <v>0.31073593214597373</v>
      </c>
      <c r="N202" s="251">
        <v>0</v>
      </c>
      <c r="O202" s="251">
        <v>0</v>
      </c>
    </row>
    <row r="203" spans="2:15">
      <c r="B203" s="239" t="s">
        <v>211</v>
      </c>
      <c r="C203" s="239" t="s">
        <v>4</v>
      </c>
      <c r="D203" s="243" t="s">
        <v>435</v>
      </c>
      <c r="E203" s="251">
        <v>9.0802632619832166E-2</v>
      </c>
      <c r="F203" s="251">
        <v>1.725250019776811</v>
      </c>
      <c r="G203" s="251">
        <v>0</v>
      </c>
      <c r="H203" s="251">
        <v>0</v>
      </c>
      <c r="I203" s="251">
        <v>0</v>
      </c>
      <c r="J203" s="251">
        <v>0</v>
      </c>
      <c r="K203" s="251">
        <v>0</v>
      </c>
      <c r="L203" s="251">
        <v>0</v>
      </c>
      <c r="M203" s="251">
        <v>0</v>
      </c>
      <c r="N203" s="251">
        <v>0</v>
      </c>
      <c r="O203" s="251">
        <v>0</v>
      </c>
    </row>
    <row r="204" spans="2:15">
      <c r="B204" s="239" t="s">
        <v>211</v>
      </c>
      <c r="C204" s="239" t="s">
        <v>4</v>
      </c>
      <c r="D204" s="243" t="s">
        <v>436</v>
      </c>
      <c r="E204" s="251">
        <v>0</v>
      </c>
      <c r="F204" s="251">
        <v>0</v>
      </c>
      <c r="G204" s="251">
        <v>0</v>
      </c>
      <c r="H204" s="251">
        <v>0</v>
      </c>
      <c r="I204" s="251">
        <v>9.3531515575938098E-2</v>
      </c>
      <c r="J204" s="251">
        <v>1.242632992651749</v>
      </c>
      <c r="K204" s="251">
        <v>0</v>
      </c>
      <c r="L204" s="251">
        <v>0</v>
      </c>
      <c r="M204" s="251">
        <v>0</v>
      </c>
      <c r="N204" s="251">
        <v>0</v>
      </c>
      <c r="O204" s="251">
        <v>0</v>
      </c>
    </row>
    <row r="205" spans="2:15">
      <c r="B205" s="239" t="s">
        <v>211</v>
      </c>
      <c r="C205" s="239" t="s">
        <v>4</v>
      </c>
      <c r="D205" s="243" t="s">
        <v>437</v>
      </c>
      <c r="E205" s="251">
        <v>0</v>
      </c>
      <c r="F205" s="251">
        <v>0</v>
      </c>
      <c r="G205" s="251">
        <v>0</v>
      </c>
      <c r="H205" s="251">
        <v>0</v>
      </c>
      <c r="I205" s="251">
        <v>0</v>
      </c>
      <c r="J205" s="251">
        <v>0</v>
      </c>
      <c r="K205" s="251">
        <v>0</v>
      </c>
      <c r="L205" s="251">
        <v>0</v>
      </c>
      <c r="M205" s="251">
        <v>0.62147186429194745</v>
      </c>
      <c r="N205" s="251">
        <v>0</v>
      </c>
      <c r="O205" s="251">
        <v>0</v>
      </c>
    </row>
    <row r="206" spans="2:15">
      <c r="B206" s="239" t="s">
        <v>211</v>
      </c>
      <c r="C206" s="239" t="s">
        <v>4</v>
      </c>
      <c r="D206" s="243" t="s">
        <v>438</v>
      </c>
      <c r="E206" s="251">
        <v>0</v>
      </c>
      <c r="F206" s="251">
        <v>0</v>
      </c>
      <c r="G206" s="251">
        <v>0</v>
      </c>
      <c r="H206" s="251">
        <v>0</v>
      </c>
      <c r="I206" s="251">
        <v>0</v>
      </c>
      <c r="J206" s="251">
        <v>0</v>
      </c>
      <c r="K206" s="251">
        <v>0</v>
      </c>
      <c r="L206" s="251">
        <v>0</v>
      </c>
      <c r="M206" s="251">
        <v>0</v>
      </c>
      <c r="N206" s="251">
        <v>0.21</v>
      </c>
      <c r="O206" s="251">
        <v>0</v>
      </c>
    </row>
    <row r="207" spans="2:15">
      <c r="B207" s="239" t="s">
        <v>211</v>
      </c>
      <c r="C207" s="239" t="s">
        <v>4</v>
      </c>
      <c r="D207" s="243" t="s">
        <v>439</v>
      </c>
      <c r="E207" s="251">
        <v>0</v>
      </c>
      <c r="F207" s="251">
        <v>0</v>
      </c>
      <c r="G207" s="251">
        <v>0</v>
      </c>
      <c r="H207" s="251">
        <v>0</v>
      </c>
      <c r="I207" s="251">
        <v>0</v>
      </c>
      <c r="J207" s="251">
        <v>0</v>
      </c>
      <c r="K207" s="251">
        <v>0.2097260385682452</v>
      </c>
      <c r="L207" s="251">
        <v>0</v>
      </c>
      <c r="M207" s="251">
        <v>0</v>
      </c>
      <c r="N207" s="251">
        <v>0</v>
      </c>
      <c r="O207" s="251">
        <v>0</v>
      </c>
    </row>
    <row r="208" spans="2:15">
      <c r="B208" s="239" t="s">
        <v>211</v>
      </c>
      <c r="C208" s="239" t="s">
        <v>4</v>
      </c>
      <c r="D208" s="243" t="s">
        <v>440</v>
      </c>
      <c r="E208" s="251">
        <v>0</v>
      </c>
      <c r="F208" s="251">
        <v>0</v>
      </c>
      <c r="G208" s="251">
        <v>0.26215754821030657</v>
      </c>
      <c r="H208" s="251">
        <v>0</v>
      </c>
      <c r="I208" s="251">
        <v>0</v>
      </c>
      <c r="J208" s="251">
        <v>0</v>
      </c>
      <c r="K208" s="251">
        <v>0</v>
      </c>
      <c r="L208" s="251">
        <v>0</v>
      </c>
      <c r="M208" s="251">
        <v>0</v>
      </c>
      <c r="N208" s="251">
        <v>0</v>
      </c>
      <c r="O208" s="251">
        <v>0</v>
      </c>
    </row>
    <row r="209" spans="2:15">
      <c r="B209" s="239" t="s">
        <v>211</v>
      </c>
      <c r="C209" s="239" t="s">
        <v>4</v>
      </c>
      <c r="D209" s="243" t="s">
        <v>441</v>
      </c>
      <c r="E209" s="251">
        <v>0.93852402259289769</v>
      </c>
      <c r="F209" s="251">
        <v>0</v>
      </c>
      <c r="G209" s="251">
        <v>0</v>
      </c>
      <c r="H209" s="251">
        <v>0</v>
      </c>
      <c r="I209" s="251">
        <v>0</v>
      </c>
      <c r="J209" s="251">
        <v>0</v>
      </c>
      <c r="K209" s="251">
        <v>0</v>
      </c>
      <c r="L209" s="251">
        <v>0</v>
      </c>
      <c r="M209" s="251">
        <v>0</v>
      </c>
      <c r="N209" s="251">
        <v>0</v>
      </c>
      <c r="O209" s="251">
        <v>0</v>
      </c>
    </row>
    <row r="210" spans="2:15">
      <c r="B210" s="239" t="s">
        <v>211</v>
      </c>
      <c r="C210" s="239" t="s">
        <v>4</v>
      </c>
      <c r="D210" s="243" t="s">
        <v>442</v>
      </c>
      <c r="E210" s="251">
        <v>0</v>
      </c>
      <c r="F210" s="251">
        <v>0</v>
      </c>
      <c r="G210" s="251">
        <v>0</v>
      </c>
      <c r="H210" s="251">
        <v>0</v>
      </c>
      <c r="I210" s="251">
        <v>0.56105265802021931</v>
      </c>
      <c r="J210" s="251">
        <v>0</v>
      </c>
      <c r="K210" s="251">
        <v>0</v>
      </c>
      <c r="L210" s="251">
        <v>0</v>
      </c>
      <c r="M210" s="251">
        <v>0</v>
      </c>
      <c r="N210" s="251">
        <v>0</v>
      </c>
      <c r="O210" s="251">
        <v>0</v>
      </c>
    </row>
    <row r="211" spans="2:15">
      <c r="B211" s="239" t="s">
        <v>211</v>
      </c>
      <c r="C211" s="239" t="s">
        <v>4</v>
      </c>
      <c r="D211" s="243" t="s">
        <v>443</v>
      </c>
      <c r="E211" s="251">
        <v>0</v>
      </c>
      <c r="F211" s="251">
        <v>0</v>
      </c>
      <c r="G211" s="251">
        <v>0</v>
      </c>
      <c r="H211" s="251">
        <v>0</v>
      </c>
      <c r="I211" s="251">
        <v>0</v>
      </c>
      <c r="J211" s="251">
        <v>0</v>
      </c>
      <c r="K211" s="251">
        <v>0</v>
      </c>
      <c r="L211" s="251">
        <v>0</v>
      </c>
      <c r="M211" s="251">
        <v>0.15729452892618395</v>
      </c>
      <c r="N211" s="251">
        <v>0</v>
      </c>
      <c r="O211" s="251">
        <v>0</v>
      </c>
    </row>
    <row r="212" spans="2:15">
      <c r="B212" s="239" t="s">
        <v>211</v>
      </c>
      <c r="C212" s="239" t="s">
        <v>4</v>
      </c>
      <c r="D212" s="243" t="s">
        <v>444</v>
      </c>
      <c r="E212" s="251">
        <v>0</v>
      </c>
      <c r="F212" s="251">
        <v>0</v>
      </c>
      <c r="G212" s="251">
        <v>0</v>
      </c>
      <c r="H212" s="251">
        <v>0</v>
      </c>
      <c r="I212" s="251">
        <v>0</v>
      </c>
      <c r="J212" s="251">
        <v>0</v>
      </c>
      <c r="K212" s="251">
        <v>0.52431509642061314</v>
      </c>
      <c r="L212" s="251">
        <v>0</v>
      </c>
      <c r="M212" s="251">
        <v>0</v>
      </c>
      <c r="N212" s="251">
        <v>0</v>
      </c>
      <c r="O212" s="251">
        <v>0</v>
      </c>
    </row>
    <row r="213" spans="2:15">
      <c r="B213" s="239" t="s">
        <v>211</v>
      </c>
      <c r="C213" s="239" t="s">
        <v>4</v>
      </c>
      <c r="D213" s="243" t="s">
        <v>445</v>
      </c>
      <c r="E213" s="251">
        <v>0</v>
      </c>
      <c r="F213" s="251">
        <v>0</v>
      </c>
      <c r="G213" s="251">
        <v>0</v>
      </c>
      <c r="H213" s="251">
        <v>0</v>
      </c>
      <c r="I213" s="251">
        <v>0</v>
      </c>
      <c r="J213" s="251">
        <v>0</v>
      </c>
      <c r="K213" s="251">
        <v>0.26215754821030657</v>
      </c>
      <c r="L213" s="251">
        <v>0</v>
      </c>
      <c r="M213" s="251">
        <v>0</v>
      </c>
      <c r="N213" s="251">
        <v>0</v>
      </c>
      <c r="O213" s="251">
        <v>0</v>
      </c>
    </row>
    <row r="214" spans="2:15">
      <c r="B214" s="239" t="s">
        <v>211</v>
      </c>
      <c r="C214" s="239" t="s">
        <v>4</v>
      </c>
      <c r="D214" s="243" t="s">
        <v>446</v>
      </c>
      <c r="E214" s="251">
        <v>0</v>
      </c>
      <c r="F214" s="251">
        <v>0</v>
      </c>
      <c r="G214" s="251">
        <v>0</v>
      </c>
      <c r="H214" s="251">
        <v>0.3145890578523679</v>
      </c>
      <c r="I214" s="251">
        <v>0</v>
      </c>
      <c r="J214" s="251">
        <v>0</v>
      </c>
      <c r="K214" s="251">
        <v>0</v>
      </c>
      <c r="L214" s="251">
        <v>0</v>
      </c>
      <c r="M214" s="251">
        <v>0</v>
      </c>
      <c r="N214" s="251">
        <v>0</v>
      </c>
      <c r="O214" s="251">
        <v>0</v>
      </c>
    </row>
    <row r="215" spans="2:15">
      <c r="B215" s="239" t="s">
        <v>211</v>
      </c>
      <c r="C215" s="239" t="s">
        <v>4</v>
      </c>
      <c r="D215" s="243" t="s">
        <v>447</v>
      </c>
      <c r="E215" s="251">
        <v>4.1945207713649048E-2</v>
      </c>
      <c r="F215" s="251">
        <v>0</v>
      </c>
      <c r="G215" s="251">
        <v>0</v>
      </c>
      <c r="H215" s="251">
        <v>0</v>
      </c>
      <c r="I215" s="251">
        <v>0</v>
      </c>
      <c r="J215" s="251">
        <v>0</v>
      </c>
      <c r="K215" s="251">
        <v>0</v>
      </c>
      <c r="L215" s="251">
        <v>0</v>
      </c>
      <c r="M215" s="251">
        <v>0</v>
      </c>
      <c r="N215" s="251">
        <v>0</v>
      </c>
      <c r="O215" s="251">
        <v>0</v>
      </c>
    </row>
    <row r="216" spans="2:15">
      <c r="B216" s="239" t="s">
        <v>211</v>
      </c>
      <c r="C216" s="239" t="s">
        <v>4</v>
      </c>
      <c r="D216" s="243" t="s">
        <v>448</v>
      </c>
      <c r="E216" s="251">
        <v>0.17514520008227774</v>
      </c>
      <c r="F216" s="251">
        <v>1.1814708005550181</v>
      </c>
      <c r="G216" s="251">
        <v>5.9731600028060036E-2</v>
      </c>
      <c r="H216" s="251">
        <v>0</v>
      </c>
      <c r="I216" s="251">
        <v>0</v>
      </c>
      <c r="J216" s="251">
        <v>0</v>
      </c>
      <c r="K216" s="251">
        <v>0</v>
      </c>
      <c r="L216" s="251">
        <v>0</v>
      </c>
      <c r="M216" s="251">
        <v>0</v>
      </c>
      <c r="N216" s="251">
        <v>0</v>
      </c>
      <c r="O216" s="251">
        <v>0</v>
      </c>
    </row>
    <row r="217" spans="2:15">
      <c r="B217" s="239" t="s">
        <v>211</v>
      </c>
      <c r="C217" s="239" t="s">
        <v>4</v>
      </c>
      <c r="D217" s="243" t="s">
        <v>449</v>
      </c>
      <c r="E217" s="251">
        <v>0</v>
      </c>
      <c r="F217" s="251">
        <v>0</v>
      </c>
      <c r="G217" s="251">
        <v>0</v>
      </c>
      <c r="H217" s="251">
        <v>0</v>
      </c>
      <c r="I217" s="251">
        <v>3.8324098298003419</v>
      </c>
      <c r="J217" s="251">
        <v>0</v>
      </c>
      <c r="K217" s="251">
        <v>0</v>
      </c>
      <c r="L217" s="251">
        <v>0</v>
      </c>
      <c r="M217" s="251">
        <v>0</v>
      </c>
      <c r="N217" s="251">
        <v>0</v>
      </c>
      <c r="O217" s="251">
        <v>0</v>
      </c>
    </row>
    <row r="218" spans="2:15">
      <c r="B218" s="239" t="s">
        <v>211</v>
      </c>
      <c r="C218" s="239" t="s">
        <v>4</v>
      </c>
      <c r="D218" s="243" t="s">
        <v>450</v>
      </c>
      <c r="E218" s="251">
        <v>0</v>
      </c>
      <c r="F218" s="251">
        <v>0</v>
      </c>
      <c r="G218" s="251">
        <v>0</v>
      </c>
      <c r="H218" s="251">
        <v>3.3321249790453256</v>
      </c>
      <c r="I218" s="251">
        <v>0</v>
      </c>
      <c r="J218" s="251">
        <v>0</v>
      </c>
      <c r="K218" s="251">
        <v>0</v>
      </c>
      <c r="L218" s="251">
        <v>0</v>
      </c>
      <c r="M218" s="251">
        <v>0</v>
      </c>
      <c r="N218" s="251">
        <v>0</v>
      </c>
      <c r="O218" s="251">
        <v>0</v>
      </c>
    </row>
    <row r="219" spans="2:15">
      <c r="B219" s="239" t="s">
        <v>211</v>
      </c>
      <c r="C219" s="239" t="s">
        <v>4</v>
      </c>
      <c r="D219" s="243" t="s">
        <v>451</v>
      </c>
      <c r="E219" s="251">
        <v>0</v>
      </c>
      <c r="F219" s="251">
        <v>0.20715728809731579</v>
      </c>
      <c r="G219" s="251">
        <v>0</v>
      </c>
      <c r="H219" s="251">
        <v>0</v>
      </c>
      <c r="I219" s="251">
        <v>0</v>
      </c>
      <c r="J219" s="251">
        <v>0</v>
      </c>
      <c r="K219" s="251">
        <v>0</v>
      </c>
      <c r="L219" s="251">
        <v>0</v>
      </c>
      <c r="M219" s="251">
        <v>0</v>
      </c>
      <c r="N219" s="251">
        <v>0</v>
      </c>
      <c r="O219" s="251">
        <v>0</v>
      </c>
    </row>
    <row r="220" spans="2:15">
      <c r="B220" s="239" t="s">
        <v>211</v>
      </c>
      <c r="C220" s="239" t="s">
        <v>4</v>
      </c>
      <c r="D220" s="243" t="s">
        <v>452</v>
      </c>
      <c r="E220" s="251">
        <v>0</v>
      </c>
      <c r="F220" s="251">
        <v>0</v>
      </c>
      <c r="G220" s="251">
        <v>0</v>
      </c>
      <c r="H220" s="251">
        <v>0</v>
      </c>
      <c r="I220" s="251">
        <v>0.2097260385682452</v>
      </c>
      <c r="J220" s="251">
        <v>0</v>
      </c>
      <c r="K220" s="251">
        <v>0</v>
      </c>
      <c r="L220" s="251">
        <v>0</v>
      </c>
      <c r="M220" s="251">
        <v>0</v>
      </c>
      <c r="N220" s="251">
        <v>0</v>
      </c>
      <c r="O220" s="251">
        <v>0</v>
      </c>
    </row>
    <row r="221" spans="2:15">
      <c r="B221" s="239" t="s">
        <v>211</v>
      </c>
      <c r="C221" s="239" t="s">
        <v>4</v>
      </c>
      <c r="D221" s="243" t="s">
        <v>453</v>
      </c>
      <c r="E221" s="251">
        <v>0</v>
      </c>
      <c r="F221" s="251">
        <v>0</v>
      </c>
      <c r="G221" s="251">
        <v>0.360825637386811</v>
      </c>
      <c r="H221" s="251">
        <v>0</v>
      </c>
      <c r="I221" s="251">
        <v>0</v>
      </c>
      <c r="J221" s="251">
        <v>0</v>
      </c>
      <c r="K221" s="251">
        <v>0</v>
      </c>
      <c r="L221" s="251">
        <v>0</v>
      </c>
      <c r="M221" s="251">
        <v>0</v>
      </c>
      <c r="N221" s="251">
        <v>0</v>
      </c>
      <c r="O221" s="251">
        <v>0</v>
      </c>
    </row>
    <row r="222" spans="2:15">
      <c r="B222" s="239" t="s">
        <v>211</v>
      </c>
      <c r="C222" s="239" t="s">
        <v>4</v>
      </c>
      <c r="D222" s="243" t="s">
        <v>454</v>
      </c>
      <c r="E222" s="251">
        <v>0</v>
      </c>
      <c r="F222" s="251">
        <v>0.360825637386811</v>
      </c>
      <c r="G222" s="251">
        <v>0</v>
      </c>
      <c r="H222" s="251">
        <v>0</v>
      </c>
      <c r="I222" s="251">
        <v>0</v>
      </c>
      <c r="J222" s="251">
        <v>0</v>
      </c>
      <c r="K222" s="251">
        <v>0</v>
      </c>
      <c r="L222" s="251">
        <v>0</v>
      </c>
      <c r="M222" s="251">
        <v>0</v>
      </c>
      <c r="N222" s="251">
        <v>0</v>
      </c>
      <c r="O222" s="251">
        <v>0</v>
      </c>
    </row>
    <row r="223" spans="2:15">
      <c r="B223" s="239" t="s">
        <v>211</v>
      </c>
      <c r="C223" s="239" t="s">
        <v>4</v>
      </c>
      <c r="D223" s="243" t="s">
        <v>455</v>
      </c>
      <c r="E223" s="251">
        <v>0</v>
      </c>
      <c r="F223" s="251">
        <v>0</v>
      </c>
      <c r="G223" s="251">
        <v>2.0972603856824524E-2</v>
      </c>
      <c r="H223" s="251">
        <v>0</v>
      </c>
      <c r="I223" s="251">
        <v>0</v>
      </c>
      <c r="J223" s="251">
        <v>0</v>
      </c>
      <c r="K223" s="251">
        <v>0</v>
      </c>
      <c r="L223" s="251">
        <v>0</v>
      </c>
      <c r="M223" s="251">
        <v>0</v>
      </c>
      <c r="N223" s="251">
        <v>0</v>
      </c>
      <c r="O223" s="251">
        <v>0</v>
      </c>
    </row>
    <row r="224" spans="2:15">
      <c r="B224" s="239" t="s">
        <v>211</v>
      </c>
      <c r="C224" s="239" t="s">
        <v>4</v>
      </c>
      <c r="D224" s="243" t="s">
        <v>456</v>
      </c>
      <c r="E224" s="251">
        <v>0</v>
      </c>
      <c r="F224" s="251">
        <v>0</v>
      </c>
      <c r="G224" s="251">
        <v>0</v>
      </c>
      <c r="H224" s="251">
        <v>0</v>
      </c>
      <c r="I224" s="251">
        <v>0</v>
      </c>
      <c r="J224" s="251">
        <v>0.3145890578523679</v>
      </c>
      <c r="K224" s="251">
        <v>0</v>
      </c>
      <c r="L224" s="251">
        <v>0</v>
      </c>
      <c r="M224" s="251">
        <v>0</v>
      </c>
      <c r="N224" s="251">
        <v>0</v>
      </c>
      <c r="O224" s="251">
        <v>0</v>
      </c>
    </row>
    <row r="225" spans="2:15">
      <c r="B225" s="239" t="s">
        <v>211</v>
      </c>
      <c r="C225" s="239" t="s">
        <v>4</v>
      </c>
      <c r="D225" s="243" t="s">
        <v>457</v>
      </c>
      <c r="E225" s="251">
        <v>0</v>
      </c>
      <c r="F225" s="251">
        <v>0.360825637386811</v>
      </c>
      <c r="G225" s="251">
        <v>0</v>
      </c>
      <c r="H225" s="251">
        <v>0</v>
      </c>
      <c r="I225" s="251">
        <v>0</v>
      </c>
      <c r="J225" s="251">
        <v>0</v>
      </c>
      <c r="K225" s="251">
        <v>0</v>
      </c>
      <c r="L225" s="251">
        <v>0</v>
      </c>
      <c r="M225" s="251">
        <v>0</v>
      </c>
      <c r="N225" s="251">
        <v>0</v>
      </c>
      <c r="O225" s="251">
        <v>0</v>
      </c>
    </row>
    <row r="226" spans="2:15">
      <c r="B226" s="239" t="s">
        <v>211</v>
      </c>
      <c r="C226" s="239" t="s">
        <v>4</v>
      </c>
      <c r="D226" s="243" t="s">
        <v>458</v>
      </c>
      <c r="E226" s="251">
        <v>0</v>
      </c>
      <c r="F226" s="251">
        <v>0</v>
      </c>
      <c r="G226" s="251">
        <v>0</v>
      </c>
      <c r="H226" s="251">
        <v>0</v>
      </c>
      <c r="I226" s="251">
        <v>0</v>
      </c>
      <c r="J226" s="251">
        <v>0</v>
      </c>
      <c r="K226" s="251">
        <v>0</v>
      </c>
      <c r="L226" s="251">
        <v>0.3145890578523679</v>
      </c>
      <c r="M226" s="251">
        <v>0</v>
      </c>
      <c r="N226" s="251">
        <v>0</v>
      </c>
      <c r="O226" s="251">
        <v>0</v>
      </c>
    </row>
    <row r="227" spans="2:15">
      <c r="B227" s="239" t="s">
        <v>211</v>
      </c>
      <c r="C227" s="239" t="s">
        <v>4</v>
      </c>
      <c r="D227" s="243" t="s">
        <v>459</v>
      </c>
      <c r="E227" s="251">
        <v>0</v>
      </c>
      <c r="F227" s="251">
        <v>0</v>
      </c>
      <c r="G227" s="251">
        <v>0</v>
      </c>
      <c r="H227" s="251">
        <v>0</v>
      </c>
      <c r="I227" s="251">
        <v>0</v>
      </c>
      <c r="J227" s="251">
        <v>0.2097260385682452</v>
      </c>
      <c r="K227" s="251">
        <v>0</v>
      </c>
      <c r="L227" s="251">
        <v>0</v>
      </c>
      <c r="M227" s="251">
        <v>0</v>
      </c>
      <c r="N227" s="251">
        <v>0</v>
      </c>
      <c r="O227" s="251">
        <v>0</v>
      </c>
    </row>
    <row r="228" spans="2:15">
      <c r="B228" s="239" t="s">
        <v>211</v>
      </c>
      <c r="C228" s="239" t="s">
        <v>4</v>
      </c>
      <c r="D228" s="243" t="s">
        <v>460</v>
      </c>
      <c r="E228" s="251">
        <v>0</v>
      </c>
      <c r="F228" s="251">
        <v>0</v>
      </c>
      <c r="G228" s="251">
        <v>0</v>
      </c>
      <c r="H228" s="251">
        <v>0</v>
      </c>
      <c r="I228" s="251">
        <v>0</v>
      </c>
      <c r="J228" s="251">
        <v>0.3145890578523679</v>
      </c>
      <c r="K228" s="251">
        <v>0</v>
      </c>
      <c r="L228" s="251">
        <v>0</v>
      </c>
      <c r="M228" s="251">
        <v>0</v>
      </c>
      <c r="N228" s="251">
        <v>0</v>
      </c>
      <c r="O228" s="251">
        <v>0</v>
      </c>
    </row>
    <row r="229" spans="2:15">
      <c r="B229" s="239" t="s">
        <v>211</v>
      </c>
      <c r="C229" s="239" t="s">
        <v>4</v>
      </c>
      <c r="D229" s="243" t="s">
        <v>461</v>
      </c>
      <c r="E229" s="251">
        <v>0</v>
      </c>
      <c r="F229" s="251">
        <v>0</v>
      </c>
      <c r="G229" s="251">
        <v>0</v>
      </c>
      <c r="H229" s="251">
        <v>0</v>
      </c>
      <c r="I229" s="251">
        <v>0</v>
      </c>
      <c r="J229" s="251">
        <v>8.3890415427298096E-2</v>
      </c>
      <c r="K229" s="251">
        <v>0</v>
      </c>
      <c r="L229" s="251">
        <v>0</v>
      </c>
      <c r="M229" s="251">
        <v>0</v>
      </c>
      <c r="N229" s="251">
        <v>0</v>
      </c>
      <c r="O229" s="251">
        <v>0</v>
      </c>
    </row>
    <row r="230" spans="2:15">
      <c r="B230" s="239" t="s">
        <v>211</v>
      </c>
      <c r="C230" s="239" t="s">
        <v>4</v>
      </c>
      <c r="D230" s="243" t="s">
        <v>462</v>
      </c>
      <c r="E230" s="251">
        <v>0</v>
      </c>
      <c r="F230" s="251">
        <v>0</v>
      </c>
      <c r="G230" s="251">
        <v>0</v>
      </c>
      <c r="H230" s="251">
        <v>0</v>
      </c>
      <c r="I230" s="251">
        <v>0</v>
      </c>
      <c r="J230" s="251">
        <v>0</v>
      </c>
      <c r="K230" s="251">
        <v>8.3890415427298096E-2</v>
      </c>
      <c r="L230" s="251">
        <v>0</v>
      </c>
      <c r="M230" s="251">
        <v>0</v>
      </c>
      <c r="N230" s="251">
        <v>0</v>
      </c>
      <c r="O230" s="251">
        <v>0</v>
      </c>
    </row>
    <row r="231" spans="2:15">
      <c r="B231" s="239" t="s">
        <v>211</v>
      </c>
      <c r="C231" s="239" t="s">
        <v>4</v>
      </c>
      <c r="D231" s="243" t="s">
        <v>463</v>
      </c>
      <c r="E231" s="251">
        <v>0</v>
      </c>
      <c r="F231" s="251">
        <v>0</v>
      </c>
      <c r="G231" s="251">
        <v>0.360825637386811</v>
      </c>
      <c r="H231" s="251">
        <v>0</v>
      </c>
      <c r="I231" s="251">
        <v>0</v>
      </c>
      <c r="J231" s="251">
        <v>0</v>
      </c>
      <c r="K231" s="251">
        <v>0</v>
      </c>
      <c r="L231" s="251">
        <v>0</v>
      </c>
      <c r="M231" s="251">
        <v>0</v>
      </c>
      <c r="N231" s="251">
        <v>0</v>
      </c>
      <c r="O231" s="251">
        <v>0</v>
      </c>
    </row>
    <row r="232" spans="2:15">
      <c r="B232" s="239" t="s">
        <v>211</v>
      </c>
      <c r="C232" s="239" t="s">
        <v>4</v>
      </c>
      <c r="D232" s="243" t="s">
        <v>464</v>
      </c>
      <c r="E232" s="251">
        <v>0</v>
      </c>
      <c r="F232" s="251">
        <v>0</v>
      </c>
      <c r="G232" s="251">
        <v>0</v>
      </c>
      <c r="H232" s="251">
        <v>0</v>
      </c>
      <c r="I232" s="251">
        <v>0</v>
      </c>
      <c r="J232" s="251">
        <v>0</v>
      </c>
      <c r="K232" s="251">
        <v>0</v>
      </c>
      <c r="L232" s="251">
        <v>0</v>
      </c>
      <c r="M232" s="251">
        <v>0.28313015206713105</v>
      </c>
      <c r="N232" s="251">
        <v>0</v>
      </c>
      <c r="O232" s="251">
        <v>0</v>
      </c>
    </row>
    <row r="233" spans="2:15">
      <c r="B233" s="239" t="s">
        <v>211</v>
      </c>
      <c r="C233" s="239" t="s">
        <v>4</v>
      </c>
      <c r="D233" s="243" t="s">
        <v>465</v>
      </c>
      <c r="E233" s="251">
        <v>0.360825637386811</v>
      </c>
      <c r="F233" s="251">
        <v>0</v>
      </c>
      <c r="G233" s="251">
        <v>0</v>
      </c>
      <c r="H233" s="251">
        <v>0</v>
      </c>
      <c r="I233" s="251">
        <v>0</v>
      </c>
      <c r="J233" s="251">
        <v>0</v>
      </c>
      <c r="K233" s="251">
        <v>0</v>
      </c>
      <c r="L233" s="251">
        <v>0</v>
      </c>
      <c r="M233" s="251">
        <v>0</v>
      </c>
      <c r="N233" s="251">
        <v>0</v>
      </c>
      <c r="O233" s="251">
        <v>0</v>
      </c>
    </row>
    <row r="234" spans="2:15">
      <c r="B234" s="239" t="s">
        <v>211</v>
      </c>
      <c r="C234" s="239" t="s">
        <v>4</v>
      </c>
      <c r="D234" s="243" t="s">
        <v>466</v>
      </c>
      <c r="E234" s="251">
        <v>0</v>
      </c>
      <c r="F234" s="251">
        <v>0</v>
      </c>
      <c r="G234" s="251">
        <v>0.26215754821030657</v>
      </c>
      <c r="H234" s="251">
        <v>0</v>
      </c>
      <c r="I234" s="251">
        <v>0</v>
      </c>
      <c r="J234" s="251">
        <v>0</v>
      </c>
      <c r="K234" s="251">
        <v>0</v>
      </c>
      <c r="L234" s="251">
        <v>0</v>
      </c>
      <c r="M234" s="251">
        <v>0</v>
      </c>
      <c r="N234" s="251">
        <v>0</v>
      </c>
      <c r="O234" s="251">
        <v>0</v>
      </c>
    </row>
    <row r="235" spans="2:15">
      <c r="B235" s="239" t="s">
        <v>211</v>
      </c>
      <c r="C235" s="239" t="s">
        <v>4</v>
      </c>
      <c r="D235" s="243" t="s">
        <v>467</v>
      </c>
      <c r="E235" s="251">
        <v>0.360825637386811</v>
      </c>
      <c r="F235" s="251">
        <v>0</v>
      </c>
      <c r="G235" s="251">
        <v>0</v>
      </c>
      <c r="H235" s="251">
        <v>0</v>
      </c>
      <c r="I235" s="251">
        <v>0</v>
      </c>
      <c r="J235" s="251">
        <v>0</v>
      </c>
      <c r="K235" s="251">
        <v>0</v>
      </c>
      <c r="L235" s="251">
        <v>0</v>
      </c>
      <c r="M235" s="251">
        <v>0</v>
      </c>
      <c r="N235" s="251">
        <v>0</v>
      </c>
      <c r="O235" s="251">
        <v>0</v>
      </c>
    </row>
    <row r="236" spans="2:15">
      <c r="B236" s="239" t="s">
        <v>211</v>
      </c>
      <c r="C236" s="239" t="s">
        <v>4</v>
      </c>
      <c r="D236" s="243" t="s">
        <v>468</v>
      </c>
      <c r="E236" s="251">
        <v>0</v>
      </c>
      <c r="F236" s="251">
        <v>0</v>
      </c>
      <c r="G236" s="251">
        <v>0</v>
      </c>
      <c r="H236" s="251">
        <v>0</v>
      </c>
      <c r="I236" s="251">
        <v>0</v>
      </c>
      <c r="J236" s="251">
        <v>0.3145890578523679</v>
      </c>
      <c r="K236" s="251">
        <v>0</v>
      </c>
      <c r="L236" s="251">
        <v>0</v>
      </c>
      <c r="M236" s="251">
        <v>0</v>
      </c>
      <c r="N236" s="251">
        <v>0</v>
      </c>
      <c r="O236" s="251">
        <v>0</v>
      </c>
    </row>
    <row r="237" spans="2:15">
      <c r="B237" s="239" t="s">
        <v>211</v>
      </c>
      <c r="C237" s="239" t="s">
        <v>4</v>
      </c>
      <c r="D237" s="243" t="s">
        <v>469</v>
      </c>
      <c r="E237" s="251">
        <v>0</v>
      </c>
      <c r="F237" s="251">
        <v>0</v>
      </c>
      <c r="G237" s="251">
        <v>0</v>
      </c>
      <c r="H237" s="251">
        <v>0.360825637386811</v>
      </c>
      <c r="I237" s="251">
        <v>0</v>
      </c>
      <c r="J237" s="251">
        <v>0</v>
      </c>
      <c r="K237" s="251">
        <v>0</v>
      </c>
      <c r="L237" s="251">
        <v>0</v>
      </c>
      <c r="M237" s="251">
        <v>0</v>
      </c>
      <c r="N237" s="251">
        <v>0</v>
      </c>
      <c r="O237" s="251">
        <v>0</v>
      </c>
    </row>
    <row r="238" spans="2:15">
      <c r="B238" s="239" t="s">
        <v>211</v>
      </c>
      <c r="C238" s="239" t="s">
        <v>264</v>
      </c>
      <c r="D238" s="243" t="s">
        <v>470</v>
      </c>
      <c r="E238" s="251">
        <v>0</v>
      </c>
      <c r="F238" s="251">
        <v>0</v>
      </c>
      <c r="G238" s="251">
        <v>0</v>
      </c>
      <c r="H238" s="251">
        <v>0</v>
      </c>
      <c r="I238" s="251">
        <v>0</v>
      </c>
      <c r="J238" s="251">
        <v>0</v>
      </c>
      <c r="K238" s="251">
        <v>0</v>
      </c>
      <c r="L238" s="251">
        <v>0</v>
      </c>
      <c r="M238" s="251">
        <v>7.5501360000000003E-2</v>
      </c>
      <c r="N238" s="251">
        <v>2.4412111028189423</v>
      </c>
      <c r="O238" s="251">
        <v>-2.0789093573077304</v>
      </c>
    </row>
    <row r="239" spans="2:15">
      <c r="B239" s="239" t="s">
        <v>211</v>
      </c>
      <c r="C239" s="239" t="s">
        <v>264</v>
      </c>
      <c r="D239" s="243" t="s">
        <v>471</v>
      </c>
      <c r="E239" s="251">
        <v>0</v>
      </c>
      <c r="F239" s="251">
        <v>0</v>
      </c>
      <c r="G239" s="251">
        <v>0</v>
      </c>
      <c r="H239" s="251">
        <v>0</v>
      </c>
      <c r="I239" s="251">
        <v>0</v>
      </c>
      <c r="J239" s="251">
        <v>0.22230955999999999</v>
      </c>
      <c r="K239" s="251">
        <v>1.9735576938315482</v>
      </c>
      <c r="L239" s="251">
        <v>0</v>
      </c>
      <c r="M239" s="251">
        <v>0</v>
      </c>
      <c r="N239" s="251">
        <v>0</v>
      </c>
      <c r="O239" s="251">
        <v>-1.0220763945106841</v>
      </c>
    </row>
    <row r="240" spans="2:15">
      <c r="B240" s="239" t="s">
        <v>211</v>
      </c>
      <c r="C240" s="239" t="s">
        <v>264</v>
      </c>
      <c r="D240" s="243" t="s">
        <v>472</v>
      </c>
      <c r="E240" s="251">
        <v>0</v>
      </c>
      <c r="F240" s="251">
        <v>0</v>
      </c>
      <c r="G240" s="251">
        <v>0</v>
      </c>
      <c r="H240" s="251">
        <v>0</v>
      </c>
      <c r="I240" s="251">
        <v>0</v>
      </c>
      <c r="J240" s="251">
        <v>5.7150334999999997E-2</v>
      </c>
      <c r="K240" s="251">
        <v>0.50735327506518579</v>
      </c>
      <c r="L240" s="251">
        <v>0</v>
      </c>
      <c r="M240" s="251">
        <v>0</v>
      </c>
      <c r="N240" s="251">
        <v>0</v>
      </c>
      <c r="O240" s="251">
        <v>-0.37616467834343748</v>
      </c>
    </row>
    <row r="241" spans="2:15">
      <c r="B241" s="239" t="s">
        <v>211</v>
      </c>
      <c r="C241" s="239" t="s">
        <v>264</v>
      </c>
      <c r="D241" s="243" t="s">
        <v>473</v>
      </c>
      <c r="E241" s="251">
        <v>0</v>
      </c>
      <c r="F241" s="251">
        <v>0</v>
      </c>
      <c r="G241" s="251">
        <v>0</v>
      </c>
      <c r="H241" s="251">
        <v>0</v>
      </c>
      <c r="I241" s="251">
        <v>0</v>
      </c>
      <c r="J241" s="251">
        <v>0</v>
      </c>
      <c r="K241" s="251">
        <v>0.31073593214597373</v>
      </c>
      <c r="L241" s="251">
        <v>0</v>
      </c>
      <c r="M241" s="251">
        <v>0</v>
      </c>
      <c r="N241" s="251">
        <v>0</v>
      </c>
      <c r="O241" s="251">
        <v>-5.7034049620807978E-2</v>
      </c>
    </row>
    <row r="242" spans="2:15">
      <c r="B242" s="239" t="s">
        <v>211</v>
      </c>
      <c r="C242" s="239" t="s">
        <v>264</v>
      </c>
      <c r="D242" s="243" t="s">
        <v>474</v>
      </c>
      <c r="E242" s="251">
        <v>0</v>
      </c>
      <c r="F242" s="251">
        <v>0</v>
      </c>
      <c r="G242" s="251">
        <v>0</v>
      </c>
      <c r="H242" s="251">
        <v>0</v>
      </c>
      <c r="I242" s="251">
        <v>0</v>
      </c>
      <c r="J242" s="251">
        <v>0</v>
      </c>
      <c r="K242" s="251">
        <v>0</v>
      </c>
      <c r="L242" s="251">
        <v>0</v>
      </c>
      <c r="M242" s="251">
        <v>0.31073593214597373</v>
      </c>
      <c r="N242" s="251">
        <v>0</v>
      </c>
      <c r="O242" s="251">
        <v>-9.1657698990785831E-3</v>
      </c>
    </row>
    <row r="243" spans="2:15">
      <c r="B243" s="239" t="s">
        <v>211</v>
      </c>
      <c r="C243" s="239" t="s">
        <v>264</v>
      </c>
      <c r="D243" s="243" t="s">
        <v>475</v>
      </c>
      <c r="E243" s="251">
        <v>0</v>
      </c>
      <c r="F243" s="251">
        <v>0</v>
      </c>
      <c r="G243" s="251">
        <v>0</v>
      </c>
      <c r="H243" s="251">
        <v>0</v>
      </c>
      <c r="I243" s="251">
        <v>0</v>
      </c>
      <c r="J243" s="251">
        <v>0</v>
      </c>
      <c r="K243" s="251">
        <v>0</v>
      </c>
      <c r="L243" s="251">
        <v>0</v>
      </c>
      <c r="M243" s="251">
        <v>1.3465223726325528</v>
      </c>
      <c r="N243" s="251">
        <v>0</v>
      </c>
      <c r="O243" s="251">
        <v>-1.0082190619932205</v>
      </c>
    </row>
    <row r="244" spans="2:15">
      <c r="B244" s="239" t="s">
        <v>211</v>
      </c>
      <c r="C244" s="239" t="s">
        <v>177</v>
      </c>
      <c r="D244" s="243" t="s">
        <v>476</v>
      </c>
      <c r="E244" s="251">
        <v>0</v>
      </c>
      <c r="F244" s="251">
        <v>0</v>
      </c>
      <c r="G244" s="251">
        <v>0</v>
      </c>
      <c r="H244" s="251">
        <v>0</v>
      </c>
      <c r="I244" s="251">
        <v>0</v>
      </c>
      <c r="J244" s="251">
        <v>1.2429437285838949</v>
      </c>
      <c r="K244" s="251">
        <v>0</v>
      </c>
      <c r="L244" s="251">
        <v>0</v>
      </c>
      <c r="M244" s="251">
        <v>0</v>
      </c>
      <c r="N244" s="251">
        <v>0</v>
      </c>
      <c r="O244" s="251">
        <v>0</v>
      </c>
    </row>
    <row r="245" spans="2:15">
      <c r="B245" s="239" t="s">
        <v>211</v>
      </c>
      <c r="C245" s="239" t="s">
        <v>177</v>
      </c>
      <c r="D245" s="243" t="s">
        <v>477</v>
      </c>
      <c r="E245" s="251">
        <v>0</v>
      </c>
      <c r="F245" s="251">
        <v>0</v>
      </c>
      <c r="G245" s="251">
        <v>0.48488615900645066</v>
      </c>
      <c r="H245" s="251">
        <v>4.3639754310580559</v>
      </c>
      <c r="I245" s="251">
        <v>0</v>
      </c>
      <c r="J245" s="251">
        <v>0</v>
      </c>
      <c r="K245" s="251">
        <v>0</v>
      </c>
      <c r="L245" s="251">
        <v>0</v>
      </c>
      <c r="M245" s="251">
        <v>0</v>
      </c>
      <c r="N245" s="251">
        <v>0</v>
      </c>
      <c r="O245" s="251">
        <v>0</v>
      </c>
    </row>
    <row r="246" spans="2:15">
      <c r="B246" s="239" t="s">
        <v>211</v>
      </c>
      <c r="C246" s="239" t="s">
        <v>177</v>
      </c>
      <c r="D246" s="243" t="s">
        <v>478</v>
      </c>
      <c r="E246" s="251">
        <v>0</v>
      </c>
      <c r="F246" s="251">
        <v>0</v>
      </c>
      <c r="G246" s="251">
        <v>0</v>
      </c>
      <c r="H246" s="251">
        <v>0</v>
      </c>
      <c r="I246" s="251">
        <v>0</v>
      </c>
      <c r="J246" s="251">
        <v>0</v>
      </c>
      <c r="K246" s="251">
        <v>0</v>
      </c>
      <c r="L246" s="251">
        <v>0</v>
      </c>
      <c r="M246" s="251">
        <v>0.93220779643792118</v>
      </c>
      <c r="N246" s="251">
        <v>0</v>
      </c>
      <c r="O246" s="251">
        <v>0</v>
      </c>
    </row>
    <row r="247" spans="2:15">
      <c r="B247" s="239" t="s">
        <v>211</v>
      </c>
      <c r="C247" s="239" t="s">
        <v>177</v>
      </c>
      <c r="D247" s="243" t="s">
        <v>479</v>
      </c>
      <c r="E247" s="251">
        <v>5.1379999999999999</v>
      </c>
      <c r="F247" s="251">
        <v>7.5100000000000007</v>
      </c>
      <c r="G247" s="251">
        <v>0.13200000000000001</v>
      </c>
      <c r="H247" s="251">
        <v>0</v>
      </c>
      <c r="I247" s="251">
        <v>0</v>
      </c>
      <c r="J247" s="251">
        <v>0</v>
      </c>
      <c r="K247" s="251">
        <v>0</v>
      </c>
      <c r="L247" s="251">
        <v>0</v>
      </c>
      <c r="M247" s="251">
        <v>0</v>
      </c>
      <c r="N247" s="251">
        <v>0</v>
      </c>
      <c r="O247" s="251">
        <v>0</v>
      </c>
    </row>
    <row r="248" spans="2:15">
      <c r="B248" s="239" t="s">
        <v>211</v>
      </c>
      <c r="C248" s="239" t="s">
        <v>177</v>
      </c>
      <c r="D248" s="243" t="s">
        <v>480</v>
      </c>
      <c r="E248" s="251">
        <v>5.1789322024328947E-2</v>
      </c>
      <c r="F248" s="251">
        <v>0.72505050834060525</v>
      </c>
      <c r="G248" s="251">
        <v>0</v>
      </c>
      <c r="H248" s="251">
        <v>0</v>
      </c>
      <c r="I248" s="251">
        <v>0</v>
      </c>
      <c r="J248" s="251">
        <v>0</v>
      </c>
      <c r="K248" s="251">
        <v>0</v>
      </c>
      <c r="L248" s="251">
        <v>0</v>
      </c>
      <c r="M248" s="251">
        <v>0</v>
      </c>
      <c r="N248" s="251">
        <v>0</v>
      </c>
      <c r="O248" s="251">
        <v>0</v>
      </c>
    </row>
    <row r="249" spans="2:15">
      <c r="B249" s="239" t="s">
        <v>211</v>
      </c>
      <c r="C249" s="239" t="s">
        <v>177</v>
      </c>
      <c r="D249" s="243" t="s">
        <v>481</v>
      </c>
      <c r="E249" s="251">
        <v>0</v>
      </c>
      <c r="F249" s="251">
        <v>0</v>
      </c>
      <c r="G249" s="251">
        <v>0</v>
      </c>
      <c r="H249" s="251">
        <v>0</v>
      </c>
      <c r="I249" s="251">
        <v>0</v>
      </c>
      <c r="J249" s="251">
        <v>0.83890415427298082</v>
      </c>
      <c r="K249" s="251">
        <v>0</v>
      </c>
      <c r="L249" s="251">
        <v>0</v>
      </c>
      <c r="M249" s="251">
        <v>0</v>
      </c>
      <c r="N249" s="251">
        <v>0</v>
      </c>
      <c r="O249" s="251">
        <v>0</v>
      </c>
    </row>
    <row r="250" spans="2:15">
      <c r="B250" s="239" t="s">
        <v>211</v>
      </c>
      <c r="C250" s="239" t="s">
        <v>177</v>
      </c>
      <c r="D250" s="243" t="s">
        <v>482</v>
      </c>
      <c r="E250" s="251">
        <v>0.50957538708908734</v>
      </c>
      <c r="F250" s="251">
        <v>4.3823483289661507</v>
      </c>
      <c r="G250" s="251">
        <v>0</v>
      </c>
      <c r="H250" s="251">
        <v>0</v>
      </c>
      <c r="I250" s="251">
        <v>0</v>
      </c>
      <c r="J250" s="251">
        <v>0</v>
      </c>
      <c r="K250" s="251">
        <v>0</v>
      </c>
      <c r="L250" s="251">
        <v>0</v>
      </c>
      <c r="M250" s="251">
        <v>0</v>
      </c>
      <c r="N250" s="251">
        <v>0</v>
      </c>
      <c r="O250" s="251">
        <v>0</v>
      </c>
    </row>
    <row r="251" spans="2:15">
      <c r="B251" s="239" t="s">
        <v>211</v>
      </c>
      <c r="C251" s="239" t="s">
        <v>177</v>
      </c>
      <c r="D251" s="243" t="s">
        <v>483</v>
      </c>
      <c r="E251" s="251">
        <v>0</v>
      </c>
      <c r="F251" s="251">
        <v>0</v>
      </c>
      <c r="G251" s="251">
        <v>0</v>
      </c>
      <c r="H251" s="251">
        <v>0</v>
      </c>
      <c r="I251" s="251">
        <v>0.20715728809731579</v>
      </c>
      <c r="J251" s="251">
        <v>0</v>
      </c>
      <c r="K251" s="251">
        <v>0</v>
      </c>
      <c r="L251" s="251">
        <v>0</v>
      </c>
      <c r="M251" s="251">
        <v>0</v>
      </c>
      <c r="N251" s="251">
        <v>0</v>
      </c>
      <c r="O251" s="251">
        <v>0</v>
      </c>
    </row>
    <row r="252" spans="2:15">
      <c r="B252" s="239" t="s">
        <v>211</v>
      </c>
      <c r="C252" s="239" t="s">
        <v>177</v>
      </c>
      <c r="D252" s="243" t="s">
        <v>484</v>
      </c>
      <c r="E252" s="251">
        <v>0</v>
      </c>
      <c r="F252" s="251">
        <v>0</v>
      </c>
      <c r="G252" s="251">
        <v>0</v>
      </c>
      <c r="H252" s="251">
        <v>0</v>
      </c>
      <c r="I252" s="251">
        <v>0</v>
      </c>
      <c r="J252" s="251">
        <v>0</v>
      </c>
      <c r="K252" s="251">
        <v>0</v>
      </c>
      <c r="L252" s="251">
        <v>0</v>
      </c>
      <c r="M252" s="251">
        <v>0.25894661012164477</v>
      </c>
      <c r="N252" s="251">
        <v>0</v>
      </c>
      <c r="O252" s="251">
        <v>0</v>
      </c>
    </row>
    <row r="253" spans="2:15">
      <c r="B253" s="239" t="s">
        <v>211</v>
      </c>
      <c r="C253" s="239" t="s">
        <v>177</v>
      </c>
      <c r="D253" s="243" t="s">
        <v>485</v>
      </c>
      <c r="E253" s="251">
        <v>0</v>
      </c>
      <c r="F253" s="251">
        <v>0</v>
      </c>
      <c r="G253" s="251">
        <v>0</v>
      </c>
      <c r="H253" s="251">
        <v>0.41431457619463158</v>
      </c>
      <c r="I253" s="251">
        <v>0</v>
      </c>
      <c r="J253" s="251">
        <v>0</v>
      </c>
      <c r="K253" s="251">
        <v>0</v>
      </c>
      <c r="L253" s="251">
        <v>0</v>
      </c>
      <c r="M253" s="251">
        <v>0</v>
      </c>
      <c r="N253" s="251">
        <v>0</v>
      </c>
      <c r="O253" s="251">
        <v>0</v>
      </c>
    </row>
    <row r="254" spans="2:15">
      <c r="B254" s="239" t="s">
        <v>211</v>
      </c>
      <c r="C254" s="239" t="s">
        <v>628</v>
      </c>
      <c r="D254" s="243" t="s">
        <v>629</v>
      </c>
      <c r="E254" s="251">
        <v>0.12016388534218599</v>
      </c>
      <c r="F254" s="251">
        <v>0.12016388534218599</v>
      </c>
      <c r="G254" s="251">
        <v>0.12016388534218599</v>
      </c>
      <c r="H254" s="251">
        <v>0.12016388534218599</v>
      </c>
      <c r="I254" s="251">
        <v>0.12016388534218599</v>
      </c>
      <c r="J254" s="251">
        <v>0</v>
      </c>
      <c r="K254" s="251">
        <v>0</v>
      </c>
      <c r="L254" s="251">
        <v>0</v>
      </c>
      <c r="M254" s="251">
        <v>0</v>
      </c>
      <c r="N254" s="251">
        <v>0</v>
      </c>
      <c r="O254" s="251">
        <v>0</v>
      </c>
    </row>
    <row r="255" spans="2:15">
      <c r="B255" s="239" t="s">
        <v>211</v>
      </c>
      <c r="C255" s="239" t="s">
        <v>630</v>
      </c>
      <c r="D255" s="243" t="s">
        <v>629</v>
      </c>
      <c r="E255" s="251">
        <v>0.22983611465781398</v>
      </c>
      <c r="F255" s="251">
        <v>0.22983611465781398</v>
      </c>
      <c r="G255" s="251">
        <v>0.22983611465781398</v>
      </c>
      <c r="H255" s="251">
        <v>0.22983611465781398</v>
      </c>
      <c r="I255" s="251">
        <v>0.22983611465781398</v>
      </c>
      <c r="J255" s="251">
        <v>0</v>
      </c>
      <c r="K255" s="251">
        <v>0</v>
      </c>
      <c r="L255" s="251">
        <v>0</v>
      </c>
      <c r="M255" s="251">
        <v>0</v>
      </c>
      <c r="N255" s="251">
        <v>0</v>
      </c>
      <c r="O255" s="251">
        <v>0</v>
      </c>
    </row>
    <row r="256" spans="2:15">
      <c r="B256" s="239" t="s">
        <v>218</v>
      </c>
      <c r="C256" s="239" t="s">
        <v>4</v>
      </c>
      <c r="D256" s="243" t="s">
        <v>486</v>
      </c>
      <c r="E256" s="251">
        <v>0</v>
      </c>
      <c r="F256" s="251">
        <v>0</v>
      </c>
      <c r="G256" s="251">
        <v>0</v>
      </c>
      <c r="H256" s="251">
        <v>0</v>
      </c>
      <c r="I256" s="251">
        <v>0.33145166095570527</v>
      </c>
      <c r="J256" s="251">
        <v>0</v>
      </c>
      <c r="K256" s="251">
        <v>0</v>
      </c>
      <c r="L256" s="251">
        <v>0</v>
      </c>
      <c r="M256" s="251">
        <v>0</v>
      </c>
      <c r="N256" s="251">
        <v>0</v>
      </c>
      <c r="O256" s="251">
        <v>0</v>
      </c>
    </row>
    <row r="257" spans="2:15">
      <c r="B257" s="239" t="s">
        <v>218</v>
      </c>
      <c r="C257" s="239" t="s">
        <v>4</v>
      </c>
      <c r="D257" s="243" t="s">
        <v>487</v>
      </c>
      <c r="E257" s="251">
        <v>0</v>
      </c>
      <c r="F257" s="251">
        <v>0</v>
      </c>
      <c r="G257" s="251">
        <v>0</v>
      </c>
      <c r="H257" s="251">
        <v>0</v>
      </c>
      <c r="I257" s="251">
        <v>0</v>
      </c>
      <c r="J257" s="251">
        <v>0</v>
      </c>
      <c r="K257" s="251">
        <v>0</v>
      </c>
      <c r="L257" s="251">
        <v>0.33145166095570527</v>
      </c>
      <c r="M257" s="251">
        <v>0</v>
      </c>
      <c r="N257" s="251">
        <v>0</v>
      </c>
      <c r="O257" s="251">
        <v>0</v>
      </c>
    </row>
    <row r="258" spans="2:15">
      <c r="B258" s="239" t="s">
        <v>218</v>
      </c>
      <c r="C258" s="239" t="s">
        <v>4</v>
      </c>
      <c r="D258" s="243" t="s">
        <v>488</v>
      </c>
      <c r="E258" s="251">
        <v>0</v>
      </c>
      <c r="F258" s="251">
        <v>0</v>
      </c>
      <c r="G258" s="251">
        <v>0</v>
      </c>
      <c r="H258" s="251">
        <v>0</v>
      </c>
      <c r="I258" s="251">
        <v>0.25894661012164477</v>
      </c>
      <c r="J258" s="251">
        <v>0</v>
      </c>
      <c r="K258" s="251">
        <v>0</v>
      </c>
      <c r="L258" s="251">
        <v>0</v>
      </c>
      <c r="M258" s="251">
        <v>0</v>
      </c>
      <c r="N258" s="251">
        <v>0</v>
      </c>
      <c r="O258" s="251">
        <v>0</v>
      </c>
    </row>
    <row r="259" spans="2:15">
      <c r="B259" s="239" t="s">
        <v>218</v>
      </c>
      <c r="C259" s="239" t="s">
        <v>4</v>
      </c>
      <c r="D259" s="243" t="s">
        <v>489</v>
      </c>
      <c r="E259" s="251">
        <v>0</v>
      </c>
      <c r="F259" s="251">
        <v>0</v>
      </c>
      <c r="G259" s="251">
        <v>0</v>
      </c>
      <c r="H259" s="251">
        <v>0</v>
      </c>
      <c r="I259" s="251">
        <v>0</v>
      </c>
      <c r="J259" s="251">
        <v>0</v>
      </c>
      <c r="K259" s="251">
        <v>0</v>
      </c>
      <c r="L259" s="251">
        <v>0</v>
      </c>
      <c r="M259" s="251">
        <v>0.41431457619463158</v>
      </c>
      <c r="N259" s="251">
        <v>0</v>
      </c>
      <c r="O259" s="251">
        <v>0</v>
      </c>
    </row>
    <row r="260" spans="2:15">
      <c r="B260" s="239" t="s">
        <v>218</v>
      </c>
      <c r="C260" s="239" t="s">
        <v>4</v>
      </c>
      <c r="D260" s="243" t="s">
        <v>490</v>
      </c>
      <c r="E260" s="251">
        <v>0</v>
      </c>
      <c r="F260" s="251">
        <v>0</v>
      </c>
      <c r="G260" s="251">
        <v>0</v>
      </c>
      <c r="H260" s="251">
        <v>0</v>
      </c>
      <c r="I260" s="251">
        <v>0</v>
      </c>
      <c r="J260" s="251">
        <v>0.82862915238926316</v>
      </c>
      <c r="K260" s="251">
        <v>0</v>
      </c>
      <c r="L260" s="251">
        <v>0</v>
      </c>
      <c r="M260" s="251">
        <v>0</v>
      </c>
      <c r="N260" s="251">
        <v>0</v>
      </c>
      <c r="O260" s="251">
        <v>0</v>
      </c>
    </row>
    <row r="261" spans="2:15">
      <c r="B261" s="239" t="s">
        <v>218</v>
      </c>
      <c r="C261" s="239" t="s">
        <v>4</v>
      </c>
      <c r="D261" s="243" t="s">
        <v>491</v>
      </c>
      <c r="E261" s="251">
        <v>0</v>
      </c>
      <c r="F261" s="251">
        <v>0</v>
      </c>
      <c r="G261" s="251">
        <v>0</v>
      </c>
      <c r="H261" s="251">
        <v>0</v>
      </c>
      <c r="I261" s="251">
        <v>0.36252525417030262</v>
      </c>
      <c r="J261" s="251">
        <v>0</v>
      </c>
      <c r="K261" s="251">
        <v>0</v>
      </c>
      <c r="L261" s="251">
        <v>0</v>
      </c>
      <c r="M261" s="251">
        <v>0</v>
      </c>
      <c r="N261" s="251">
        <v>0</v>
      </c>
      <c r="O261" s="251">
        <v>0</v>
      </c>
    </row>
    <row r="262" spans="2:15">
      <c r="B262" s="239" t="s">
        <v>218</v>
      </c>
      <c r="C262" s="239" t="s">
        <v>4</v>
      </c>
      <c r="D262" s="243" t="s">
        <v>492</v>
      </c>
      <c r="E262" s="251">
        <v>0</v>
      </c>
      <c r="F262" s="251">
        <v>0</v>
      </c>
      <c r="G262" s="251">
        <v>0</v>
      </c>
      <c r="H262" s="251">
        <v>0.31073593214597373</v>
      </c>
      <c r="I262" s="251">
        <v>0</v>
      </c>
      <c r="J262" s="251">
        <v>0</v>
      </c>
      <c r="K262" s="251">
        <v>0</v>
      </c>
      <c r="L262" s="251">
        <v>0</v>
      </c>
      <c r="M262" s="251">
        <v>0</v>
      </c>
      <c r="N262" s="251">
        <v>0</v>
      </c>
      <c r="O262" s="251">
        <v>0</v>
      </c>
    </row>
    <row r="263" spans="2:15">
      <c r="B263" s="239" t="s">
        <v>218</v>
      </c>
      <c r="C263" s="239" t="s">
        <v>4</v>
      </c>
      <c r="D263" s="243" t="s">
        <v>493</v>
      </c>
      <c r="E263" s="251">
        <v>0</v>
      </c>
      <c r="F263" s="251">
        <v>0</v>
      </c>
      <c r="G263" s="251">
        <v>0</v>
      </c>
      <c r="H263" s="251">
        <v>0</v>
      </c>
      <c r="I263" s="251">
        <v>0</v>
      </c>
      <c r="J263" s="251">
        <v>0.72505050834060525</v>
      </c>
      <c r="K263" s="251">
        <v>0</v>
      </c>
      <c r="L263" s="251">
        <v>0</v>
      </c>
      <c r="M263" s="251">
        <v>0</v>
      </c>
      <c r="N263" s="251">
        <v>0</v>
      </c>
      <c r="O263" s="251">
        <v>0</v>
      </c>
    </row>
    <row r="264" spans="2:15">
      <c r="B264" s="239" t="s">
        <v>218</v>
      </c>
      <c r="C264" s="239" t="s">
        <v>4</v>
      </c>
      <c r="D264" s="243" t="s">
        <v>494</v>
      </c>
      <c r="E264" s="251">
        <v>0</v>
      </c>
      <c r="F264" s="251">
        <v>0</v>
      </c>
      <c r="G264" s="251">
        <v>0</v>
      </c>
      <c r="H264" s="251">
        <v>0</v>
      </c>
      <c r="I264" s="251">
        <v>0.15536796607298686</v>
      </c>
      <c r="J264" s="251">
        <v>0</v>
      </c>
      <c r="K264" s="251">
        <v>0</v>
      </c>
      <c r="L264" s="251">
        <v>0</v>
      </c>
      <c r="M264" s="251">
        <v>0</v>
      </c>
      <c r="N264" s="251">
        <v>0</v>
      </c>
      <c r="O264" s="251">
        <v>0</v>
      </c>
    </row>
    <row r="265" spans="2:15">
      <c r="B265" s="239" t="s">
        <v>218</v>
      </c>
      <c r="C265" s="239" t="s">
        <v>4</v>
      </c>
      <c r="D265" s="243" t="s">
        <v>495</v>
      </c>
      <c r="E265" s="251">
        <v>0</v>
      </c>
      <c r="F265" s="251">
        <v>0</v>
      </c>
      <c r="G265" s="251">
        <v>0</v>
      </c>
      <c r="H265" s="251">
        <v>0</v>
      </c>
      <c r="I265" s="251">
        <v>0</v>
      </c>
      <c r="J265" s="251">
        <v>0.18644155928758419</v>
      </c>
      <c r="K265" s="251">
        <v>0</v>
      </c>
      <c r="L265" s="251">
        <v>0</v>
      </c>
      <c r="M265" s="251">
        <v>0</v>
      </c>
      <c r="N265" s="251">
        <v>0</v>
      </c>
      <c r="O265" s="251">
        <v>0</v>
      </c>
    </row>
    <row r="266" spans="2:15">
      <c r="B266" s="239" t="s">
        <v>218</v>
      </c>
      <c r="C266" s="239" t="s">
        <v>4</v>
      </c>
      <c r="D266" s="243" t="s">
        <v>496</v>
      </c>
      <c r="E266" s="251">
        <v>0</v>
      </c>
      <c r="F266" s="251">
        <v>4.1431457619463159E-2</v>
      </c>
      <c r="G266" s="251">
        <v>0</v>
      </c>
      <c r="H266" s="251">
        <v>0</v>
      </c>
      <c r="I266" s="251">
        <v>0</v>
      </c>
      <c r="J266" s="251">
        <v>0</v>
      </c>
      <c r="K266" s="251">
        <v>0</v>
      </c>
      <c r="L266" s="251">
        <v>0</v>
      </c>
      <c r="M266" s="251">
        <v>0</v>
      </c>
      <c r="N266" s="251">
        <v>0</v>
      </c>
      <c r="O266" s="251">
        <v>0</v>
      </c>
    </row>
    <row r="267" spans="2:15">
      <c r="B267" s="239" t="s">
        <v>218</v>
      </c>
      <c r="C267" s="239" t="s">
        <v>4</v>
      </c>
      <c r="D267" s="243" t="s">
        <v>497</v>
      </c>
      <c r="E267" s="251">
        <v>0.41431457619463158</v>
      </c>
      <c r="F267" s="251">
        <v>0</v>
      </c>
      <c r="G267" s="251">
        <v>0</v>
      </c>
      <c r="H267" s="251">
        <v>0</v>
      </c>
      <c r="I267" s="251">
        <v>0</v>
      </c>
      <c r="J267" s="251">
        <v>0</v>
      </c>
      <c r="K267" s="251">
        <v>0</v>
      </c>
      <c r="L267" s="251">
        <v>0</v>
      </c>
      <c r="M267" s="251">
        <v>0</v>
      </c>
      <c r="N267" s="251">
        <v>0</v>
      </c>
      <c r="O267" s="251">
        <v>0</v>
      </c>
    </row>
    <row r="268" spans="2:15">
      <c r="B268" s="239" t="s">
        <v>218</v>
      </c>
      <c r="C268" s="239" t="s">
        <v>4</v>
      </c>
      <c r="D268" s="243" t="s">
        <v>498</v>
      </c>
      <c r="E268" s="251">
        <v>0.10357864404865789</v>
      </c>
      <c r="F268" s="251">
        <v>0</v>
      </c>
      <c r="G268" s="251">
        <v>0</v>
      </c>
      <c r="H268" s="251">
        <v>0</v>
      </c>
      <c r="I268" s="251">
        <v>0</v>
      </c>
      <c r="J268" s="251">
        <v>0</v>
      </c>
      <c r="K268" s="251">
        <v>0</v>
      </c>
      <c r="L268" s="251">
        <v>0</v>
      </c>
      <c r="M268" s="251">
        <v>0</v>
      </c>
      <c r="N268" s="251">
        <v>0</v>
      </c>
      <c r="O268" s="251">
        <v>0</v>
      </c>
    </row>
    <row r="269" spans="2:15">
      <c r="B269" s="239" t="s">
        <v>218</v>
      </c>
      <c r="C269" s="239" t="s">
        <v>264</v>
      </c>
      <c r="D269" s="243" t="s">
        <v>499</v>
      </c>
      <c r="E269" s="251">
        <v>0</v>
      </c>
      <c r="F269" s="251">
        <v>0</v>
      </c>
      <c r="G269" s="251">
        <v>0</v>
      </c>
      <c r="H269" s="251">
        <v>0</v>
      </c>
      <c r="I269" s="251">
        <v>0</v>
      </c>
      <c r="J269" s="251">
        <v>0</v>
      </c>
      <c r="K269" s="251">
        <v>4.1431457619463163</v>
      </c>
      <c r="L269" s="251">
        <v>0</v>
      </c>
      <c r="M269" s="251">
        <v>0</v>
      </c>
      <c r="N269" s="251">
        <v>0</v>
      </c>
      <c r="O269" s="251">
        <v>-4.0136724568854936</v>
      </c>
    </row>
    <row r="270" spans="2:15">
      <c r="B270" s="239" t="s">
        <v>218</v>
      </c>
      <c r="C270" s="239" t="s">
        <v>264</v>
      </c>
      <c r="D270" s="243" t="s">
        <v>500</v>
      </c>
      <c r="E270" s="251">
        <v>0</v>
      </c>
      <c r="F270" s="251">
        <v>0</v>
      </c>
      <c r="G270" s="251">
        <v>0</v>
      </c>
      <c r="H270" s="251">
        <v>0</v>
      </c>
      <c r="I270" s="251">
        <v>0</v>
      </c>
      <c r="J270" s="251">
        <v>0</v>
      </c>
      <c r="K270" s="251">
        <v>0</v>
      </c>
      <c r="L270" s="251">
        <v>4.1431457619463163</v>
      </c>
      <c r="M270" s="251">
        <v>0</v>
      </c>
      <c r="N270" s="251">
        <v>0</v>
      </c>
      <c r="O270" s="251">
        <v>-4.0136724568854936</v>
      </c>
    </row>
    <row r="271" spans="2:15">
      <c r="B271" s="239" t="s">
        <v>218</v>
      </c>
      <c r="C271" s="239" t="s">
        <v>264</v>
      </c>
      <c r="D271" s="243" t="s">
        <v>501</v>
      </c>
      <c r="E271" s="251">
        <v>0</v>
      </c>
      <c r="F271" s="251">
        <v>0</v>
      </c>
      <c r="G271" s="251">
        <v>0</v>
      </c>
      <c r="H271" s="251">
        <v>0</v>
      </c>
      <c r="I271" s="251">
        <v>0</v>
      </c>
      <c r="J271" s="251">
        <v>0</v>
      </c>
      <c r="K271" s="251">
        <v>0</v>
      </c>
      <c r="L271" s="251">
        <v>0</v>
      </c>
      <c r="M271" s="251">
        <v>5.178932202432895</v>
      </c>
      <c r="N271" s="251">
        <v>0</v>
      </c>
      <c r="O271" s="251">
        <v>-5.0170905711068672</v>
      </c>
    </row>
    <row r="272" spans="2:15">
      <c r="B272" s="239" t="s">
        <v>218</v>
      </c>
      <c r="C272" s="239" t="s">
        <v>264</v>
      </c>
      <c r="D272" s="243" t="s">
        <v>502</v>
      </c>
      <c r="E272" s="251">
        <v>0</v>
      </c>
      <c r="F272" s="251">
        <v>0</v>
      </c>
      <c r="G272" s="251">
        <v>0</v>
      </c>
      <c r="H272" s="251">
        <v>0</v>
      </c>
      <c r="I272" s="251">
        <v>0</v>
      </c>
      <c r="J272" s="251">
        <v>0</v>
      </c>
      <c r="K272" s="251">
        <v>0</v>
      </c>
      <c r="L272" s="251">
        <v>0</v>
      </c>
      <c r="M272" s="251">
        <v>0</v>
      </c>
      <c r="N272" s="251">
        <v>1.2429437285838949</v>
      </c>
      <c r="O272" s="251">
        <v>-1.2041017370656482</v>
      </c>
    </row>
    <row r="273" spans="2:15">
      <c r="B273" s="239" t="s">
        <v>218</v>
      </c>
      <c r="C273" s="239" t="s">
        <v>177</v>
      </c>
      <c r="D273" s="243" t="s">
        <v>503</v>
      </c>
      <c r="E273" s="251">
        <v>0</v>
      </c>
      <c r="F273" s="251">
        <v>0</v>
      </c>
      <c r="G273" s="251">
        <v>0.20715728809731579</v>
      </c>
      <c r="H273" s="251">
        <v>0</v>
      </c>
      <c r="I273" s="251">
        <v>0</v>
      </c>
      <c r="J273" s="251">
        <v>0</v>
      </c>
      <c r="K273" s="251">
        <v>0</v>
      </c>
      <c r="L273" s="251">
        <v>0</v>
      </c>
      <c r="M273" s="251">
        <v>0</v>
      </c>
      <c r="N273" s="251">
        <v>0</v>
      </c>
      <c r="O273" s="251">
        <v>0</v>
      </c>
    </row>
    <row r="274" spans="2:15">
      <c r="B274" s="239" t="s">
        <v>218</v>
      </c>
      <c r="C274" s="239" t="s">
        <v>177</v>
      </c>
      <c r="D274" s="243" t="s">
        <v>504</v>
      </c>
      <c r="E274" s="251">
        <v>0</v>
      </c>
      <c r="F274" s="251">
        <v>0</v>
      </c>
      <c r="G274" s="251">
        <v>0</v>
      </c>
      <c r="H274" s="251">
        <v>0</v>
      </c>
      <c r="I274" s="251">
        <v>0</v>
      </c>
      <c r="J274" s="251">
        <v>0</v>
      </c>
      <c r="K274" s="251">
        <v>0.56342229455039194</v>
      </c>
      <c r="L274" s="251">
        <v>5.133403128125793</v>
      </c>
      <c r="M274" s="251">
        <v>0</v>
      </c>
      <c r="N274" s="251">
        <v>0</v>
      </c>
      <c r="O274" s="251">
        <v>-3.2799903948741673</v>
      </c>
    </row>
    <row r="275" spans="2:15">
      <c r="B275" s="239" t="s">
        <v>218</v>
      </c>
      <c r="C275" s="239" t="s">
        <v>628</v>
      </c>
      <c r="D275" s="243" t="s">
        <v>629</v>
      </c>
      <c r="E275" s="251">
        <v>0.12016388534218599</v>
      </c>
      <c r="F275" s="251">
        <v>0.12016388534218599</v>
      </c>
      <c r="G275" s="251">
        <v>0.12016388534218599</v>
      </c>
      <c r="H275" s="251">
        <v>0.12016388534218599</v>
      </c>
      <c r="I275" s="251">
        <v>0.12016388534218599</v>
      </c>
      <c r="J275" s="251">
        <v>0</v>
      </c>
      <c r="K275" s="251">
        <v>0</v>
      </c>
      <c r="L275" s="251">
        <v>0</v>
      </c>
      <c r="M275" s="251">
        <v>0</v>
      </c>
      <c r="N275" s="251">
        <v>0</v>
      </c>
      <c r="O275" s="251">
        <v>0</v>
      </c>
    </row>
    <row r="276" spans="2:15">
      <c r="B276" s="239" t="s">
        <v>218</v>
      </c>
      <c r="C276" s="239" t="s">
        <v>630</v>
      </c>
      <c r="D276" s="243" t="s">
        <v>629</v>
      </c>
      <c r="E276" s="251">
        <v>0.22983611465781398</v>
      </c>
      <c r="F276" s="251">
        <v>0.22983611465781398</v>
      </c>
      <c r="G276" s="251">
        <v>0.22983611465781398</v>
      </c>
      <c r="H276" s="251">
        <v>0.22983611465781398</v>
      </c>
      <c r="I276" s="251">
        <v>0.22983611465781398</v>
      </c>
      <c r="J276" s="251">
        <v>0</v>
      </c>
      <c r="K276" s="251">
        <v>0</v>
      </c>
      <c r="L276" s="251">
        <v>0</v>
      </c>
      <c r="M276" s="251">
        <v>0</v>
      </c>
      <c r="N276" s="251">
        <v>0</v>
      </c>
      <c r="O276" s="251">
        <v>0</v>
      </c>
    </row>
    <row r="277" spans="2:15">
      <c r="B277" s="239" t="s">
        <v>221</v>
      </c>
      <c r="C277" s="239" t="s">
        <v>4</v>
      </c>
      <c r="D277" s="243" t="s">
        <v>505</v>
      </c>
      <c r="E277" s="251">
        <v>0</v>
      </c>
      <c r="F277" s="251">
        <v>0.62147186429194745</v>
      </c>
      <c r="G277" s="251">
        <v>0</v>
      </c>
      <c r="H277" s="251">
        <v>0</v>
      </c>
      <c r="I277" s="251">
        <v>0</v>
      </c>
      <c r="J277" s="251">
        <v>0</v>
      </c>
      <c r="K277" s="251">
        <v>0</v>
      </c>
      <c r="L277" s="251">
        <v>0</v>
      </c>
      <c r="M277" s="251">
        <v>0</v>
      </c>
      <c r="N277" s="251">
        <v>0</v>
      </c>
      <c r="O277" s="251">
        <v>0</v>
      </c>
    </row>
    <row r="278" spans="2:15">
      <c r="B278" s="239" t="s">
        <v>221</v>
      </c>
      <c r="C278" s="239" t="s">
        <v>4</v>
      </c>
      <c r="D278" s="243" t="s">
        <v>506</v>
      </c>
      <c r="E278" s="251">
        <v>0</v>
      </c>
      <c r="F278" s="251">
        <v>0</v>
      </c>
      <c r="G278" s="251">
        <v>1.6562761779984723</v>
      </c>
      <c r="H278" s="251">
        <v>0</v>
      </c>
      <c r="I278" s="251">
        <v>0</v>
      </c>
      <c r="J278" s="251">
        <v>0</v>
      </c>
      <c r="K278" s="251">
        <v>0</v>
      </c>
      <c r="L278" s="251">
        <v>0</v>
      </c>
      <c r="M278" s="251">
        <v>0</v>
      </c>
      <c r="N278" s="251">
        <v>0</v>
      </c>
      <c r="O278" s="251">
        <v>0</v>
      </c>
    </row>
    <row r="279" spans="2:15">
      <c r="B279" s="239" t="s">
        <v>221</v>
      </c>
      <c r="C279" s="239" t="s">
        <v>4</v>
      </c>
      <c r="D279" s="243" t="s">
        <v>507</v>
      </c>
      <c r="E279" s="251">
        <v>0</v>
      </c>
      <c r="F279" s="251">
        <v>0</v>
      </c>
      <c r="G279" s="251">
        <v>0</v>
      </c>
      <c r="H279" s="251">
        <v>0</v>
      </c>
      <c r="I279" s="251">
        <v>1.8012326200061619</v>
      </c>
      <c r="J279" s="251">
        <v>0</v>
      </c>
      <c r="K279" s="251">
        <v>0</v>
      </c>
      <c r="L279" s="251">
        <v>0</v>
      </c>
      <c r="M279" s="251">
        <v>0</v>
      </c>
      <c r="N279" s="251">
        <v>0</v>
      </c>
      <c r="O279" s="251">
        <v>0</v>
      </c>
    </row>
    <row r="280" spans="2:15">
      <c r="B280" s="239" t="s">
        <v>221</v>
      </c>
      <c r="C280" s="239" t="s">
        <v>4</v>
      </c>
      <c r="D280" s="243" t="s">
        <v>508</v>
      </c>
      <c r="E280" s="251">
        <v>0</v>
      </c>
      <c r="F280" s="251">
        <v>0.31073593214597373</v>
      </c>
      <c r="G280" s="251">
        <v>0</v>
      </c>
      <c r="H280" s="251">
        <v>0</v>
      </c>
      <c r="I280" s="251">
        <v>0</v>
      </c>
      <c r="J280" s="251">
        <v>0</v>
      </c>
      <c r="K280" s="251">
        <v>0</v>
      </c>
      <c r="L280" s="251">
        <v>0</v>
      </c>
      <c r="M280" s="251">
        <v>0</v>
      </c>
      <c r="N280" s="251">
        <v>0</v>
      </c>
      <c r="O280" s="251">
        <v>0</v>
      </c>
    </row>
    <row r="281" spans="2:15">
      <c r="B281" s="239" t="s">
        <v>221</v>
      </c>
      <c r="C281" s="239" t="s">
        <v>4</v>
      </c>
      <c r="D281" s="243" t="s">
        <v>509</v>
      </c>
      <c r="E281" s="251">
        <v>0</v>
      </c>
      <c r="F281" s="251">
        <v>0</v>
      </c>
      <c r="G281" s="251">
        <v>0</v>
      </c>
      <c r="H281" s="251">
        <v>1.4128127048236943</v>
      </c>
      <c r="I281" s="251">
        <v>0</v>
      </c>
      <c r="J281" s="251">
        <v>0</v>
      </c>
      <c r="K281" s="251">
        <v>0</v>
      </c>
      <c r="L281" s="251">
        <v>0</v>
      </c>
      <c r="M281" s="251">
        <v>0</v>
      </c>
      <c r="N281" s="251">
        <v>0</v>
      </c>
      <c r="O281" s="251">
        <v>0</v>
      </c>
    </row>
    <row r="282" spans="2:15">
      <c r="B282" s="239" t="s">
        <v>221</v>
      </c>
      <c r="C282" s="239" t="s">
        <v>4</v>
      </c>
      <c r="D282" s="243" t="s">
        <v>510</v>
      </c>
      <c r="E282" s="251">
        <v>0</v>
      </c>
      <c r="F282" s="251">
        <v>0</v>
      </c>
      <c r="G282" s="251">
        <v>0</v>
      </c>
      <c r="H282" s="251">
        <v>0.10357864404865789</v>
      </c>
      <c r="I282" s="251">
        <v>0</v>
      </c>
      <c r="J282" s="251">
        <v>0</v>
      </c>
      <c r="K282" s="251">
        <v>0</v>
      </c>
      <c r="L282" s="251">
        <v>0</v>
      </c>
      <c r="M282" s="251">
        <v>0</v>
      </c>
      <c r="N282" s="251">
        <v>0</v>
      </c>
      <c r="O282" s="251">
        <v>0</v>
      </c>
    </row>
    <row r="283" spans="2:15">
      <c r="B283" s="239" t="s">
        <v>221</v>
      </c>
      <c r="C283" s="239" t="s">
        <v>4</v>
      </c>
      <c r="D283" s="243" t="s">
        <v>511</v>
      </c>
      <c r="E283" s="251">
        <v>0</v>
      </c>
      <c r="F283" s="251">
        <v>0.15536796607298686</v>
      </c>
      <c r="G283" s="251">
        <v>0</v>
      </c>
      <c r="H283" s="251">
        <v>0</v>
      </c>
      <c r="I283" s="251">
        <v>0</v>
      </c>
      <c r="J283" s="251">
        <v>0</v>
      </c>
      <c r="K283" s="251">
        <v>0</v>
      </c>
      <c r="L283" s="251">
        <v>0</v>
      </c>
      <c r="M283" s="251">
        <v>0</v>
      </c>
      <c r="N283" s="251">
        <v>0</v>
      </c>
      <c r="O283" s="251">
        <v>0</v>
      </c>
    </row>
    <row r="284" spans="2:15">
      <c r="B284" s="239" t="s">
        <v>221</v>
      </c>
      <c r="C284" s="239" t="s">
        <v>4</v>
      </c>
      <c r="D284" s="243" t="s">
        <v>512</v>
      </c>
      <c r="E284" s="251">
        <v>0</v>
      </c>
      <c r="F284" s="251">
        <v>0.23823088131191314</v>
      </c>
      <c r="G284" s="251">
        <v>0</v>
      </c>
      <c r="H284" s="251">
        <v>0</v>
      </c>
      <c r="I284" s="251">
        <v>0</v>
      </c>
      <c r="J284" s="251">
        <v>0</v>
      </c>
      <c r="K284" s="251">
        <v>0</v>
      </c>
      <c r="L284" s="251">
        <v>0</v>
      </c>
      <c r="M284" s="251">
        <v>0</v>
      </c>
      <c r="N284" s="251">
        <v>0</v>
      </c>
      <c r="O284" s="251">
        <v>0</v>
      </c>
    </row>
    <row r="285" spans="2:15">
      <c r="B285" s="239" t="s">
        <v>221</v>
      </c>
      <c r="C285" s="239" t="s">
        <v>4</v>
      </c>
      <c r="D285" s="243" t="s">
        <v>513</v>
      </c>
      <c r="E285" s="251">
        <v>0</v>
      </c>
      <c r="F285" s="251">
        <v>0</v>
      </c>
      <c r="G285" s="251">
        <v>0</v>
      </c>
      <c r="H285" s="251">
        <v>0</v>
      </c>
      <c r="I285" s="251">
        <v>0</v>
      </c>
      <c r="J285" s="251">
        <v>0.21751515250218159</v>
      </c>
      <c r="K285" s="251">
        <v>0</v>
      </c>
      <c r="L285" s="251">
        <v>0</v>
      </c>
      <c r="M285" s="251">
        <v>0</v>
      </c>
      <c r="N285" s="251">
        <v>0</v>
      </c>
      <c r="O285" s="251">
        <v>0</v>
      </c>
    </row>
    <row r="286" spans="2:15">
      <c r="B286" s="239" t="s">
        <v>221</v>
      </c>
      <c r="C286" s="239" t="s">
        <v>4</v>
      </c>
      <c r="D286" s="243" t="s">
        <v>514</v>
      </c>
      <c r="E286" s="251">
        <v>0</v>
      </c>
      <c r="F286" s="251">
        <v>0</v>
      </c>
      <c r="G286" s="251">
        <v>0</v>
      </c>
      <c r="H286" s="251">
        <v>0</v>
      </c>
      <c r="I286" s="251">
        <v>0.41431457619463158</v>
      </c>
      <c r="J286" s="251">
        <v>0</v>
      </c>
      <c r="K286" s="251">
        <v>0</v>
      </c>
      <c r="L286" s="251">
        <v>0</v>
      </c>
      <c r="M286" s="251">
        <v>0</v>
      </c>
      <c r="N286" s="251">
        <v>0</v>
      </c>
      <c r="O286" s="251">
        <v>0</v>
      </c>
    </row>
    <row r="287" spans="2:15">
      <c r="B287" s="239" t="s">
        <v>221</v>
      </c>
      <c r="C287" s="239" t="s">
        <v>4</v>
      </c>
      <c r="D287" s="243" t="s">
        <v>515</v>
      </c>
      <c r="E287" s="251">
        <v>0</v>
      </c>
      <c r="F287" s="251">
        <v>0</v>
      </c>
      <c r="G287" s="251">
        <v>0</v>
      </c>
      <c r="H287" s="251">
        <v>0</v>
      </c>
      <c r="I287" s="251">
        <v>0</v>
      </c>
      <c r="J287" s="251">
        <v>0.25894661012164477</v>
      </c>
      <c r="K287" s="251">
        <v>0</v>
      </c>
      <c r="L287" s="251">
        <v>0</v>
      </c>
      <c r="M287" s="251">
        <v>0</v>
      </c>
      <c r="N287" s="251">
        <v>0</v>
      </c>
      <c r="O287" s="251">
        <v>0</v>
      </c>
    </row>
    <row r="288" spans="2:15">
      <c r="B288" s="239" t="s">
        <v>221</v>
      </c>
      <c r="C288" s="239" t="s">
        <v>4</v>
      </c>
      <c r="D288" s="243" t="s">
        <v>516</v>
      </c>
      <c r="E288" s="251">
        <v>0</v>
      </c>
      <c r="F288" s="251">
        <v>0</v>
      </c>
      <c r="G288" s="251">
        <v>0</v>
      </c>
      <c r="H288" s="251">
        <v>0</v>
      </c>
      <c r="I288" s="251">
        <v>0</v>
      </c>
      <c r="J288" s="251">
        <v>0</v>
      </c>
      <c r="K288" s="251">
        <v>0</v>
      </c>
      <c r="L288" s="251">
        <v>0</v>
      </c>
      <c r="M288" s="251">
        <v>0.31073593214597373</v>
      </c>
      <c r="N288" s="251">
        <v>0</v>
      </c>
      <c r="O288" s="251">
        <v>0</v>
      </c>
    </row>
    <row r="289" spans="2:15">
      <c r="B289" s="239" t="s">
        <v>221</v>
      </c>
      <c r="C289" s="239" t="s">
        <v>4</v>
      </c>
      <c r="D289" s="243" t="s">
        <v>517</v>
      </c>
      <c r="E289" s="251">
        <v>0.20715728809731579</v>
      </c>
      <c r="F289" s="251">
        <v>0</v>
      </c>
      <c r="G289" s="251">
        <v>0</v>
      </c>
      <c r="H289" s="251">
        <v>0</v>
      </c>
      <c r="I289" s="251">
        <v>0</v>
      </c>
      <c r="J289" s="251">
        <v>0</v>
      </c>
      <c r="K289" s="251">
        <v>0</v>
      </c>
      <c r="L289" s="251">
        <v>0</v>
      </c>
      <c r="M289" s="251">
        <v>0</v>
      </c>
      <c r="N289" s="251">
        <v>0</v>
      </c>
      <c r="O289" s="251">
        <v>0</v>
      </c>
    </row>
    <row r="290" spans="2:15">
      <c r="B290" s="239" t="s">
        <v>221</v>
      </c>
      <c r="C290" s="239" t="s">
        <v>4</v>
      </c>
      <c r="D290" s="243" t="s">
        <v>518</v>
      </c>
      <c r="E290" s="251">
        <v>0</v>
      </c>
      <c r="F290" s="251">
        <v>9.3220779643792093E-2</v>
      </c>
      <c r="G290" s="251">
        <v>0</v>
      </c>
      <c r="H290" s="251">
        <v>0</v>
      </c>
      <c r="I290" s="251">
        <v>0</v>
      </c>
      <c r="J290" s="251">
        <v>0</v>
      </c>
      <c r="K290" s="251">
        <v>0</v>
      </c>
      <c r="L290" s="251">
        <v>0</v>
      </c>
      <c r="M290" s="251">
        <v>0</v>
      </c>
      <c r="N290" s="251">
        <v>0</v>
      </c>
      <c r="O290" s="251">
        <v>0</v>
      </c>
    </row>
    <row r="291" spans="2:15">
      <c r="B291" s="239" t="s">
        <v>221</v>
      </c>
      <c r="C291" s="239" t="s">
        <v>4</v>
      </c>
      <c r="D291" s="243" t="s">
        <v>519</v>
      </c>
      <c r="E291" s="251">
        <v>0</v>
      </c>
      <c r="F291" s="251">
        <v>0.20715728809731579</v>
      </c>
      <c r="G291" s="251">
        <v>0</v>
      </c>
      <c r="H291" s="251">
        <v>0</v>
      </c>
      <c r="I291" s="251">
        <v>0</v>
      </c>
      <c r="J291" s="251">
        <v>0</v>
      </c>
      <c r="K291" s="251">
        <v>0</v>
      </c>
      <c r="L291" s="251">
        <v>0</v>
      </c>
      <c r="M291" s="251">
        <v>0</v>
      </c>
      <c r="N291" s="251">
        <v>0</v>
      </c>
      <c r="O291" s="251">
        <v>0</v>
      </c>
    </row>
    <row r="292" spans="2:15">
      <c r="B292" s="239" t="s">
        <v>221</v>
      </c>
      <c r="C292" s="239" t="s">
        <v>4</v>
      </c>
      <c r="D292" s="243" t="s">
        <v>520</v>
      </c>
      <c r="E292" s="251">
        <v>0</v>
      </c>
      <c r="F292" s="251">
        <v>0.15536796607298686</v>
      </c>
      <c r="G292" s="251">
        <v>0</v>
      </c>
      <c r="H292" s="251">
        <v>0</v>
      </c>
      <c r="I292" s="251">
        <v>0</v>
      </c>
      <c r="J292" s="251">
        <v>0</v>
      </c>
      <c r="K292" s="251">
        <v>0</v>
      </c>
      <c r="L292" s="251">
        <v>0</v>
      </c>
      <c r="M292" s="251">
        <v>0</v>
      </c>
      <c r="N292" s="251">
        <v>0</v>
      </c>
      <c r="O292" s="251">
        <v>0</v>
      </c>
    </row>
    <row r="293" spans="2:15">
      <c r="B293" s="239" t="s">
        <v>221</v>
      </c>
      <c r="C293" s="239" t="s">
        <v>4</v>
      </c>
      <c r="D293" s="243" t="s">
        <v>521</v>
      </c>
      <c r="E293" s="251">
        <v>0</v>
      </c>
      <c r="F293" s="251">
        <v>0</v>
      </c>
      <c r="G293" s="251">
        <v>0</v>
      </c>
      <c r="H293" s="251">
        <v>0</v>
      </c>
      <c r="I293" s="251">
        <v>0</v>
      </c>
      <c r="J293" s="251">
        <v>0</v>
      </c>
      <c r="K293" s="251">
        <v>0</v>
      </c>
      <c r="L293" s="251">
        <v>0</v>
      </c>
      <c r="M293" s="251">
        <v>0.72505050834060525</v>
      </c>
      <c r="N293" s="251">
        <v>0</v>
      </c>
      <c r="O293" s="251">
        <v>0</v>
      </c>
    </row>
    <row r="294" spans="2:15">
      <c r="B294" s="239" t="s">
        <v>221</v>
      </c>
      <c r="C294" s="239" t="s">
        <v>4</v>
      </c>
      <c r="D294" s="243" t="s">
        <v>522</v>
      </c>
      <c r="E294" s="251">
        <v>0</v>
      </c>
      <c r="F294" s="251">
        <v>0</v>
      </c>
      <c r="G294" s="251">
        <v>0</v>
      </c>
      <c r="H294" s="251">
        <v>0</v>
      </c>
      <c r="I294" s="251">
        <v>1.0622868098026086</v>
      </c>
      <c r="J294" s="251">
        <v>0</v>
      </c>
      <c r="K294" s="251">
        <v>0</v>
      </c>
      <c r="L294" s="251">
        <v>0</v>
      </c>
      <c r="M294" s="251">
        <v>0</v>
      </c>
      <c r="N294" s="251">
        <v>0</v>
      </c>
      <c r="O294" s="251">
        <v>0</v>
      </c>
    </row>
    <row r="295" spans="2:15">
      <c r="B295" s="239" t="s">
        <v>221</v>
      </c>
      <c r="C295" s="239" t="s">
        <v>4</v>
      </c>
      <c r="D295" s="243" t="s">
        <v>523</v>
      </c>
      <c r="E295" s="251">
        <v>0</v>
      </c>
      <c r="F295" s="251">
        <v>0</v>
      </c>
      <c r="G295" s="251">
        <v>0</v>
      </c>
      <c r="H295" s="251">
        <v>0</v>
      </c>
      <c r="I295" s="251">
        <v>1.0622868098026086</v>
      </c>
      <c r="J295" s="251">
        <v>0</v>
      </c>
      <c r="K295" s="251">
        <v>0</v>
      </c>
      <c r="L295" s="251">
        <v>0</v>
      </c>
      <c r="M295" s="251">
        <v>0</v>
      </c>
      <c r="N295" s="251">
        <v>0</v>
      </c>
      <c r="O295" s="251">
        <v>0</v>
      </c>
    </row>
    <row r="296" spans="2:15">
      <c r="B296" s="239" t="s">
        <v>221</v>
      </c>
      <c r="C296" s="239" t="s">
        <v>4</v>
      </c>
      <c r="D296" s="243" t="s">
        <v>524</v>
      </c>
      <c r="E296" s="251">
        <v>0</v>
      </c>
      <c r="F296" s="251">
        <v>0</v>
      </c>
      <c r="G296" s="251">
        <v>0</v>
      </c>
      <c r="H296" s="251">
        <v>0.25894661012164477</v>
      </c>
      <c r="I296" s="251">
        <v>0</v>
      </c>
      <c r="J296" s="251">
        <v>0</v>
      </c>
      <c r="K296" s="251">
        <v>0</v>
      </c>
      <c r="L296" s="251">
        <v>0</v>
      </c>
      <c r="M296" s="251">
        <v>0</v>
      </c>
      <c r="N296" s="251">
        <v>0</v>
      </c>
      <c r="O296" s="251">
        <v>0</v>
      </c>
    </row>
    <row r="297" spans="2:15">
      <c r="B297" s="239" t="s">
        <v>221</v>
      </c>
      <c r="C297" s="239" t="s">
        <v>4</v>
      </c>
      <c r="D297" s="243" t="s">
        <v>525</v>
      </c>
      <c r="E297" s="251">
        <v>0</v>
      </c>
      <c r="F297" s="251">
        <v>0</v>
      </c>
      <c r="G297" s="251">
        <v>0</v>
      </c>
      <c r="H297" s="251">
        <v>0</v>
      </c>
      <c r="I297" s="251">
        <v>0.20715728809731579</v>
      </c>
      <c r="J297" s="251">
        <v>0</v>
      </c>
      <c r="K297" s="251">
        <v>0</v>
      </c>
      <c r="L297" s="251">
        <v>0</v>
      </c>
      <c r="M297" s="251">
        <v>0</v>
      </c>
      <c r="N297" s="251">
        <v>0</v>
      </c>
      <c r="O297" s="251">
        <v>0</v>
      </c>
    </row>
    <row r="298" spans="2:15">
      <c r="B298" s="239" t="s">
        <v>221</v>
      </c>
      <c r="C298" s="239" t="s">
        <v>4</v>
      </c>
      <c r="D298" s="243" t="s">
        <v>526</v>
      </c>
      <c r="E298" s="251">
        <v>0</v>
      </c>
      <c r="F298" s="251">
        <v>0</v>
      </c>
      <c r="G298" s="251">
        <v>0</v>
      </c>
      <c r="H298" s="251">
        <v>0</v>
      </c>
      <c r="I298" s="251">
        <v>0</v>
      </c>
      <c r="J298" s="251">
        <v>0.40395671178976578</v>
      </c>
      <c r="K298" s="251">
        <v>0</v>
      </c>
      <c r="L298" s="251">
        <v>0</v>
      </c>
      <c r="M298" s="251">
        <v>0</v>
      </c>
      <c r="N298" s="251">
        <v>0</v>
      </c>
      <c r="O298" s="251">
        <v>0</v>
      </c>
    </row>
    <row r="299" spans="2:15">
      <c r="B299" s="239" t="s">
        <v>221</v>
      </c>
      <c r="C299" s="239" t="s">
        <v>4</v>
      </c>
      <c r="D299" s="243" t="s">
        <v>527</v>
      </c>
      <c r="E299" s="251">
        <v>0</v>
      </c>
      <c r="F299" s="251">
        <v>0</v>
      </c>
      <c r="G299" s="251">
        <v>0</v>
      </c>
      <c r="H299" s="251">
        <v>0</v>
      </c>
      <c r="I299" s="251">
        <v>0</v>
      </c>
      <c r="J299" s="251">
        <v>0</v>
      </c>
      <c r="K299" s="251">
        <v>0</v>
      </c>
      <c r="L299" s="251">
        <v>0</v>
      </c>
      <c r="M299" s="251">
        <v>0.18644155928758419</v>
      </c>
      <c r="N299" s="251">
        <v>0</v>
      </c>
      <c r="O299" s="251">
        <v>0</v>
      </c>
    </row>
    <row r="300" spans="2:15">
      <c r="B300" s="239" t="s">
        <v>221</v>
      </c>
      <c r="C300" s="239" t="s">
        <v>4</v>
      </c>
      <c r="D300" s="243" t="s">
        <v>528</v>
      </c>
      <c r="E300" s="251">
        <v>0</v>
      </c>
      <c r="F300" s="251">
        <v>0</v>
      </c>
      <c r="G300" s="251">
        <v>0</v>
      </c>
      <c r="H300" s="251">
        <v>0.67326118631627641</v>
      </c>
      <c r="I300" s="251">
        <v>0</v>
      </c>
      <c r="J300" s="251">
        <v>0</v>
      </c>
      <c r="K300" s="251">
        <v>0</v>
      </c>
      <c r="L300" s="251">
        <v>0</v>
      </c>
      <c r="M300" s="251">
        <v>0</v>
      </c>
      <c r="N300" s="251">
        <v>0</v>
      </c>
      <c r="O300" s="251">
        <v>0</v>
      </c>
    </row>
    <row r="301" spans="2:15">
      <c r="B301" s="239" t="s">
        <v>221</v>
      </c>
      <c r="C301" s="239" t="s">
        <v>4</v>
      </c>
      <c r="D301" s="243" t="s">
        <v>529</v>
      </c>
      <c r="E301" s="251">
        <v>0</v>
      </c>
      <c r="F301" s="251">
        <v>0</v>
      </c>
      <c r="G301" s="251">
        <v>0</v>
      </c>
      <c r="H301" s="251">
        <v>0</v>
      </c>
      <c r="I301" s="251">
        <v>0</v>
      </c>
      <c r="J301" s="251">
        <v>0.22787301690704737</v>
      </c>
      <c r="K301" s="251">
        <v>0</v>
      </c>
      <c r="L301" s="251">
        <v>0</v>
      </c>
      <c r="M301" s="251">
        <v>0</v>
      </c>
      <c r="N301" s="251">
        <v>0</v>
      </c>
      <c r="O301" s="251">
        <v>0</v>
      </c>
    </row>
    <row r="302" spans="2:15">
      <c r="B302" s="239" t="s">
        <v>221</v>
      </c>
      <c r="C302" s="239" t="s">
        <v>4</v>
      </c>
      <c r="D302" s="243" t="s">
        <v>530</v>
      </c>
      <c r="E302" s="251">
        <v>0</v>
      </c>
      <c r="F302" s="251">
        <v>0</v>
      </c>
      <c r="G302" s="251">
        <v>0</v>
      </c>
      <c r="H302" s="251">
        <v>0.62147186429194745</v>
      </c>
      <c r="I302" s="251">
        <v>0</v>
      </c>
      <c r="J302" s="251">
        <v>0</v>
      </c>
      <c r="K302" s="251">
        <v>0</v>
      </c>
      <c r="L302" s="251">
        <v>0</v>
      </c>
      <c r="M302" s="251">
        <v>0</v>
      </c>
      <c r="N302" s="251">
        <v>0</v>
      </c>
      <c r="O302" s="251">
        <v>0</v>
      </c>
    </row>
    <row r="303" spans="2:15">
      <c r="B303" s="239" t="s">
        <v>221</v>
      </c>
      <c r="C303" s="239" t="s">
        <v>4</v>
      </c>
      <c r="D303" s="243" t="s">
        <v>531</v>
      </c>
      <c r="E303" s="251">
        <v>0</v>
      </c>
      <c r="F303" s="251">
        <v>0</v>
      </c>
      <c r="G303" s="251">
        <v>0</v>
      </c>
      <c r="H303" s="251">
        <v>1.1580092404639959</v>
      </c>
      <c r="I303" s="251">
        <v>0</v>
      </c>
      <c r="J303" s="251">
        <v>0</v>
      </c>
      <c r="K303" s="251">
        <v>0</v>
      </c>
      <c r="L303" s="251">
        <v>0</v>
      </c>
      <c r="M303" s="251">
        <v>0</v>
      </c>
      <c r="N303" s="251">
        <v>0</v>
      </c>
      <c r="O303" s="251">
        <v>0</v>
      </c>
    </row>
    <row r="304" spans="2:15">
      <c r="B304" s="239" t="s">
        <v>221</v>
      </c>
      <c r="C304" s="239" t="s">
        <v>4</v>
      </c>
      <c r="D304" s="243" t="s">
        <v>532</v>
      </c>
      <c r="E304" s="251">
        <v>0</v>
      </c>
      <c r="F304" s="251">
        <v>0</v>
      </c>
      <c r="G304" s="251">
        <v>0</v>
      </c>
      <c r="H304" s="251">
        <v>0</v>
      </c>
      <c r="I304" s="251">
        <v>0.62147186429194745</v>
      </c>
      <c r="J304" s="251">
        <v>0</v>
      </c>
      <c r="K304" s="251">
        <v>0</v>
      </c>
      <c r="L304" s="251">
        <v>0</v>
      </c>
      <c r="M304" s="251">
        <v>0</v>
      </c>
      <c r="N304" s="251">
        <v>0</v>
      </c>
      <c r="O304" s="251">
        <v>0</v>
      </c>
    </row>
    <row r="305" spans="2:15">
      <c r="B305" s="239" t="s">
        <v>221</v>
      </c>
      <c r="C305" s="239" t="s">
        <v>4</v>
      </c>
      <c r="D305" s="243" t="s">
        <v>533</v>
      </c>
      <c r="E305" s="251">
        <v>0</v>
      </c>
      <c r="F305" s="251">
        <v>0</v>
      </c>
      <c r="G305" s="251">
        <v>0</v>
      </c>
      <c r="H305" s="251">
        <v>0</v>
      </c>
      <c r="I305" s="251">
        <v>0</v>
      </c>
      <c r="J305" s="251">
        <v>0</v>
      </c>
      <c r="K305" s="251">
        <v>0</v>
      </c>
      <c r="L305" s="251">
        <v>0</v>
      </c>
      <c r="M305" s="251">
        <v>0.62147186429194745</v>
      </c>
      <c r="N305" s="251">
        <v>0</v>
      </c>
      <c r="O305" s="251">
        <v>0</v>
      </c>
    </row>
    <row r="306" spans="2:15">
      <c r="B306" s="239" t="s">
        <v>221</v>
      </c>
      <c r="C306" s="239" t="s">
        <v>4</v>
      </c>
      <c r="D306" s="243" t="s">
        <v>534</v>
      </c>
      <c r="E306" s="251">
        <v>0</v>
      </c>
      <c r="F306" s="251">
        <v>0</v>
      </c>
      <c r="G306" s="251">
        <v>0</v>
      </c>
      <c r="H306" s="251">
        <v>0.11393650845352368</v>
      </c>
      <c r="I306" s="251">
        <v>0</v>
      </c>
      <c r="J306" s="251">
        <v>0</v>
      </c>
      <c r="K306" s="251">
        <v>0</v>
      </c>
      <c r="L306" s="251">
        <v>0</v>
      </c>
      <c r="M306" s="251">
        <v>0</v>
      </c>
      <c r="N306" s="251">
        <v>0</v>
      </c>
      <c r="O306" s="251">
        <v>0</v>
      </c>
    </row>
    <row r="307" spans="2:15">
      <c r="B307" s="239" t="s">
        <v>221</v>
      </c>
      <c r="C307" s="239" t="s">
        <v>264</v>
      </c>
      <c r="D307" s="243" t="s">
        <v>535</v>
      </c>
      <c r="E307" s="251">
        <v>0</v>
      </c>
      <c r="F307" s="251">
        <v>0</v>
      </c>
      <c r="G307" s="251">
        <v>0</v>
      </c>
      <c r="H307" s="251">
        <v>0</v>
      </c>
      <c r="I307" s="251">
        <v>0</v>
      </c>
      <c r="J307" s="251">
        <v>4.3503030500436317</v>
      </c>
      <c r="K307" s="251">
        <v>0</v>
      </c>
      <c r="L307" s="251">
        <v>0</v>
      </c>
      <c r="M307" s="251">
        <v>0</v>
      </c>
      <c r="N307" s="251">
        <v>0</v>
      </c>
      <c r="O307" s="251">
        <v>-2.6365473030567461</v>
      </c>
    </row>
    <row r="308" spans="2:15">
      <c r="B308" s="239" t="s">
        <v>221</v>
      </c>
      <c r="C308" s="239" t="s">
        <v>264</v>
      </c>
      <c r="D308" s="243" t="s">
        <v>536</v>
      </c>
      <c r="E308" s="251">
        <v>0</v>
      </c>
      <c r="F308" s="251">
        <v>0</v>
      </c>
      <c r="G308" s="251">
        <v>0</v>
      </c>
      <c r="H308" s="251">
        <v>0</v>
      </c>
      <c r="I308" s="251">
        <v>0</v>
      </c>
      <c r="J308" s="251">
        <v>9.3220779643792078</v>
      </c>
      <c r="K308" s="251">
        <v>0</v>
      </c>
      <c r="L308" s="251">
        <v>0</v>
      </c>
      <c r="M308" s="251">
        <v>0</v>
      </c>
      <c r="N308" s="251">
        <v>0</v>
      </c>
      <c r="O308" s="251">
        <v>-8.7215210185970857</v>
      </c>
    </row>
    <row r="309" spans="2:15">
      <c r="B309" s="239" t="s">
        <v>221</v>
      </c>
      <c r="C309" s="239" t="s">
        <v>177</v>
      </c>
      <c r="D309" s="243" t="s">
        <v>537</v>
      </c>
      <c r="E309" s="251">
        <v>5.4875192083767814</v>
      </c>
      <c r="F309" s="251">
        <v>0</v>
      </c>
      <c r="G309" s="251">
        <v>0</v>
      </c>
      <c r="H309" s="251">
        <v>0</v>
      </c>
      <c r="I309" s="251">
        <v>0</v>
      </c>
      <c r="J309" s="251">
        <v>0</v>
      </c>
      <c r="K309" s="251">
        <v>0</v>
      </c>
      <c r="L309" s="251">
        <v>0</v>
      </c>
      <c r="M309" s="251">
        <v>0</v>
      </c>
      <c r="N309" s="251">
        <v>0</v>
      </c>
      <c r="O309" s="251">
        <v>0</v>
      </c>
    </row>
    <row r="310" spans="2:15">
      <c r="B310" s="239" t="s">
        <v>221</v>
      </c>
      <c r="C310" s="239" t="s">
        <v>177</v>
      </c>
      <c r="D310" s="243" t="s">
        <v>538</v>
      </c>
      <c r="E310" s="251">
        <v>0</v>
      </c>
      <c r="F310" s="251">
        <v>0</v>
      </c>
      <c r="G310" s="251">
        <v>0</v>
      </c>
      <c r="H310" s="251">
        <v>0</v>
      </c>
      <c r="I310" s="251">
        <v>1.6572583047785263</v>
      </c>
      <c r="J310" s="251">
        <v>0</v>
      </c>
      <c r="K310" s="251">
        <v>0</v>
      </c>
      <c r="L310" s="251">
        <v>0</v>
      </c>
      <c r="M310" s="251">
        <v>0</v>
      </c>
      <c r="N310" s="251">
        <v>0</v>
      </c>
      <c r="O310" s="251">
        <v>0</v>
      </c>
    </row>
    <row r="311" spans="2:15">
      <c r="B311" s="239" t="s">
        <v>221</v>
      </c>
      <c r="C311" s="239" t="s">
        <v>177</v>
      </c>
      <c r="D311" s="243" t="s">
        <v>539</v>
      </c>
      <c r="E311" s="251">
        <v>0</v>
      </c>
      <c r="F311" s="251">
        <v>0</v>
      </c>
      <c r="G311" s="251">
        <v>0</v>
      </c>
      <c r="H311" s="251">
        <v>0</v>
      </c>
      <c r="I311" s="251">
        <v>0</v>
      </c>
      <c r="J311" s="251">
        <v>0.46034952910514626</v>
      </c>
      <c r="K311" s="251">
        <v>3.6827962328411701</v>
      </c>
      <c r="L311" s="251">
        <v>0</v>
      </c>
      <c r="M311" s="251">
        <v>0</v>
      </c>
      <c r="N311" s="251">
        <v>0</v>
      </c>
      <c r="O311" s="251">
        <v>0</v>
      </c>
    </row>
    <row r="312" spans="2:15">
      <c r="B312" s="239" t="s">
        <v>221</v>
      </c>
      <c r="C312" s="239" t="s">
        <v>177</v>
      </c>
      <c r="D312" s="243" t="s">
        <v>540</v>
      </c>
      <c r="E312" s="251">
        <v>0</v>
      </c>
      <c r="F312" s="251">
        <v>0</v>
      </c>
      <c r="G312" s="251">
        <v>0</v>
      </c>
      <c r="H312" s="251">
        <v>0</v>
      </c>
      <c r="I312" s="251">
        <v>1.0357864404865789</v>
      </c>
      <c r="J312" s="251">
        <v>6.2147186429194736</v>
      </c>
      <c r="K312" s="251">
        <v>0</v>
      </c>
      <c r="L312" s="251">
        <v>0</v>
      </c>
      <c r="M312" s="251">
        <v>0</v>
      </c>
      <c r="N312" s="251">
        <v>0</v>
      </c>
      <c r="O312" s="251">
        <v>-5.4928068813682209</v>
      </c>
    </row>
    <row r="313" spans="2:15">
      <c r="B313" s="239" t="s">
        <v>221</v>
      </c>
      <c r="C313" s="239" t="s">
        <v>177</v>
      </c>
      <c r="D313" s="243" t="s">
        <v>541</v>
      </c>
      <c r="E313" s="251">
        <v>0</v>
      </c>
      <c r="F313" s="251">
        <v>0</v>
      </c>
      <c r="G313" s="251">
        <v>0</v>
      </c>
      <c r="H313" s="251">
        <v>0</v>
      </c>
      <c r="I313" s="251">
        <v>0</v>
      </c>
      <c r="J313" s="251">
        <v>0</v>
      </c>
      <c r="K313" s="251">
        <v>0</v>
      </c>
      <c r="L313" s="251">
        <v>6.2147186429194736</v>
      </c>
      <c r="M313" s="251">
        <v>0</v>
      </c>
      <c r="N313" s="251">
        <v>0</v>
      </c>
      <c r="O313" s="251">
        <v>-5.5241943492617542</v>
      </c>
    </row>
    <row r="314" spans="2:15">
      <c r="B314" s="239" t="s">
        <v>221</v>
      </c>
      <c r="C314" s="239" t="s">
        <v>177</v>
      </c>
      <c r="D314" s="243" t="s">
        <v>542</v>
      </c>
      <c r="E314" s="251">
        <v>0</v>
      </c>
      <c r="F314" s="251">
        <v>0</v>
      </c>
      <c r="G314" s="251">
        <v>0</v>
      </c>
      <c r="H314" s="251">
        <v>0</v>
      </c>
      <c r="I314" s="251">
        <v>0</v>
      </c>
      <c r="J314" s="251">
        <v>0</v>
      </c>
      <c r="K314" s="251">
        <v>0</v>
      </c>
      <c r="L314" s="251">
        <v>0.33898465325015315</v>
      </c>
      <c r="M314" s="251">
        <v>2.1469028039176363</v>
      </c>
      <c r="N314" s="251">
        <v>0</v>
      </c>
      <c r="O314" s="251">
        <v>-1.8357322760623676</v>
      </c>
    </row>
    <row r="315" spans="2:15">
      <c r="B315" s="239" t="s">
        <v>221</v>
      </c>
      <c r="C315" s="239" t="s">
        <v>177</v>
      </c>
      <c r="D315" s="243" t="s">
        <v>543</v>
      </c>
      <c r="E315" s="251">
        <v>0</v>
      </c>
      <c r="F315" s="251">
        <v>0</v>
      </c>
      <c r="G315" s="251">
        <v>0</v>
      </c>
      <c r="H315" s="251">
        <v>0</v>
      </c>
      <c r="I315" s="251">
        <v>0</v>
      </c>
      <c r="J315" s="251">
        <v>0</v>
      </c>
      <c r="K315" s="251">
        <v>0</v>
      </c>
      <c r="L315" s="251">
        <v>0</v>
      </c>
      <c r="M315" s="251">
        <v>1.0357864404865791</v>
      </c>
      <c r="N315" s="251">
        <v>0</v>
      </c>
      <c r="O315" s="251">
        <v>0</v>
      </c>
    </row>
    <row r="316" spans="2:15">
      <c r="B316" s="239" t="s">
        <v>221</v>
      </c>
      <c r="C316" s="239" t="s">
        <v>628</v>
      </c>
      <c r="D316" s="243" t="s">
        <v>629</v>
      </c>
      <c r="E316" s="251">
        <v>0.12016388534218599</v>
      </c>
      <c r="F316" s="251">
        <v>0.12016388534218599</v>
      </c>
      <c r="G316" s="251">
        <v>0.12016388534218599</v>
      </c>
      <c r="H316" s="251">
        <v>0.12016388534218599</v>
      </c>
      <c r="I316" s="251">
        <v>0.12016388534218599</v>
      </c>
      <c r="J316" s="251">
        <v>0</v>
      </c>
      <c r="K316" s="251">
        <v>0</v>
      </c>
      <c r="L316" s="251">
        <v>0</v>
      </c>
      <c r="M316" s="251">
        <v>0</v>
      </c>
      <c r="N316" s="251">
        <v>0</v>
      </c>
      <c r="O316" s="251">
        <v>0</v>
      </c>
    </row>
    <row r="317" spans="2:15">
      <c r="B317" s="239" t="s">
        <v>221</v>
      </c>
      <c r="C317" s="239" t="s">
        <v>630</v>
      </c>
      <c r="D317" s="243" t="s">
        <v>629</v>
      </c>
      <c r="E317" s="251">
        <v>0.22983611465781398</v>
      </c>
      <c r="F317" s="251">
        <v>0.22983611465781398</v>
      </c>
      <c r="G317" s="251">
        <v>0.22983611465781398</v>
      </c>
      <c r="H317" s="251">
        <v>0.22983611465781398</v>
      </c>
      <c r="I317" s="251">
        <v>0.22983611465781398</v>
      </c>
      <c r="J317" s="251">
        <v>0</v>
      </c>
      <c r="K317" s="251">
        <v>0</v>
      </c>
      <c r="L317" s="251">
        <v>0</v>
      </c>
      <c r="M317" s="251">
        <v>0</v>
      </c>
      <c r="N317" s="251">
        <v>0</v>
      </c>
      <c r="O317" s="251">
        <v>0</v>
      </c>
    </row>
    <row r="318" spans="2:15">
      <c r="B318" s="239" t="s">
        <v>228</v>
      </c>
      <c r="C318" s="239" t="s">
        <v>4</v>
      </c>
      <c r="D318" s="243" t="s">
        <v>544</v>
      </c>
      <c r="E318" s="251">
        <v>0.18644155928758419</v>
      </c>
      <c r="F318" s="251">
        <v>0</v>
      </c>
      <c r="G318" s="251">
        <v>0</v>
      </c>
      <c r="H318" s="251">
        <v>0</v>
      </c>
      <c r="I318" s="251">
        <v>0</v>
      </c>
      <c r="J318" s="251">
        <v>0</v>
      </c>
      <c r="K318" s="251">
        <v>0</v>
      </c>
      <c r="L318" s="251">
        <v>0</v>
      </c>
      <c r="M318" s="251">
        <v>0</v>
      </c>
      <c r="N318" s="251">
        <v>0</v>
      </c>
      <c r="O318" s="251">
        <v>0</v>
      </c>
    </row>
    <row r="319" spans="2:15">
      <c r="B319" s="239" t="s">
        <v>228</v>
      </c>
      <c r="C319" s="239" t="s">
        <v>4</v>
      </c>
      <c r="D319" s="243" t="s">
        <v>545</v>
      </c>
      <c r="E319" s="251">
        <v>0</v>
      </c>
      <c r="F319" s="251">
        <v>0</v>
      </c>
      <c r="G319" s="251">
        <v>0</v>
      </c>
      <c r="H319" s="251">
        <v>0</v>
      </c>
      <c r="I319" s="251">
        <v>0</v>
      </c>
      <c r="J319" s="251">
        <v>0</v>
      </c>
      <c r="K319" s="251">
        <v>0</v>
      </c>
      <c r="L319" s="251">
        <v>0.18644155928758419</v>
      </c>
      <c r="M319" s="251">
        <v>0</v>
      </c>
      <c r="N319" s="251">
        <v>0</v>
      </c>
      <c r="O319" s="251">
        <v>0</v>
      </c>
    </row>
    <row r="320" spans="2:15">
      <c r="B320" s="239" t="s">
        <v>228</v>
      </c>
      <c r="C320" s="239" t="s">
        <v>4</v>
      </c>
      <c r="D320" s="243" t="s">
        <v>546</v>
      </c>
      <c r="E320" s="251">
        <v>0</v>
      </c>
      <c r="F320" s="251">
        <v>0</v>
      </c>
      <c r="G320" s="251">
        <v>0</v>
      </c>
      <c r="H320" s="251">
        <v>8.2862915238926318E-2</v>
      </c>
      <c r="I320" s="251">
        <v>0</v>
      </c>
      <c r="J320" s="251">
        <v>0</v>
      </c>
      <c r="K320" s="251">
        <v>0</v>
      </c>
      <c r="L320" s="251">
        <v>0</v>
      </c>
      <c r="M320" s="251">
        <v>0</v>
      </c>
      <c r="N320" s="251">
        <v>0</v>
      </c>
      <c r="O320" s="251">
        <v>0</v>
      </c>
    </row>
    <row r="321" spans="2:15">
      <c r="B321" s="239" t="s">
        <v>228</v>
      </c>
      <c r="C321" s="239" t="s">
        <v>4</v>
      </c>
      <c r="D321" s="243" t="s">
        <v>547</v>
      </c>
      <c r="E321" s="251">
        <v>0</v>
      </c>
      <c r="F321" s="251">
        <v>0</v>
      </c>
      <c r="G321" s="251">
        <v>0</v>
      </c>
      <c r="H321" s="251">
        <v>0</v>
      </c>
      <c r="I321" s="251">
        <v>0</v>
      </c>
      <c r="J321" s="251">
        <v>0</v>
      </c>
      <c r="K321" s="251">
        <v>0.22372987114510107</v>
      </c>
      <c r="L321" s="251">
        <v>0</v>
      </c>
      <c r="M321" s="251">
        <v>0</v>
      </c>
      <c r="N321" s="251">
        <v>0</v>
      </c>
      <c r="O321" s="251">
        <v>0</v>
      </c>
    </row>
    <row r="322" spans="2:15">
      <c r="B322" s="239" t="s">
        <v>228</v>
      </c>
      <c r="C322" s="239" t="s">
        <v>4</v>
      </c>
      <c r="D322" s="243" t="s">
        <v>548</v>
      </c>
      <c r="E322" s="251">
        <v>0</v>
      </c>
      <c r="F322" s="251">
        <v>0</v>
      </c>
      <c r="G322" s="251">
        <v>0</v>
      </c>
      <c r="H322" s="251">
        <v>0</v>
      </c>
      <c r="I322" s="251">
        <v>0</v>
      </c>
      <c r="J322" s="251">
        <v>0</v>
      </c>
      <c r="K322" s="251">
        <v>0</v>
      </c>
      <c r="L322" s="251">
        <v>0</v>
      </c>
      <c r="M322" s="251">
        <v>0.10357864404865789</v>
      </c>
      <c r="N322" s="251">
        <v>0</v>
      </c>
      <c r="O322" s="251">
        <v>0</v>
      </c>
    </row>
    <row r="323" spans="2:15">
      <c r="B323" s="239" t="s">
        <v>228</v>
      </c>
      <c r="C323" s="239" t="s">
        <v>4</v>
      </c>
      <c r="D323" s="243" t="s">
        <v>549</v>
      </c>
      <c r="E323" s="251">
        <v>0</v>
      </c>
      <c r="F323" s="251">
        <v>0</v>
      </c>
      <c r="G323" s="251">
        <v>0</v>
      </c>
      <c r="H323" s="251">
        <v>0</v>
      </c>
      <c r="I323" s="251">
        <v>0</v>
      </c>
      <c r="J323" s="251">
        <v>0</v>
      </c>
      <c r="K323" s="251">
        <v>0</v>
      </c>
      <c r="L323" s="251">
        <v>0</v>
      </c>
      <c r="M323" s="251">
        <v>0.80791342357953155</v>
      </c>
      <c r="N323" s="251">
        <v>0</v>
      </c>
      <c r="O323" s="251">
        <v>0</v>
      </c>
    </row>
    <row r="324" spans="2:15">
      <c r="B324" s="239" t="s">
        <v>228</v>
      </c>
      <c r="C324" s="239" t="s">
        <v>4</v>
      </c>
      <c r="D324" s="243" t="s">
        <v>550</v>
      </c>
      <c r="E324" s="251">
        <v>0</v>
      </c>
      <c r="F324" s="251">
        <v>0</v>
      </c>
      <c r="G324" s="251">
        <v>0.15536796607298686</v>
      </c>
      <c r="H324" s="251">
        <v>0</v>
      </c>
      <c r="I324" s="251">
        <v>0</v>
      </c>
      <c r="J324" s="251">
        <v>0</v>
      </c>
      <c r="K324" s="251">
        <v>0</v>
      </c>
      <c r="L324" s="251">
        <v>0</v>
      </c>
      <c r="M324" s="251">
        <v>0</v>
      </c>
      <c r="N324" s="251">
        <v>0</v>
      </c>
      <c r="O324" s="251">
        <v>0</v>
      </c>
    </row>
    <row r="325" spans="2:15">
      <c r="B325" s="239" t="s">
        <v>228</v>
      </c>
      <c r="C325" s="239" t="s">
        <v>4</v>
      </c>
      <c r="D325" s="243" t="s">
        <v>551</v>
      </c>
      <c r="E325" s="251">
        <v>0</v>
      </c>
      <c r="F325" s="251">
        <v>0</v>
      </c>
      <c r="G325" s="251">
        <v>0</v>
      </c>
      <c r="H325" s="251">
        <v>0</v>
      </c>
      <c r="I325" s="251">
        <v>0</v>
      </c>
      <c r="J325" s="251">
        <v>0</v>
      </c>
      <c r="K325" s="251">
        <v>0</v>
      </c>
      <c r="L325" s="251">
        <v>0</v>
      </c>
      <c r="M325" s="251">
        <v>0.26101818300261787</v>
      </c>
      <c r="N325" s="251">
        <v>0</v>
      </c>
      <c r="O325" s="251">
        <v>0</v>
      </c>
    </row>
    <row r="326" spans="2:15">
      <c r="B326" s="239" t="s">
        <v>228</v>
      </c>
      <c r="C326" s="239" t="s">
        <v>4</v>
      </c>
      <c r="D326" s="243" t="s">
        <v>552</v>
      </c>
      <c r="E326" s="251">
        <v>0</v>
      </c>
      <c r="F326" s="251">
        <v>0</v>
      </c>
      <c r="G326" s="251">
        <v>0</v>
      </c>
      <c r="H326" s="251">
        <v>0</v>
      </c>
      <c r="I326" s="251">
        <v>0</v>
      </c>
      <c r="J326" s="251">
        <v>0.24858874571677894</v>
      </c>
      <c r="K326" s="251">
        <v>0</v>
      </c>
      <c r="L326" s="251">
        <v>0</v>
      </c>
      <c r="M326" s="251">
        <v>0</v>
      </c>
      <c r="N326" s="251">
        <v>0</v>
      </c>
      <c r="O326" s="251">
        <v>0</v>
      </c>
    </row>
    <row r="327" spans="2:15">
      <c r="B327" s="239" t="s">
        <v>228</v>
      </c>
      <c r="C327" s="239" t="s">
        <v>4</v>
      </c>
      <c r="D327" s="243" t="s">
        <v>553</v>
      </c>
      <c r="E327" s="251">
        <v>0</v>
      </c>
      <c r="F327" s="251">
        <v>0</v>
      </c>
      <c r="G327" s="251">
        <v>0</v>
      </c>
      <c r="H327" s="251">
        <v>0</v>
      </c>
      <c r="I327" s="251">
        <v>0</v>
      </c>
      <c r="J327" s="251">
        <v>0</v>
      </c>
      <c r="K327" s="251">
        <v>0.21130043385926212</v>
      </c>
      <c r="L327" s="251">
        <v>0</v>
      </c>
      <c r="M327" s="251">
        <v>0</v>
      </c>
      <c r="N327" s="251">
        <v>0</v>
      </c>
      <c r="O327" s="251">
        <v>0</v>
      </c>
    </row>
    <row r="328" spans="2:15">
      <c r="B328" s="239" t="s">
        <v>228</v>
      </c>
      <c r="C328" s="239" t="s">
        <v>4</v>
      </c>
      <c r="D328" s="243" t="s">
        <v>554</v>
      </c>
      <c r="E328" s="251">
        <v>0</v>
      </c>
      <c r="F328" s="251">
        <v>0</v>
      </c>
      <c r="G328" s="251">
        <v>0</v>
      </c>
      <c r="H328" s="251">
        <v>0</v>
      </c>
      <c r="I328" s="251">
        <v>0.22372987114510107</v>
      </c>
      <c r="J328" s="251">
        <v>0</v>
      </c>
      <c r="K328" s="251">
        <v>0</v>
      </c>
      <c r="L328" s="251">
        <v>0</v>
      </c>
      <c r="M328" s="251">
        <v>0</v>
      </c>
      <c r="N328" s="251">
        <v>0</v>
      </c>
      <c r="O328" s="251">
        <v>0</v>
      </c>
    </row>
    <row r="329" spans="2:15">
      <c r="B329" s="239" t="s">
        <v>228</v>
      </c>
      <c r="C329" s="239" t="s">
        <v>4</v>
      </c>
      <c r="D329" s="243" t="s">
        <v>555</v>
      </c>
      <c r="E329" s="251">
        <v>0</v>
      </c>
      <c r="F329" s="251">
        <v>0.15536796607298686</v>
      </c>
      <c r="G329" s="251">
        <v>0</v>
      </c>
      <c r="H329" s="251">
        <v>0</v>
      </c>
      <c r="I329" s="251">
        <v>0</v>
      </c>
      <c r="J329" s="251">
        <v>0</v>
      </c>
      <c r="K329" s="251">
        <v>0</v>
      </c>
      <c r="L329" s="251">
        <v>0</v>
      </c>
      <c r="M329" s="251">
        <v>0</v>
      </c>
      <c r="N329" s="251">
        <v>0</v>
      </c>
      <c r="O329" s="251">
        <v>0</v>
      </c>
    </row>
    <row r="330" spans="2:15">
      <c r="B330" s="239" t="s">
        <v>228</v>
      </c>
      <c r="C330" s="239" t="s">
        <v>4</v>
      </c>
      <c r="D330" s="243" t="s">
        <v>556</v>
      </c>
      <c r="E330" s="251">
        <v>0.20715728809731579</v>
      </c>
      <c r="F330" s="251">
        <v>0</v>
      </c>
      <c r="G330" s="251">
        <v>0</v>
      </c>
      <c r="H330" s="251">
        <v>0</v>
      </c>
      <c r="I330" s="251">
        <v>0</v>
      </c>
      <c r="J330" s="251">
        <v>0</v>
      </c>
      <c r="K330" s="251">
        <v>0</v>
      </c>
      <c r="L330" s="251">
        <v>0</v>
      </c>
      <c r="M330" s="251">
        <v>0</v>
      </c>
      <c r="N330" s="251">
        <v>0</v>
      </c>
      <c r="O330" s="251">
        <v>0</v>
      </c>
    </row>
    <row r="331" spans="2:15">
      <c r="B331" s="239" t="s">
        <v>228</v>
      </c>
      <c r="C331" s="239" t="s">
        <v>4</v>
      </c>
      <c r="D331" s="243" t="s">
        <v>557</v>
      </c>
      <c r="E331" s="251">
        <v>0</v>
      </c>
      <c r="F331" s="251">
        <v>0</v>
      </c>
      <c r="G331" s="251">
        <v>0</v>
      </c>
      <c r="H331" s="251">
        <v>0</v>
      </c>
      <c r="I331" s="251">
        <v>0</v>
      </c>
      <c r="J331" s="251">
        <v>0</v>
      </c>
      <c r="K331" s="251">
        <v>0</v>
      </c>
      <c r="L331" s="251">
        <v>0</v>
      </c>
      <c r="M331" s="251">
        <v>0.37288311857516837</v>
      </c>
      <c r="N331" s="251">
        <v>0</v>
      </c>
      <c r="O331" s="251">
        <v>0</v>
      </c>
    </row>
    <row r="332" spans="2:15">
      <c r="B332" s="239" t="s">
        <v>228</v>
      </c>
      <c r="C332" s="239" t="s">
        <v>4</v>
      </c>
      <c r="D332" s="243" t="s">
        <v>558</v>
      </c>
      <c r="E332" s="251">
        <v>0</v>
      </c>
      <c r="F332" s="251">
        <v>0.41431457619463158</v>
      </c>
      <c r="G332" s="251">
        <v>0</v>
      </c>
      <c r="H332" s="251">
        <v>0</v>
      </c>
      <c r="I332" s="251">
        <v>0</v>
      </c>
      <c r="J332" s="251">
        <v>0</v>
      </c>
      <c r="K332" s="251">
        <v>0</v>
      </c>
      <c r="L332" s="251">
        <v>0</v>
      </c>
      <c r="M332" s="251">
        <v>0</v>
      </c>
      <c r="N332" s="251">
        <v>0</v>
      </c>
      <c r="O332" s="251">
        <v>0</v>
      </c>
    </row>
    <row r="333" spans="2:15">
      <c r="B333" s="239" t="s">
        <v>228</v>
      </c>
      <c r="C333" s="239" t="s">
        <v>4</v>
      </c>
      <c r="D333" s="243" t="s">
        <v>559</v>
      </c>
      <c r="E333" s="251">
        <v>0</v>
      </c>
      <c r="F333" s="251">
        <v>0</v>
      </c>
      <c r="G333" s="251">
        <v>0</v>
      </c>
      <c r="H333" s="251">
        <v>0</v>
      </c>
      <c r="I333" s="251">
        <v>0</v>
      </c>
      <c r="J333" s="251">
        <v>0</v>
      </c>
      <c r="K333" s="251">
        <v>0.14915324743006739</v>
      </c>
      <c r="L333" s="251">
        <v>0</v>
      </c>
      <c r="M333" s="251">
        <v>0</v>
      </c>
      <c r="N333" s="251">
        <v>0</v>
      </c>
      <c r="O333" s="251">
        <v>0</v>
      </c>
    </row>
    <row r="334" spans="2:15">
      <c r="B334" s="239" t="s">
        <v>228</v>
      </c>
      <c r="C334" s="239" t="s">
        <v>4</v>
      </c>
      <c r="D334" s="243" t="s">
        <v>560</v>
      </c>
      <c r="E334" s="251">
        <v>0</v>
      </c>
      <c r="F334" s="251">
        <v>0</v>
      </c>
      <c r="G334" s="251">
        <v>0</v>
      </c>
      <c r="H334" s="251">
        <v>0</v>
      </c>
      <c r="I334" s="251">
        <v>0</v>
      </c>
      <c r="J334" s="251">
        <v>0</v>
      </c>
      <c r="K334" s="251">
        <v>0.49717749143355788</v>
      </c>
      <c r="L334" s="251">
        <v>0</v>
      </c>
      <c r="M334" s="251">
        <v>0</v>
      </c>
      <c r="N334" s="251">
        <v>0</v>
      </c>
      <c r="O334" s="251">
        <v>0</v>
      </c>
    </row>
    <row r="335" spans="2:15">
      <c r="B335" s="239" t="s">
        <v>228</v>
      </c>
      <c r="C335" s="239" t="s">
        <v>4</v>
      </c>
      <c r="D335" s="243" t="s">
        <v>561</v>
      </c>
      <c r="E335" s="251">
        <v>0</v>
      </c>
      <c r="F335" s="251">
        <v>0</v>
      </c>
      <c r="G335" s="251">
        <v>0</v>
      </c>
      <c r="H335" s="251">
        <v>0</v>
      </c>
      <c r="I335" s="251">
        <v>0</v>
      </c>
      <c r="J335" s="251">
        <v>0.31073593214597373</v>
      </c>
      <c r="K335" s="251">
        <v>0</v>
      </c>
      <c r="L335" s="251">
        <v>0</v>
      </c>
      <c r="M335" s="251">
        <v>0</v>
      </c>
      <c r="N335" s="251">
        <v>0</v>
      </c>
      <c r="O335" s="251">
        <v>0</v>
      </c>
    </row>
    <row r="336" spans="2:15">
      <c r="B336" s="239" t="s">
        <v>228</v>
      </c>
      <c r="C336" s="239" t="s">
        <v>4</v>
      </c>
      <c r="D336" s="243" t="s">
        <v>562</v>
      </c>
      <c r="E336" s="251">
        <v>0</v>
      </c>
      <c r="F336" s="251">
        <v>0</v>
      </c>
      <c r="G336" s="251">
        <v>0</v>
      </c>
      <c r="H336" s="251">
        <v>0</v>
      </c>
      <c r="I336" s="251">
        <v>0</v>
      </c>
      <c r="J336" s="251">
        <v>0</v>
      </c>
      <c r="K336" s="251">
        <v>0.28587705757429582</v>
      </c>
      <c r="L336" s="251">
        <v>0</v>
      </c>
      <c r="M336" s="251">
        <v>0</v>
      </c>
      <c r="N336" s="251">
        <v>0</v>
      </c>
      <c r="O336" s="251">
        <v>0</v>
      </c>
    </row>
    <row r="337" spans="2:15">
      <c r="B337" s="239" t="s">
        <v>228</v>
      </c>
      <c r="C337" s="239" t="s">
        <v>4</v>
      </c>
      <c r="D337" s="243" t="s">
        <v>563</v>
      </c>
      <c r="E337" s="251">
        <v>0</v>
      </c>
      <c r="F337" s="251">
        <v>0</v>
      </c>
      <c r="G337" s="251">
        <v>0</v>
      </c>
      <c r="H337" s="251">
        <v>0</v>
      </c>
      <c r="I337" s="251">
        <v>0</v>
      </c>
      <c r="J337" s="251">
        <v>0</v>
      </c>
      <c r="K337" s="251">
        <v>0</v>
      </c>
      <c r="L337" s="251">
        <v>0</v>
      </c>
      <c r="M337" s="251">
        <v>0.24858874571677894</v>
      </c>
      <c r="N337" s="251">
        <v>0</v>
      </c>
      <c r="O337" s="251">
        <v>0</v>
      </c>
    </row>
    <row r="338" spans="2:15">
      <c r="B338" s="239" t="s">
        <v>228</v>
      </c>
      <c r="C338" s="239" t="s">
        <v>4</v>
      </c>
      <c r="D338" s="243" t="s">
        <v>564</v>
      </c>
      <c r="E338" s="251">
        <v>0</v>
      </c>
      <c r="F338" s="251">
        <v>0</v>
      </c>
      <c r="G338" s="251">
        <v>0</v>
      </c>
      <c r="H338" s="251">
        <v>0</v>
      </c>
      <c r="I338" s="251">
        <v>0</v>
      </c>
      <c r="J338" s="251">
        <v>0</v>
      </c>
      <c r="K338" s="251">
        <v>0</v>
      </c>
      <c r="L338" s="251">
        <v>0.18644155928758419</v>
      </c>
      <c r="M338" s="251">
        <v>0</v>
      </c>
      <c r="N338" s="251">
        <v>0</v>
      </c>
      <c r="O338" s="251">
        <v>0</v>
      </c>
    </row>
    <row r="339" spans="2:15">
      <c r="B339" s="239" t="s">
        <v>228</v>
      </c>
      <c r="C339" s="239" t="s">
        <v>4</v>
      </c>
      <c r="D339" s="243" t="s">
        <v>565</v>
      </c>
      <c r="E339" s="251">
        <v>0</v>
      </c>
      <c r="F339" s="251">
        <v>0</v>
      </c>
      <c r="G339" s="251">
        <v>0</v>
      </c>
      <c r="H339" s="251">
        <v>0</v>
      </c>
      <c r="I339" s="251">
        <v>0</v>
      </c>
      <c r="J339" s="251">
        <v>0</v>
      </c>
      <c r="K339" s="251">
        <v>0.18644155928758419</v>
      </c>
      <c r="L339" s="251">
        <v>0</v>
      </c>
      <c r="M339" s="251">
        <v>0</v>
      </c>
      <c r="N339" s="251">
        <v>0</v>
      </c>
      <c r="O339" s="251">
        <v>0</v>
      </c>
    </row>
    <row r="340" spans="2:15">
      <c r="B340" s="239" t="s">
        <v>228</v>
      </c>
      <c r="C340" s="239" t="s">
        <v>4</v>
      </c>
      <c r="D340" s="243" t="s">
        <v>566</v>
      </c>
      <c r="E340" s="251">
        <v>0</v>
      </c>
      <c r="F340" s="251">
        <v>0.21130043385926212</v>
      </c>
      <c r="G340" s="251">
        <v>0</v>
      </c>
      <c r="H340" s="251">
        <v>0</v>
      </c>
      <c r="I340" s="251">
        <v>0</v>
      </c>
      <c r="J340" s="251">
        <v>0</v>
      </c>
      <c r="K340" s="251">
        <v>0</v>
      </c>
      <c r="L340" s="251">
        <v>0</v>
      </c>
      <c r="M340" s="251">
        <v>0</v>
      </c>
      <c r="N340" s="251">
        <v>0</v>
      </c>
      <c r="O340" s="251">
        <v>0</v>
      </c>
    </row>
    <row r="341" spans="2:15">
      <c r="B341" s="239" t="s">
        <v>228</v>
      </c>
      <c r="C341" s="239" t="s">
        <v>4</v>
      </c>
      <c r="D341" s="243" t="s">
        <v>567</v>
      </c>
      <c r="E341" s="251">
        <v>0</v>
      </c>
      <c r="F341" s="251">
        <v>0</v>
      </c>
      <c r="G341" s="251">
        <v>0</v>
      </c>
      <c r="H341" s="251">
        <v>0</v>
      </c>
      <c r="I341" s="251">
        <v>0</v>
      </c>
      <c r="J341" s="251">
        <v>8.7006061000872631E-2</v>
      </c>
      <c r="K341" s="251">
        <v>0</v>
      </c>
      <c r="L341" s="251">
        <v>0</v>
      </c>
      <c r="M341" s="251">
        <v>0</v>
      </c>
      <c r="N341" s="251">
        <v>0</v>
      </c>
      <c r="O341" s="251">
        <v>0</v>
      </c>
    </row>
    <row r="342" spans="2:15">
      <c r="B342" s="239" t="s">
        <v>228</v>
      </c>
      <c r="C342" s="239" t="s">
        <v>4</v>
      </c>
      <c r="D342" s="243" t="s">
        <v>568</v>
      </c>
      <c r="E342" s="251">
        <v>0</v>
      </c>
      <c r="F342" s="251">
        <v>0</v>
      </c>
      <c r="G342" s="251">
        <v>0</v>
      </c>
      <c r="H342" s="251">
        <v>0</v>
      </c>
      <c r="I342" s="251">
        <v>0</v>
      </c>
      <c r="J342" s="251">
        <v>0</v>
      </c>
      <c r="K342" s="251">
        <v>0</v>
      </c>
      <c r="L342" s="251">
        <v>0.37288311857516837</v>
      </c>
      <c r="M342" s="251">
        <v>0</v>
      </c>
      <c r="N342" s="251">
        <v>0</v>
      </c>
      <c r="O342" s="251">
        <v>0</v>
      </c>
    </row>
    <row r="343" spans="2:15">
      <c r="B343" s="239" t="s">
        <v>228</v>
      </c>
      <c r="C343" s="239" t="s">
        <v>4</v>
      </c>
      <c r="D343" s="243" t="s">
        <v>569</v>
      </c>
      <c r="E343" s="251">
        <v>0</v>
      </c>
      <c r="F343" s="251">
        <v>0</v>
      </c>
      <c r="G343" s="251">
        <v>0</v>
      </c>
      <c r="H343" s="251">
        <v>0</v>
      </c>
      <c r="I343" s="251">
        <v>0</v>
      </c>
      <c r="J343" s="251">
        <v>0</v>
      </c>
      <c r="K343" s="251">
        <v>0</v>
      </c>
      <c r="L343" s="251">
        <v>0</v>
      </c>
      <c r="M343" s="251">
        <v>1.0565021692963106</v>
      </c>
      <c r="N343" s="251">
        <v>0</v>
      </c>
      <c r="O343" s="251">
        <v>0</v>
      </c>
    </row>
    <row r="344" spans="2:15">
      <c r="B344" s="239" t="s">
        <v>228</v>
      </c>
      <c r="C344" s="239" t="s">
        <v>4</v>
      </c>
      <c r="D344" s="243" t="s">
        <v>570</v>
      </c>
      <c r="E344" s="251">
        <v>0.20715728809731579</v>
      </c>
      <c r="F344" s="251">
        <v>0</v>
      </c>
      <c r="G344" s="251">
        <v>0</v>
      </c>
      <c r="H344" s="251">
        <v>0</v>
      </c>
      <c r="I344" s="251">
        <v>0</v>
      </c>
      <c r="J344" s="251">
        <v>0</v>
      </c>
      <c r="K344" s="251">
        <v>0</v>
      </c>
      <c r="L344" s="251">
        <v>0</v>
      </c>
      <c r="M344" s="251">
        <v>0</v>
      </c>
      <c r="N344" s="251">
        <v>0</v>
      </c>
      <c r="O344" s="251">
        <v>0</v>
      </c>
    </row>
    <row r="345" spans="2:15">
      <c r="B345" s="239" t="s">
        <v>228</v>
      </c>
      <c r="C345" s="239" t="s">
        <v>4</v>
      </c>
      <c r="D345" s="243" t="s">
        <v>571</v>
      </c>
      <c r="E345" s="251">
        <v>0</v>
      </c>
      <c r="F345" s="251">
        <v>0</v>
      </c>
      <c r="G345" s="251">
        <v>0.26101818300261787</v>
      </c>
      <c r="H345" s="251">
        <v>0</v>
      </c>
      <c r="I345" s="251">
        <v>0</v>
      </c>
      <c r="J345" s="251">
        <v>0</v>
      </c>
      <c r="K345" s="251">
        <v>0</v>
      </c>
      <c r="L345" s="251">
        <v>0</v>
      </c>
      <c r="M345" s="251">
        <v>0</v>
      </c>
      <c r="N345" s="251">
        <v>0</v>
      </c>
      <c r="O345" s="251">
        <v>0</v>
      </c>
    </row>
    <row r="346" spans="2:15">
      <c r="B346" s="239" t="s">
        <v>228</v>
      </c>
      <c r="C346" s="239" t="s">
        <v>4</v>
      </c>
      <c r="D346" s="243" t="s">
        <v>572</v>
      </c>
      <c r="E346" s="251">
        <v>0</v>
      </c>
      <c r="F346" s="251">
        <v>0</v>
      </c>
      <c r="G346" s="251">
        <v>0</v>
      </c>
      <c r="H346" s="251">
        <v>0</v>
      </c>
      <c r="I346" s="251">
        <v>0</v>
      </c>
      <c r="J346" s="251">
        <v>0</v>
      </c>
      <c r="K346" s="251">
        <v>0</v>
      </c>
      <c r="L346" s="251">
        <v>0.22372987114510107</v>
      </c>
      <c r="M346" s="251">
        <v>0</v>
      </c>
      <c r="N346" s="251">
        <v>0</v>
      </c>
      <c r="O346" s="251">
        <v>0</v>
      </c>
    </row>
    <row r="347" spans="2:15">
      <c r="B347" s="239" t="s">
        <v>228</v>
      </c>
      <c r="C347" s="239" t="s">
        <v>4</v>
      </c>
      <c r="D347" s="243" t="s">
        <v>573</v>
      </c>
      <c r="E347" s="251">
        <v>0</v>
      </c>
      <c r="F347" s="251">
        <v>0</v>
      </c>
      <c r="G347" s="251">
        <v>0</v>
      </c>
      <c r="H347" s="251">
        <v>0</v>
      </c>
      <c r="I347" s="251">
        <v>0</v>
      </c>
      <c r="J347" s="251">
        <v>0</v>
      </c>
      <c r="K347" s="251">
        <v>0</v>
      </c>
      <c r="L347" s="251">
        <v>0</v>
      </c>
      <c r="M347" s="251">
        <v>0.18644155928758419</v>
      </c>
      <c r="N347" s="251">
        <v>0</v>
      </c>
      <c r="O347" s="251">
        <v>0</v>
      </c>
    </row>
    <row r="348" spans="2:15">
      <c r="B348" s="239" t="s">
        <v>228</v>
      </c>
      <c r="C348" s="239" t="s">
        <v>4</v>
      </c>
      <c r="D348" s="243" t="s">
        <v>574</v>
      </c>
      <c r="E348" s="251">
        <v>0</v>
      </c>
      <c r="F348" s="251">
        <v>0</v>
      </c>
      <c r="G348" s="251">
        <v>0</v>
      </c>
      <c r="H348" s="251">
        <v>0</v>
      </c>
      <c r="I348" s="251">
        <v>0</v>
      </c>
      <c r="J348" s="251">
        <v>0</v>
      </c>
      <c r="K348" s="251">
        <v>0.24858874571677894</v>
      </c>
      <c r="L348" s="251">
        <v>0</v>
      </c>
      <c r="M348" s="251">
        <v>0</v>
      </c>
      <c r="N348" s="251">
        <v>0</v>
      </c>
      <c r="O348" s="251">
        <v>0</v>
      </c>
    </row>
    <row r="349" spans="2:15">
      <c r="B349" s="239" t="s">
        <v>228</v>
      </c>
      <c r="C349" s="239" t="s">
        <v>4</v>
      </c>
      <c r="D349" s="243" t="s">
        <v>575</v>
      </c>
      <c r="E349" s="251">
        <v>0</v>
      </c>
      <c r="F349" s="251">
        <v>0</v>
      </c>
      <c r="G349" s="251">
        <v>0</v>
      </c>
      <c r="H349" s="251">
        <v>0</v>
      </c>
      <c r="I349" s="251">
        <v>0</v>
      </c>
      <c r="J349" s="251">
        <v>0.19887099657342316</v>
      </c>
      <c r="K349" s="251">
        <v>0</v>
      </c>
      <c r="L349" s="251">
        <v>0</v>
      </c>
      <c r="M349" s="251">
        <v>0</v>
      </c>
      <c r="N349" s="251">
        <v>0</v>
      </c>
      <c r="O349" s="251">
        <v>0</v>
      </c>
    </row>
    <row r="350" spans="2:15">
      <c r="B350" s="239" t="s">
        <v>228</v>
      </c>
      <c r="C350" s="239" t="s">
        <v>4</v>
      </c>
      <c r="D350" s="243" t="s">
        <v>576</v>
      </c>
      <c r="E350" s="251">
        <v>0</v>
      </c>
      <c r="F350" s="251">
        <v>0</v>
      </c>
      <c r="G350" s="251">
        <v>0</v>
      </c>
      <c r="H350" s="251">
        <v>0</v>
      </c>
      <c r="I350" s="251">
        <v>0</v>
      </c>
      <c r="J350" s="251">
        <v>0</v>
      </c>
      <c r="K350" s="251">
        <v>0</v>
      </c>
      <c r="L350" s="251">
        <v>0</v>
      </c>
      <c r="M350" s="251">
        <v>0.21130043385926212</v>
      </c>
      <c r="N350" s="251">
        <v>0</v>
      </c>
      <c r="O350" s="251">
        <v>0</v>
      </c>
    </row>
    <row r="351" spans="2:15">
      <c r="B351" s="239" t="s">
        <v>228</v>
      </c>
      <c r="C351" s="239" t="s">
        <v>4</v>
      </c>
      <c r="D351" s="243" t="s">
        <v>577</v>
      </c>
      <c r="E351" s="251">
        <v>0</v>
      </c>
      <c r="F351" s="251">
        <v>0</v>
      </c>
      <c r="G351" s="251">
        <v>0</v>
      </c>
      <c r="H351" s="251">
        <v>0</v>
      </c>
      <c r="I351" s="251">
        <v>0</v>
      </c>
      <c r="J351" s="251">
        <v>0.37288311857516837</v>
      </c>
      <c r="K351" s="251">
        <v>0</v>
      </c>
      <c r="L351" s="251">
        <v>0</v>
      </c>
      <c r="M351" s="251">
        <v>0</v>
      </c>
      <c r="N351" s="251">
        <v>0</v>
      </c>
      <c r="O351" s="251">
        <v>0</v>
      </c>
    </row>
    <row r="352" spans="2:15">
      <c r="B352" s="239" t="s">
        <v>228</v>
      </c>
      <c r="C352" s="239" t="s">
        <v>4</v>
      </c>
      <c r="D352" s="243" t="s">
        <v>578</v>
      </c>
      <c r="E352" s="251">
        <v>0</v>
      </c>
      <c r="F352" s="251">
        <v>0</v>
      </c>
      <c r="G352" s="251">
        <v>0</v>
      </c>
      <c r="H352" s="251">
        <v>0</v>
      </c>
      <c r="I352" s="251">
        <v>0</v>
      </c>
      <c r="J352" s="251">
        <v>0</v>
      </c>
      <c r="K352" s="251">
        <v>0.37288311857516837</v>
      </c>
      <c r="L352" s="251">
        <v>0</v>
      </c>
      <c r="M352" s="251">
        <v>0</v>
      </c>
      <c r="N352" s="251">
        <v>0</v>
      </c>
      <c r="O352" s="251">
        <v>0</v>
      </c>
    </row>
    <row r="353" spans="2:15">
      <c r="B353" s="239" t="s">
        <v>228</v>
      </c>
      <c r="C353" s="239" t="s">
        <v>4</v>
      </c>
      <c r="D353" s="243" t="s">
        <v>579</v>
      </c>
      <c r="E353" s="251">
        <v>0</v>
      </c>
      <c r="F353" s="251">
        <v>0</v>
      </c>
      <c r="G353" s="251">
        <v>0</v>
      </c>
      <c r="H353" s="251">
        <v>0</v>
      </c>
      <c r="I353" s="251">
        <v>0</v>
      </c>
      <c r="J353" s="251">
        <v>0</v>
      </c>
      <c r="K353" s="251">
        <v>0</v>
      </c>
      <c r="L353" s="251">
        <v>0</v>
      </c>
      <c r="M353" s="251">
        <v>0.98399711846225002</v>
      </c>
      <c r="N353" s="251">
        <v>0</v>
      </c>
      <c r="O353" s="251">
        <v>0</v>
      </c>
    </row>
    <row r="354" spans="2:15">
      <c r="B354" s="239" t="s">
        <v>228</v>
      </c>
      <c r="C354" s="239" t="s">
        <v>264</v>
      </c>
      <c r="D354" s="243" t="s">
        <v>580</v>
      </c>
      <c r="E354" s="251">
        <v>0</v>
      </c>
      <c r="F354" s="251">
        <v>0</v>
      </c>
      <c r="G354" s="251">
        <v>0</v>
      </c>
      <c r="H354" s="251">
        <v>0</v>
      </c>
      <c r="I354" s="251">
        <v>0</v>
      </c>
      <c r="J354" s="251">
        <v>0</v>
      </c>
      <c r="K354" s="251">
        <v>0</v>
      </c>
      <c r="L354" s="251">
        <v>0</v>
      </c>
      <c r="M354" s="251">
        <v>0</v>
      </c>
      <c r="N354" s="251">
        <v>7.4576623715033694</v>
      </c>
      <c r="O354" s="251">
        <v>-6.2529630653374406</v>
      </c>
    </row>
    <row r="355" spans="2:15">
      <c r="B355" s="239" t="s">
        <v>228</v>
      </c>
      <c r="C355" s="239" t="s">
        <v>264</v>
      </c>
      <c r="D355" s="243" t="s">
        <v>581</v>
      </c>
      <c r="E355" s="251">
        <v>0</v>
      </c>
      <c r="F355" s="251">
        <v>0</v>
      </c>
      <c r="G355" s="251">
        <v>0</v>
      </c>
      <c r="H355" s="251">
        <v>0</v>
      </c>
      <c r="I355" s="251">
        <v>0</v>
      </c>
      <c r="J355" s="251">
        <v>0.13050909150130896</v>
      </c>
      <c r="K355" s="251">
        <v>1.1745818235117806</v>
      </c>
      <c r="L355" s="251">
        <v>0</v>
      </c>
      <c r="M355" s="251">
        <v>0</v>
      </c>
      <c r="N355" s="251">
        <v>0</v>
      </c>
      <c r="O355" s="251">
        <v>-0.17417031483992876</v>
      </c>
    </row>
    <row r="356" spans="2:15">
      <c r="B356" s="239" t="s">
        <v>228</v>
      </c>
      <c r="C356" s="239" t="s">
        <v>177</v>
      </c>
      <c r="D356" s="243" t="s">
        <v>582</v>
      </c>
      <c r="E356" s="251">
        <v>0</v>
      </c>
      <c r="F356" s="251">
        <v>0</v>
      </c>
      <c r="G356" s="251">
        <v>0</v>
      </c>
      <c r="H356" s="251">
        <v>0</v>
      </c>
      <c r="I356" s="251">
        <v>0</v>
      </c>
      <c r="J356" s="251">
        <v>0</v>
      </c>
      <c r="K356" s="251">
        <v>0</v>
      </c>
      <c r="L356" s="251">
        <v>0</v>
      </c>
      <c r="M356" s="251">
        <v>0</v>
      </c>
      <c r="N356" s="251">
        <v>5.5932467786275266</v>
      </c>
      <c r="O356" s="251">
        <v>-4.4406989575770064</v>
      </c>
    </row>
    <row r="357" spans="2:15">
      <c r="B357" s="239" t="s">
        <v>228</v>
      </c>
      <c r="C357" s="239" t="s">
        <v>177</v>
      </c>
      <c r="D357" s="243" t="s">
        <v>583</v>
      </c>
      <c r="E357" s="251">
        <v>0</v>
      </c>
      <c r="F357" s="251">
        <v>0</v>
      </c>
      <c r="G357" s="251">
        <v>0</v>
      </c>
      <c r="H357" s="251">
        <v>0</v>
      </c>
      <c r="I357" s="251">
        <v>0</v>
      </c>
      <c r="J357" s="251">
        <v>1.4915324743006735</v>
      </c>
      <c r="K357" s="251">
        <v>0</v>
      </c>
      <c r="L357" s="251">
        <v>0</v>
      </c>
      <c r="M357" s="251">
        <v>0</v>
      </c>
      <c r="N357" s="251">
        <v>0</v>
      </c>
      <c r="O357" s="251">
        <v>0</v>
      </c>
    </row>
    <row r="358" spans="2:15">
      <c r="B358" s="239" t="s">
        <v>228</v>
      </c>
      <c r="C358" s="239" t="s">
        <v>628</v>
      </c>
      <c r="D358" s="243" t="s">
        <v>629</v>
      </c>
      <c r="E358" s="251">
        <v>0.12016388534218599</v>
      </c>
      <c r="F358" s="251">
        <v>0.12016388534218599</v>
      </c>
      <c r="G358" s="251">
        <v>0.12016388534218599</v>
      </c>
      <c r="H358" s="251">
        <v>0.12016388534218599</v>
      </c>
      <c r="I358" s="251">
        <v>0.12016388534218599</v>
      </c>
      <c r="J358" s="251">
        <v>0</v>
      </c>
      <c r="K358" s="251">
        <v>0</v>
      </c>
      <c r="L358" s="251">
        <v>0</v>
      </c>
      <c r="M358" s="251">
        <v>0</v>
      </c>
      <c r="N358" s="251">
        <v>0</v>
      </c>
      <c r="O358" s="251">
        <v>0</v>
      </c>
    </row>
    <row r="359" spans="2:15">
      <c r="B359" s="239" t="s">
        <v>228</v>
      </c>
      <c r="C359" s="239" t="s">
        <v>630</v>
      </c>
      <c r="D359" s="243" t="s">
        <v>629</v>
      </c>
      <c r="E359" s="251">
        <v>0.22983611465781398</v>
      </c>
      <c r="F359" s="251">
        <v>0.22983611465781398</v>
      </c>
      <c r="G359" s="251">
        <v>0.22983611465781398</v>
      </c>
      <c r="H359" s="251">
        <v>0.22983611465781398</v>
      </c>
      <c r="I359" s="251">
        <v>0.22983611465781398</v>
      </c>
      <c r="J359" s="251">
        <v>0</v>
      </c>
      <c r="K359" s="251">
        <v>0</v>
      </c>
      <c r="L359" s="251">
        <v>0</v>
      </c>
      <c r="M359" s="251">
        <v>0</v>
      </c>
      <c r="N359" s="251">
        <v>0</v>
      </c>
      <c r="O359" s="251">
        <v>0</v>
      </c>
    </row>
    <row r="360" spans="2:15">
      <c r="B360" s="239" t="s">
        <v>237</v>
      </c>
      <c r="C360" s="239" t="s">
        <v>4</v>
      </c>
      <c r="D360" s="243" t="s">
        <v>584</v>
      </c>
      <c r="E360" s="251">
        <v>0</v>
      </c>
      <c r="F360" s="251">
        <v>0</v>
      </c>
      <c r="G360" s="251">
        <v>0</v>
      </c>
      <c r="H360" s="251">
        <v>0</v>
      </c>
      <c r="I360" s="251">
        <v>0</v>
      </c>
      <c r="J360" s="251">
        <v>0</v>
      </c>
      <c r="K360" s="251">
        <v>0</v>
      </c>
      <c r="L360" s="251">
        <v>0</v>
      </c>
      <c r="M360" s="251">
        <v>0.88041847441359222</v>
      </c>
      <c r="N360" s="251">
        <v>0</v>
      </c>
      <c r="O360" s="251">
        <v>0</v>
      </c>
    </row>
    <row r="361" spans="2:15">
      <c r="B361" s="239" t="s">
        <v>237</v>
      </c>
      <c r="C361" s="239" t="s">
        <v>4</v>
      </c>
      <c r="D361" s="243" t="s">
        <v>585</v>
      </c>
      <c r="E361" s="251">
        <v>0</v>
      </c>
      <c r="F361" s="251">
        <v>0</v>
      </c>
      <c r="G361" s="251">
        <v>0</v>
      </c>
      <c r="H361" s="251">
        <v>0</v>
      </c>
      <c r="I361" s="251">
        <v>0</v>
      </c>
      <c r="J361" s="251">
        <v>0</v>
      </c>
      <c r="K361" s="251">
        <v>0</v>
      </c>
      <c r="L361" s="251">
        <v>0</v>
      </c>
      <c r="M361" s="251">
        <v>0.7768398303649342</v>
      </c>
      <c r="N361" s="251">
        <v>0</v>
      </c>
      <c r="O361" s="251">
        <v>0</v>
      </c>
    </row>
    <row r="362" spans="2:15">
      <c r="B362" s="239" t="s">
        <v>237</v>
      </c>
      <c r="C362" s="239" t="s">
        <v>4</v>
      </c>
      <c r="D362" s="243" t="s">
        <v>586</v>
      </c>
      <c r="E362" s="251">
        <v>0</v>
      </c>
      <c r="F362" s="251">
        <v>0</v>
      </c>
      <c r="G362" s="251">
        <v>0</v>
      </c>
      <c r="H362" s="251">
        <v>0</v>
      </c>
      <c r="I362" s="251">
        <v>0</v>
      </c>
      <c r="J362" s="251">
        <v>0</v>
      </c>
      <c r="K362" s="251">
        <v>0</v>
      </c>
      <c r="L362" s="251">
        <v>0</v>
      </c>
      <c r="M362" s="251">
        <v>0.5696825422676185</v>
      </c>
      <c r="N362" s="251">
        <v>0</v>
      </c>
      <c r="O362" s="251">
        <v>0</v>
      </c>
    </row>
    <row r="363" spans="2:15">
      <c r="B363" s="239" t="s">
        <v>237</v>
      </c>
      <c r="C363" s="239" t="s">
        <v>4</v>
      </c>
      <c r="D363" s="243" t="s">
        <v>587</v>
      </c>
      <c r="E363" s="251">
        <v>0</v>
      </c>
      <c r="F363" s="251">
        <v>0</v>
      </c>
      <c r="G363" s="251">
        <v>0</v>
      </c>
      <c r="H363" s="251">
        <v>0</v>
      </c>
      <c r="I363" s="251">
        <v>0</v>
      </c>
      <c r="J363" s="251">
        <v>0</v>
      </c>
      <c r="K363" s="251">
        <v>0.24858874571677894</v>
      </c>
      <c r="L363" s="251">
        <v>0</v>
      </c>
      <c r="M363" s="251">
        <v>0</v>
      </c>
      <c r="N363" s="251">
        <v>0</v>
      </c>
      <c r="O363" s="251">
        <v>0</v>
      </c>
    </row>
    <row r="364" spans="2:15">
      <c r="B364" s="239" t="s">
        <v>237</v>
      </c>
      <c r="C364" s="239" t="s">
        <v>4</v>
      </c>
      <c r="D364" s="243" t="s">
        <v>588</v>
      </c>
      <c r="E364" s="251">
        <v>0</v>
      </c>
      <c r="F364" s="251">
        <v>0</v>
      </c>
      <c r="G364" s="251">
        <v>0</v>
      </c>
      <c r="H364" s="251">
        <v>0</v>
      </c>
      <c r="I364" s="251">
        <v>0.50753535583842369</v>
      </c>
      <c r="J364" s="251">
        <v>0</v>
      </c>
      <c r="K364" s="251">
        <v>0</v>
      </c>
      <c r="L364" s="251">
        <v>0</v>
      </c>
      <c r="M364" s="251">
        <v>0</v>
      </c>
      <c r="N364" s="251">
        <v>0</v>
      </c>
      <c r="O364" s="251">
        <v>0</v>
      </c>
    </row>
    <row r="365" spans="2:15">
      <c r="B365" s="239" t="s">
        <v>237</v>
      </c>
      <c r="C365" s="239" t="s">
        <v>4</v>
      </c>
      <c r="D365" s="243" t="s">
        <v>589</v>
      </c>
      <c r="E365" s="251">
        <v>0</v>
      </c>
      <c r="F365" s="251">
        <v>0.21130043385926212</v>
      </c>
      <c r="G365" s="251">
        <v>0</v>
      </c>
      <c r="H365" s="251">
        <v>0</v>
      </c>
      <c r="I365" s="251">
        <v>0</v>
      </c>
      <c r="J365" s="251">
        <v>0</v>
      </c>
      <c r="K365" s="251">
        <v>0</v>
      </c>
      <c r="L365" s="251">
        <v>0</v>
      </c>
      <c r="M365" s="251">
        <v>0</v>
      </c>
      <c r="N365" s="251">
        <v>0</v>
      </c>
      <c r="O365" s="251">
        <v>0</v>
      </c>
    </row>
    <row r="366" spans="2:15">
      <c r="B366" s="239" t="s">
        <v>237</v>
      </c>
      <c r="C366" s="239" t="s">
        <v>4</v>
      </c>
      <c r="D366" s="243" t="s">
        <v>590</v>
      </c>
      <c r="E366" s="251">
        <v>0</v>
      </c>
      <c r="F366" s="251">
        <v>0</v>
      </c>
      <c r="G366" s="251">
        <v>0.3564062003331751</v>
      </c>
      <c r="H366" s="251">
        <v>0</v>
      </c>
      <c r="I366" s="251">
        <v>0</v>
      </c>
      <c r="J366" s="251">
        <v>0</v>
      </c>
      <c r="K366" s="251">
        <v>0</v>
      </c>
      <c r="L366" s="251">
        <v>0</v>
      </c>
      <c r="M366" s="251">
        <v>0</v>
      </c>
      <c r="N366" s="251">
        <v>0</v>
      </c>
      <c r="O366" s="251">
        <v>0</v>
      </c>
    </row>
    <row r="367" spans="2:15">
      <c r="B367" s="239" t="s">
        <v>237</v>
      </c>
      <c r="C367" s="239" t="s">
        <v>4</v>
      </c>
      <c r="D367" s="243" t="s">
        <v>591</v>
      </c>
      <c r="E367" s="251">
        <v>0</v>
      </c>
      <c r="F367" s="251">
        <v>0</v>
      </c>
      <c r="G367" s="251">
        <v>0</v>
      </c>
      <c r="H367" s="251">
        <v>0</v>
      </c>
      <c r="I367" s="251">
        <v>0</v>
      </c>
      <c r="J367" s="251">
        <v>0.3564062003331751</v>
      </c>
      <c r="K367" s="251">
        <v>0</v>
      </c>
      <c r="L367" s="251">
        <v>0</v>
      </c>
      <c r="M367" s="251">
        <v>0</v>
      </c>
      <c r="N367" s="251">
        <v>0</v>
      </c>
      <c r="O367" s="251">
        <v>0</v>
      </c>
    </row>
    <row r="368" spans="2:15">
      <c r="B368" s="239" t="s">
        <v>237</v>
      </c>
      <c r="C368" s="239" t="s">
        <v>4</v>
      </c>
      <c r="D368" s="243" t="s">
        <v>592</v>
      </c>
      <c r="E368" s="251">
        <v>0</v>
      </c>
      <c r="F368" s="251">
        <v>0</v>
      </c>
      <c r="G368" s="251">
        <v>0</v>
      </c>
      <c r="H368" s="251">
        <v>0</v>
      </c>
      <c r="I368" s="251">
        <v>0</v>
      </c>
      <c r="J368" s="251">
        <v>0</v>
      </c>
      <c r="K368" s="251">
        <v>1.3672381014422843</v>
      </c>
      <c r="L368" s="251">
        <v>0</v>
      </c>
      <c r="M368" s="251">
        <v>0</v>
      </c>
      <c r="N368" s="251">
        <v>0</v>
      </c>
      <c r="O368" s="251">
        <v>0</v>
      </c>
    </row>
    <row r="369" spans="2:15">
      <c r="B369" s="239" t="s">
        <v>237</v>
      </c>
      <c r="C369" s="239" t="s">
        <v>4</v>
      </c>
      <c r="D369" s="243" t="s">
        <v>593</v>
      </c>
      <c r="E369" s="251">
        <v>0</v>
      </c>
      <c r="F369" s="251">
        <v>0</v>
      </c>
      <c r="G369" s="251">
        <v>8.2862915238926318E-2</v>
      </c>
      <c r="H369" s="251">
        <v>0</v>
      </c>
      <c r="I369" s="251">
        <v>0</v>
      </c>
      <c r="J369" s="251">
        <v>0</v>
      </c>
      <c r="K369" s="251">
        <v>0</v>
      </c>
      <c r="L369" s="251">
        <v>0</v>
      </c>
      <c r="M369" s="251">
        <v>0</v>
      </c>
      <c r="N369" s="251">
        <v>0</v>
      </c>
      <c r="O369" s="251">
        <v>0</v>
      </c>
    </row>
    <row r="370" spans="2:15">
      <c r="B370" s="239" t="s">
        <v>237</v>
      </c>
      <c r="C370" s="239" t="s">
        <v>4</v>
      </c>
      <c r="D370" s="243" t="s">
        <v>594</v>
      </c>
      <c r="E370" s="251">
        <v>0</v>
      </c>
      <c r="F370" s="251">
        <v>0</v>
      </c>
      <c r="G370" s="251">
        <v>0</v>
      </c>
      <c r="H370" s="251">
        <v>0</v>
      </c>
      <c r="I370" s="251">
        <v>0</v>
      </c>
      <c r="J370" s="251">
        <v>0.24858874571677894</v>
      </c>
      <c r="K370" s="251">
        <v>0</v>
      </c>
      <c r="L370" s="251">
        <v>0</v>
      </c>
      <c r="M370" s="251">
        <v>0</v>
      </c>
      <c r="N370" s="251">
        <v>0</v>
      </c>
      <c r="O370" s="251">
        <v>0</v>
      </c>
    </row>
    <row r="371" spans="2:15">
      <c r="B371" s="239" t="s">
        <v>237</v>
      </c>
      <c r="C371" s="239" t="s">
        <v>4</v>
      </c>
      <c r="D371" s="243" t="s">
        <v>595</v>
      </c>
      <c r="E371" s="251">
        <v>0</v>
      </c>
      <c r="F371" s="251">
        <v>0.3564062003331751</v>
      </c>
      <c r="G371" s="251">
        <v>0</v>
      </c>
      <c r="H371" s="251">
        <v>0</v>
      </c>
      <c r="I371" s="251">
        <v>0</v>
      </c>
      <c r="J371" s="251">
        <v>0</v>
      </c>
      <c r="K371" s="251">
        <v>0</v>
      </c>
      <c r="L371" s="251">
        <v>0</v>
      </c>
      <c r="M371" s="251">
        <v>0</v>
      </c>
      <c r="N371" s="251">
        <v>0</v>
      </c>
      <c r="O371" s="251">
        <v>0</v>
      </c>
    </row>
    <row r="372" spans="2:15">
      <c r="B372" s="239" t="s">
        <v>237</v>
      </c>
      <c r="C372" s="239" t="s">
        <v>4</v>
      </c>
      <c r="D372" s="243" t="s">
        <v>596</v>
      </c>
      <c r="E372" s="251">
        <v>0</v>
      </c>
      <c r="F372" s="251">
        <v>0</v>
      </c>
      <c r="G372" s="251">
        <v>0.52825108464815529</v>
      </c>
      <c r="H372" s="251">
        <v>0</v>
      </c>
      <c r="I372" s="251">
        <v>0</v>
      </c>
      <c r="J372" s="251">
        <v>0</v>
      </c>
      <c r="K372" s="251">
        <v>0</v>
      </c>
      <c r="L372" s="251">
        <v>0</v>
      </c>
      <c r="M372" s="251">
        <v>0</v>
      </c>
      <c r="N372" s="251">
        <v>0</v>
      </c>
      <c r="O372" s="251">
        <v>0</v>
      </c>
    </row>
    <row r="373" spans="2:15">
      <c r="B373" s="239" t="s">
        <v>237</v>
      </c>
      <c r="C373" s="239" t="s">
        <v>4</v>
      </c>
      <c r="D373" s="243" t="s">
        <v>597</v>
      </c>
      <c r="E373" s="251">
        <v>0</v>
      </c>
      <c r="F373" s="251">
        <v>0</v>
      </c>
      <c r="G373" s="251">
        <v>0.17401212200174526</v>
      </c>
      <c r="H373" s="251">
        <v>0</v>
      </c>
      <c r="I373" s="251">
        <v>0</v>
      </c>
      <c r="J373" s="251">
        <v>0</v>
      </c>
      <c r="K373" s="251">
        <v>0</v>
      </c>
      <c r="L373" s="251">
        <v>0</v>
      </c>
      <c r="M373" s="251">
        <v>0</v>
      </c>
      <c r="N373" s="251">
        <v>0</v>
      </c>
      <c r="O373" s="251">
        <v>0</v>
      </c>
    </row>
    <row r="374" spans="2:15">
      <c r="B374" s="239" t="s">
        <v>237</v>
      </c>
      <c r="C374" s="239" t="s">
        <v>4</v>
      </c>
      <c r="D374" s="243" t="s">
        <v>598</v>
      </c>
      <c r="E374" s="251">
        <v>0</v>
      </c>
      <c r="F374" s="251">
        <v>0</v>
      </c>
      <c r="G374" s="251">
        <v>0.3564062003331751</v>
      </c>
      <c r="H374" s="251">
        <v>0</v>
      </c>
      <c r="I374" s="251">
        <v>0</v>
      </c>
      <c r="J374" s="251">
        <v>0</v>
      </c>
      <c r="K374" s="251">
        <v>0</v>
      </c>
      <c r="L374" s="251">
        <v>0</v>
      </c>
      <c r="M374" s="251">
        <v>0</v>
      </c>
      <c r="N374" s="251">
        <v>0</v>
      </c>
      <c r="O374" s="251">
        <v>0</v>
      </c>
    </row>
    <row r="375" spans="2:15">
      <c r="B375" s="239" t="s">
        <v>237</v>
      </c>
      <c r="C375" s="239" t="s">
        <v>4</v>
      </c>
      <c r="D375" s="243" t="s">
        <v>599</v>
      </c>
      <c r="E375" s="251">
        <v>0</v>
      </c>
      <c r="F375" s="251">
        <v>0.11393650845352368</v>
      </c>
      <c r="G375" s="251">
        <v>0.5903982710773501</v>
      </c>
      <c r="H375" s="251">
        <v>0</v>
      </c>
      <c r="I375" s="251">
        <v>0</v>
      </c>
      <c r="J375" s="251">
        <v>0</v>
      </c>
      <c r="K375" s="251">
        <v>0</v>
      </c>
      <c r="L375" s="251">
        <v>0</v>
      </c>
      <c r="M375" s="251">
        <v>0</v>
      </c>
      <c r="N375" s="251">
        <v>0</v>
      </c>
      <c r="O375" s="251">
        <v>0</v>
      </c>
    </row>
    <row r="376" spans="2:15">
      <c r="B376" s="239" t="s">
        <v>237</v>
      </c>
      <c r="C376" s="239" t="s">
        <v>4</v>
      </c>
      <c r="D376" s="243" t="s">
        <v>600</v>
      </c>
      <c r="E376" s="251">
        <v>0</v>
      </c>
      <c r="F376" s="251">
        <v>0</v>
      </c>
      <c r="G376" s="251">
        <v>0</v>
      </c>
      <c r="H376" s="251">
        <v>0</v>
      </c>
      <c r="I376" s="251">
        <v>0.89367145488406696</v>
      </c>
      <c r="J376" s="251">
        <v>0</v>
      </c>
      <c r="K376" s="251">
        <v>0</v>
      </c>
      <c r="L376" s="251">
        <v>0</v>
      </c>
      <c r="M376" s="251">
        <v>0</v>
      </c>
      <c r="N376" s="251">
        <v>0</v>
      </c>
      <c r="O376" s="251">
        <v>0</v>
      </c>
    </row>
    <row r="377" spans="2:15">
      <c r="B377" s="239" t="s">
        <v>237</v>
      </c>
      <c r="C377" s="239" t="s">
        <v>4</v>
      </c>
      <c r="D377" s="243" t="s">
        <v>601</v>
      </c>
      <c r="E377" s="251">
        <v>0</v>
      </c>
      <c r="F377" s="251">
        <v>0.62147186429194745</v>
      </c>
      <c r="G377" s="251">
        <v>0</v>
      </c>
      <c r="H377" s="251">
        <v>0</v>
      </c>
      <c r="I377" s="251">
        <v>0</v>
      </c>
      <c r="J377" s="251">
        <v>0</v>
      </c>
      <c r="K377" s="251">
        <v>0</v>
      </c>
      <c r="L377" s="251">
        <v>0</v>
      </c>
      <c r="M377" s="251">
        <v>0</v>
      </c>
      <c r="N377" s="251">
        <v>0</v>
      </c>
      <c r="O377" s="251">
        <v>0</v>
      </c>
    </row>
    <row r="378" spans="2:15">
      <c r="B378" s="239" t="s">
        <v>237</v>
      </c>
      <c r="C378" s="239" t="s">
        <v>4</v>
      </c>
      <c r="D378" s="243" t="s">
        <v>602</v>
      </c>
      <c r="E378" s="251">
        <v>0</v>
      </c>
      <c r="F378" s="251">
        <v>0</v>
      </c>
      <c r="G378" s="251">
        <v>0.32109379655083947</v>
      </c>
      <c r="H378" s="251">
        <v>0</v>
      </c>
      <c r="I378" s="251">
        <v>0</v>
      </c>
      <c r="J378" s="251">
        <v>0</v>
      </c>
      <c r="K378" s="251">
        <v>0</v>
      </c>
      <c r="L378" s="251">
        <v>0</v>
      </c>
      <c r="M378" s="251">
        <v>0</v>
      </c>
      <c r="N378" s="251">
        <v>0</v>
      </c>
      <c r="O378" s="251">
        <v>0</v>
      </c>
    </row>
    <row r="379" spans="2:15">
      <c r="B379" s="239" t="s">
        <v>237</v>
      </c>
      <c r="C379" s="239" t="s">
        <v>4</v>
      </c>
      <c r="D379" s="243" t="s">
        <v>603</v>
      </c>
      <c r="E379" s="251">
        <v>0</v>
      </c>
      <c r="F379" s="251">
        <v>0</v>
      </c>
      <c r="G379" s="251">
        <v>0</v>
      </c>
      <c r="H379" s="251">
        <v>0</v>
      </c>
      <c r="I379" s="251">
        <v>0.49717749143355788</v>
      </c>
      <c r="J379" s="251">
        <v>0</v>
      </c>
      <c r="K379" s="251">
        <v>0</v>
      </c>
      <c r="L379" s="251">
        <v>0</v>
      </c>
      <c r="M379" s="251">
        <v>0</v>
      </c>
      <c r="N379" s="251">
        <v>0</v>
      </c>
      <c r="O379" s="251">
        <v>0</v>
      </c>
    </row>
    <row r="380" spans="2:15">
      <c r="B380" s="239" t="s">
        <v>237</v>
      </c>
      <c r="C380" s="239" t="s">
        <v>4</v>
      </c>
      <c r="D380" s="243" t="s">
        <v>604</v>
      </c>
      <c r="E380" s="251">
        <v>0</v>
      </c>
      <c r="F380" s="251">
        <v>0</v>
      </c>
      <c r="G380" s="251">
        <v>0</v>
      </c>
      <c r="H380" s="251">
        <v>0.37288311857516837</v>
      </c>
      <c r="I380" s="251">
        <v>0</v>
      </c>
      <c r="J380" s="251">
        <v>0</v>
      </c>
      <c r="K380" s="251">
        <v>0</v>
      </c>
      <c r="L380" s="251">
        <v>0</v>
      </c>
      <c r="M380" s="251">
        <v>0</v>
      </c>
      <c r="N380" s="251">
        <v>0</v>
      </c>
      <c r="O380" s="251">
        <v>0</v>
      </c>
    </row>
    <row r="381" spans="2:15">
      <c r="B381" s="239" t="s">
        <v>237</v>
      </c>
      <c r="C381" s="239" t="s">
        <v>4</v>
      </c>
      <c r="D381" s="243" t="s">
        <v>605</v>
      </c>
      <c r="E381" s="251">
        <v>0</v>
      </c>
      <c r="F381" s="251">
        <v>0</v>
      </c>
      <c r="G381" s="251">
        <v>0</v>
      </c>
      <c r="H381" s="251">
        <v>0.60075613548221585</v>
      </c>
      <c r="I381" s="251">
        <v>0</v>
      </c>
      <c r="J381" s="251">
        <v>0</v>
      </c>
      <c r="K381" s="251">
        <v>0</v>
      </c>
      <c r="L381" s="251">
        <v>0</v>
      </c>
      <c r="M381" s="251">
        <v>0</v>
      </c>
      <c r="N381" s="251">
        <v>0</v>
      </c>
      <c r="O381" s="251">
        <v>0</v>
      </c>
    </row>
    <row r="382" spans="2:15">
      <c r="B382" s="239" t="s">
        <v>237</v>
      </c>
      <c r="C382" s="239" t="s">
        <v>4</v>
      </c>
      <c r="D382" s="243" t="s">
        <v>606</v>
      </c>
      <c r="E382" s="251">
        <v>0</v>
      </c>
      <c r="F382" s="251">
        <v>0</v>
      </c>
      <c r="G382" s="251">
        <v>0.31073593214597373</v>
      </c>
      <c r="H382" s="251">
        <v>0</v>
      </c>
      <c r="I382" s="251">
        <v>0</v>
      </c>
      <c r="J382" s="251">
        <v>0</v>
      </c>
      <c r="K382" s="251">
        <v>0</v>
      </c>
      <c r="L382" s="251">
        <v>0</v>
      </c>
      <c r="M382" s="251">
        <v>0</v>
      </c>
      <c r="N382" s="251">
        <v>0</v>
      </c>
      <c r="O382" s="251">
        <v>0</v>
      </c>
    </row>
    <row r="383" spans="2:15">
      <c r="B383" s="239" t="s">
        <v>237</v>
      </c>
      <c r="C383" s="239" t="s">
        <v>4</v>
      </c>
      <c r="D383" s="243" t="s">
        <v>607</v>
      </c>
      <c r="E383" s="251">
        <v>0</v>
      </c>
      <c r="F383" s="251">
        <v>0</v>
      </c>
      <c r="G383" s="251">
        <v>0.34180952536057108</v>
      </c>
      <c r="H383" s="251">
        <v>0</v>
      </c>
      <c r="I383" s="251">
        <v>0</v>
      </c>
      <c r="J383" s="251">
        <v>0</v>
      </c>
      <c r="K383" s="251">
        <v>0</v>
      </c>
      <c r="L383" s="251">
        <v>0</v>
      </c>
      <c r="M383" s="251">
        <v>0</v>
      </c>
      <c r="N383" s="251">
        <v>0</v>
      </c>
      <c r="O383" s="251">
        <v>0</v>
      </c>
    </row>
    <row r="384" spans="2:15">
      <c r="B384" s="239" t="s">
        <v>237</v>
      </c>
      <c r="C384" s="239" t="s">
        <v>4</v>
      </c>
      <c r="D384" s="243" t="s">
        <v>608</v>
      </c>
      <c r="E384" s="251">
        <v>0</v>
      </c>
      <c r="F384" s="251">
        <v>0</v>
      </c>
      <c r="G384" s="251">
        <v>0</v>
      </c>
      <c r="H384" s="251">
        <v>0</v>
      </c>
      <c r="I384" s="251">
        <v>0.43503030500436318</v>
      </c>
      <c r="J384" s="251">
        <v>0</v>
      </c>
      <c r="K384" s="251">
        <v>0</v>
      </c>
      <c r="L384" s="251">
        <v>0</v>
      </c>
      <c r="M384" s="251">
        <v>0</v>
      </c>
      <c r="N384" s="251">
        <v>0</v>
      </c>
      <c r="O384" s="251">
        <v>0</v>
      </c>
    </row>
    <row r="385" spans="2:15">
      <c r="B385" s="239" t="s">
        <v>237</v>
      </c>
      <c r="C385" s="239" t="s">
        <v>4</v>
      </c>
      <c r="D385" s="243" t="s">
        <v>609</v>
      </c>
      <c r="E385" s="251">
        <v>0</v>
      </c>
      <c r="F385" s="251">
        <v>0</v>
      </c>
      <c r="G385" s="251">
        <v>0</v>
      </c>
      <c r="H385" s="251">
        <v>0</v>
      </c>
      <c r="I385" s="251">
        <v>0.29002020333624212</v>
      </c>
      <c r="J385" s="251">
        <v>0</v>
      </c>
      <c r="K385" s="251">
        <v>0</v>
      </c>
      <c r="L385" s="251">
        <v>0</v>
      </c>
      <c r="M385" s="251">
        <v>0</v>
      </c>
      <c r="N385" s="251">
        <v>0</v>
      </c>
      <c r="O385" s="251">
        <v>0</v>
      </c>
    </row>
    <row r="386" spans="2:15">
      <c r="B386" s="239" t="s">
        <v>237</v>
      </c>
      <c r="C386" s="239" t="s">
        <v>4</v>
      </c>
      <c r="D386" s="243" t="s">
        <v>610</v>
      </c>
      <c r="E386" s="251">
        <v>0</v>
      </c>
      <c r="F386" s="251">
        <v>0</v>
      </c>
      <c r="G386" s="251">
        <v>0</v>
      </c>
      <c r="H386" s="251">
        <v>0</v>
      </c>
      <c r="I386" s="251">
        <v>0</v>
      </c>
      <c r="J386" s="251">
        <v>0</v>
      </c>
      <c r="K386" s="251">
        <v>0</v>
      </c>
      <c r="L386" s="251">
        <v>2.081930745378024</v>
      </c>
      <c r="M386" s="251">
        <v>1.0254285760817128</v>
      </c>
      <c r="N386" s="251">
        <v>0</v>
      </c>
      <c r="O386" s="251">
        <v>0</v>
      </c>
    </row>
    <row r="387" spans="2:15">
      <c r="B387" s="239" t="s">
        <v>237</v>
      </c>
      <c r="C387" s="239" t="s">
        <v>4</v>
      </c>
      <c r="D387" s="243" t="s">
        <v>611</v>
      </c>
      <c r="E387" s="251">
        <v>0</v>
      </c>
      <c r="F387" s="251">
        <v>0</v>
      </c>
      <c r="G387" s="251">
        <v>0</v>
      </c>
      <c r="H387" s="251">
        <v>4.9717749143355791E-2</v>
      </c>
      <c r="I387" s="251">
        <v>0.93220779643792107</v>
      </c>
      <c r="J387" s="251">
        <v>0</v>
      </c>
      <c r="K387" s="251">
        <v>0</v>
      </c>
      <c r="L387" s="251">
        <v>0</v>
      </c>
      <c r="M387" s="251">
        <v>0</v>
      </c>
      <c r="N387" s="251">
        <v>0</v>
      </c>
      <c r="O387" s="251">
        <v>0</v>
      </c>
    </row>
    <row r="388" spans="2:15">
      <c r="B388" s="239" t="s">
        <v>237</v>
      </c>
      <c r="C388" s="239" t="s">
        <v>4</v>
      </c>
      <c r="D388" s="243" t="s">
        <v>612</v>
      </c>
      <c r="E388" s="251">
        <v>0</v>
      </c>
      <c r="F388" s="251">
        <v>0</v>
      </c>
      <c r="G388" s="251">
        <v>0</v>
      </c>
      <c r="H388" s="251">
        <v>0</v>
      </c>
      <c r="I388" s="251">
        <v>0</v>
      </c>
      <c r="J388" s="251">
        <v>0</v>
      </c>
      <c r="K388" s="251">
        <v>0</v>
      </c>
      <c r="L388" s="251">
        <v>0</v>
      </c>
      <c r="M388" s="251">
        <v>0.27344762028845687</v>
      </c>
      <c r="N388" s="251">
        <v>0</v>
      </c>
      <c r="O388" s="251">
        <v>0</v>
      </c>
    </row>
    <row r="389" spans="2:15">
      <c r="B389" s="239" t="s">
        <v>237</v>
      </c>
      <c r="C389" s="239" t="s">
        <v>4</v>
      </c>
      <c r="D389" s="243" t="s">
        <v>613</v>
      </c>
      <c r="E389" s="251">
        <v>0</v>
      </c>
      <c r="F389" s="251">
        <v>0</v>
      </c>
      <c r="G389" s="251">
        <v>0</v>
      </c>
      <c r="H389" s="251">
        <v>0</v>
      </c>
      <c r="I389" s="251">
        <v>0</v>
      </c>
      <c r="J389" s="251">
        <v>0</v>
      </c>
      <c r="K389" s="251">
        <v>0</v>
      </c>
      <c r="L389" s="251">
        <v>0</v>
      </c>
      <c r="M389" s="251">
        <v>0.27344762028845687</v>
      </c>
      <c r="N389" s="251">
        <v>0</v>
      </c>
      <c r="O389" s="251">
        <v>0</v>
      </c>
    </row>
    <row r="390" spans="2:15">
      <c r="B390" s="239" t="s">
        <v>237</v>
      </c>
      <c r="C390" s="239" t="s">
        <v>4</v>
      </c>
      <c r="D390" s="243" t="s">
        <v>614</v>
      </c>
      <c r="E390" s="251">
        <v>0</v>
      </c>
      <c r="F390" s="251">
        <v>0.93220779643792151</v>
      </c>
      <c r="G390" s="251">
        <v>0</v>
      </c>
      <c r="H390" s="251">
        <v>0</v>
      </c>
      <c r="I390" s="251">
        <v>0</v>
      </c>
      <c r="J390" s="251">
        <v>0</v>
      </c>
      <c r="K390" s="251">
        <v>0</v>
      </c>
      <c r="L390" s="251">
        <v>0</v>
      </c>
      <c r="M390" s="251">
        <v>0</v>
      </c>
      <c r="N390" s="251">
        <v>0</v>
      </c>
      <c r="O390" s="251">
        <v>0</v>
      </c>
    </row>
    <row r="391" spans="2:15">
      <c r="B391" s="239" t="s">
        <v>237</v>
      </c>
      <c r="C391" s="239" t="s">
        <v>4</v>
      </c>
      <c r="D391" s="243" t="s">
        <v>615</v>
      </c>
      <c r="E391" s="251">
        <v>0</v>
      </c>
      <c r="F391" s="251">
        <v>0</v>
      </c>
      <c r="G391" s="251">
        <v>0</v>
      </c>
      <c r="H391" s="251">
        <v>0</v>
      </c>
      <c r="I391" s="251">
        <v>0</v>
      </c>
      <c r="J391" s="251">
        <v>0.23823088131191314</v>
      </c>
      <c r="K391" s="251">
        <v>0</v>
      </c>
      <c r="L391" s="251">
        <v>0</v>
      </c>
      <c r="M391" s="251">
        <v>0</v>
      </c>
      <c r="N391" s="251">
        <v>0</v>
      </c>
      <c r="O391" s="251">
        <v>0</v>
      </c>
    </row>
    <row r="392" spans="2:15">
      <c r="B392" s="239" t="s">
        <v>237</v>
      </c>
      <c r="C392" s="239" t="s">
        <v>4</v>
      </c>
      <c r="D392" s="243" t="s">
        <v>616</v>
      </c>
      <c r="E392" s="251">
        <v>0</v>
      </c>
      <c r="F392" s="251">
        <v>0.18644155928758419</v>
      </c>
      <c r="G392" s="251">
        <v>0</v>
      </c>
      <c r="H392" s="251">
        <v>0</v>
      </c>
      <c r="I392" s="251">
        <v>0</v>
      </c>
      <c r="J392" s="251">
        <v>0</v>
      </c>
      <c r="K392" s="251">
        <v>0</v>
      </c>
      <c r="L392" s="251">
        <v>0</v>
      </c>
      <c r="M392" s="251">
        <v>0</v>
      </c>
      <c r="N392" s="251">
        <v>0</v>
      </c>
      <c r="O392" s="251">
        <v>0</v>
      </c>
    </row>
    <row r="393" spans="2:15">
      <c r="B393" s="239" t="s">
        <v>237</v>
      </c>
      <c r="C393" s="239" t="s">
        <v>4</v>
      </c>
      <c r="D393" s="243" t="s">
        <v>617</v>
      </c>
      <c r="E393" s="251">
        <v>0</v>
      </c>
      <c r="F393" s="251">
        <v>0.13021315251831286</v>
      </c>
      <c r="G393" s="251">
        <v>4.4272471856226367</v>
      </c>
      <c r="H393" s="251">
        <v>0</v>
      </c>
      <c r="I393" s="251">
        <v>0</v>
      </c>
      <c r="J393" s="251">
        <v>0</v>
      </c>
      <c r="K393" s="251">
        <v>0</v>
      </c>
      <c r="L393" s="251">
        <v>0</v>
      </c>
      <c r="M393" s="251">
        <v>0</v>
      </c>
      <c r="N393" s="251">
        <v>0</v>
      </c>
      <c r="O393" s="251">
        <v>0</v>
      </c>
    </row>
    <row r="394" spans="2:15">
      <c r="B394" s="239" t="s">
        <v>237</v>
      </c>
      <c r="C394" s="239" t="s">
        <v>264</v>
      </c>
      <c r="D394" s="243" t="s">
        <v>618</v>
      </c>
      <c r="E394" s="251">
        <v>0</v>
      </c>
      <c r="F394" s="251">
        <v>0</v>
      </c>
      <c r="G394" s="251">
        <v>0</v>
      </c>
      <c r="H394" s="251">
        <v>0</v>
      </c>
      <c r="I394" s="251">
        <v>0</v>
      </c>
      <c r="J394" s="251">
        <v>0</v>
      </c>
      <c r="K394" s="251">
        <v>0</v>
      </c>
      <c r="L394" s="251">
        <v>0</v>
      </c>
      <c r="M394" s="251">
        <v>1.8644155928758424</v>
      </c>
      <c r="N394" s="251">
        <v>0</v>
      </c>
      <c r="O394" s="251">
        <v>-8.8781694898849628E-2</v>
      </c>
    </row>
    <row r="395" spans="2:15">
      <c r="B395" s="239" t="s">
        <v>237</v>
      </c>
      <c r="C395" s="239" t="s">
        <v>177</v>
      </c>
      <c r="D395" s="243" t="s">
        <v>619</v>
      </c>
      <c r="E395" s="251">
        <v>0</v>
      </c>
      <c r="F395" s="251">
        <v>0</v>
      </c>
      <c r="G395" s="251">
        <v>0</v>
      </c>
      <c r="H395" s="251">
        <v>0</v>
      </c>
      <c r="I395" s="251">
        <v>0</v>
      </c>
      <c r="J395" s="251">
        <v>11.609094424973577</v>
      </c>
      <c r="K395" s="251">
        <v>0</v>
      </c>
      <c r="L395" s="251">
        <v>0</v>
      </c>
      <c r="M395" s="251">
        <v>0</v>
      </c>
      <c r="N395" s="251">
        <v>0</v>
      </c>
      <c r="O395" s="251">
        <v>-1.5478792566631432</v>
      </c>
    </row>
    <row r="396" spans="2:15">
      <c r="B396" s="239" t="s">
        <v>237</v>
      </c>
      <c r="C396" s="239" t="s">
        <v>177</v>
      </c>
      <c r="D396" s="243" t="s">
        <v>620</v>
      </c>
      <c r="E396" s="251">
        <v>0.10630200004993731</v>
      </c>
      <c r="F396" s="251">
        <v>0</v>
      </c>
      <c r="G396" s="251">
        <v>0</v>
      </c>
      <c r="H396" s="251">
        <v>0</v>
      </c>
      <c r="I396" s="251">
        <v>0</v>
      </c>
      <c r="J396" s="251">
        <v>0</v>
      </c>
      <c r="K396" s="251">
        <v>0</v>
      </c>
      <c r="L396" s="251">
        <v>0</v>
      </c>
      <c r="M396" s="251">
        <v>0</v>
      </c>
      <c r="N396" s="251">
        <v>0</v>
      </c>
      <c r="O396" s="251">
        <v>0</v>
      </c>
    </row>
    <row r="397" spans="2:15">
      <c r="B397" s="239" t="s">
        <v>237</v>
      </c>
      <c r="C397" s="239" t="s">
        <v>177</v>
      </c>
      <c r="D397" s="243" t="s">
        <v>621</v>
      </c>
      <c r="E397" s="251">
        <v>0</v>
      </c>
      <c r="F397" s="251">
        <v>0</v>
      </c>
      <c r="G397" s="251">
        <v>0</v>
      </c>
      <c r="H397" s="251">
        <v>0</v>
      </c>
      <c r="I397" s="251">
        <v>0</v>
      </c>
      <c r="J397" s="251">
        <v>0</v>
      </c>
      <c r="K397" s="251">
        <v>0</v>
      </c>
      <c r="L397" s="251">
        <v>4.2260086771852423</v>
      </c>
      <c r="M397" s="251">
        <v>0</v>
      </c>
      <c r="N397" s="251">
        <v>0</v>
      </c>
      <c r="O397" s="251">
        <v>-0.63390130157778635</v>
      </c>
    </row>
    <row r="398" spans="2:15">
      <c r="B398" s="239" t="s">
        <v>237</v>
      </c>
      <c r="C398" s="239" t="s">
        <v>177</v>
      </c>
      <c r="D398" s="243" t="s">
        <v>622</v>
      </c>
      <c r="E398" s="251">
        <v>0</v>
      </c>
      <c r="F398" s="251">
        <v>0</v>
      </c>
      <c r="G398" s="251">
        <v>0</v>
      </c>
      <c r="H398" s="251">
        <v>0</v>
      </c>
      <c r="I398" s="251">
        <v>0</v>
      </c>
      <c r="J398" s="251">
        <v>0</v>
      </c>
      <c r="K398" s="251">
        <v>0.31073593214597373</v>
      </c>
      <c r="L398" s="251">
        <v>0</v>
      </c>
      <c r="M398" s="251">
        <v>0</v>
      </c>
      <c r="N398" s="251">
        <v>0</v>
      </c>
      <c r="O398" s="251">
        <v>0</v>
      </c>
    </row>
    <row r="399" spans="2:15">
      <c r="B399" s="239" t="s">
        <v>237</v>
      </c>
      <c r="C399" s="239" t="s">
        <v>177</v>
      </c>
      <c r="D399" s="243" t="s">
        <v>623</v>
      </c>
      <c r="E399" s="251">
        <v>0</v>
      </c>
      <c r="F399" s="251">
        <v>0</v>
      </c>
      <c r="G399" s="251">
        <v>0</v>
      </c>
      <c r="H399" s="251">
        <v>0</v>
      </c>
      <c r="I399" s="251">
        <v>0</v>
      </c>
      <c r="J399" s="251">
        <v>0</v>
      </c>
      <c r="K399" s="251">
        <v>0</v>
      </c>
      <c r="L399" s="251">
        <v>0</v>
      </c>
      <c r="M399" s="251">
        <v>0.87006061000872637</v>
      </c>
      <c r="N399" s="251">
        <v>0</v>
      </c>
      <c r="O399" s="251">
        <v>0</v>
      </c>
    </row>
    <row r="400" spans="2:15">
      <c r="B400" s="239" t="s">
        <v>237</v>
      </c>
      <c r="C400" s="239" t="s">
        <v>177</v>
      </c>
      <c r="D400" s="243" t="s">
        <v>624</v>
      </c>
      <c r="E400" s="251">
        <v>0</v>
      </c>
      <c r="F400" s="251">
        <v>0</v>
      </c>
      <c r="G400" s="251">
        <v>0</v>
      </c>
      <c r="H400" s="251">
        <v>0</v>
      </c>
      <c r="I400" s="251">
        <v>0</v>
      </c>
      <c r="J400" s="251">
        <v>0</v>
      </c>
      <c r="K400" s="251">
        <v>1.3050909150130894</v>
      </c>
      <c r="L400" s="251">
        <v>11.745818235117804</v>
      </c>
      <c r="M400" s="251">
        <v>0</v>
      </c>
      <c r="N400" s="251">
        <v>0</v>
      </c>
      <c r="O400" s="251">
        <v>-7.1186777182532142</v>
      </c>
    </row>
    <row r="401" spans="2:15">
      <c r="B401" s="239" t="s">
        <v>237</v>
      </c>
      <c r="C401" s="239" t="s">
        <v>177</v>
      </c>
      <c r="D401" s="243" t="s">
        <v>625</v>
      </c>
      <c r="E401" s="251">
        <v>0</v>
      </c>
      <c r="F401" s="251">
        <v>0</v>
      </c>
      <c r="G401" s="251">
        <v>0</v>
      </c>
      <c r="H401" s="251">
        <v>0</v>
      </c>
      <c r="I401" s="251">
        <v>0</v>
      </c>
      <c r="J401" s="251">
        <v>0</v>
      </c>
      <c r="K401" s="251">
        <v>0</v>
      </c>
      <c r="L401" s="251">
        <v>0</v>
      </c>
      <c r="M401" s="251">
        <v>3.3559480671765161</v>
      </c>
      <c r="N401" s="251">
        <v>0</v>
      </c>
      <c r="O401" s="251">
        <v>-2.3044176727945413</v>
      </c>
    </row>
    <row r="402" spans="2:15">
      <c r="B402" s="239" t="s">
        <v>237</v>
      </c>
      <c r="C402" s="239" t="s">
        <v>177</v>
      </c>
      <c r="D402" s="243" t="s">
        <v>626</v>
      </c>
      <c r="E402" s="251">
        <v>0</v>
      </c>
      <c r="F402" s="251">
        <v>0</v>
      </c>
      <c r="G402" s="251">
        <v>0</v>
      </c>
      <c r="H402" s="251">
        <v>0</v>
      </c>
      <c r="I402" s="251">
        <v>0</v>
      </c>
      <c r="J402" s="251">
        <v>0</v>
      </c>
      <c r="K402" s="251">
        <v>0</v>
      </c>
      <c r="L402" s="251">
        <v>0</v>
      </c>
      <c r="M402" s="251">
        <v>0.24858874571677894</v>
      </c>
      <c r="N402" s="251">
        <v>0</v>
      </c>
      <c r="O402" s="251">
        <v>0</v>
      </c>
    </row>
    <row r="403" spans="2:15">
      <c r="B403" s="239" t="s">
        <v>237</v>
      </c>
      <c r="C403" s="239" t="s">
        <v>177</v>
      </c>
      <c r="D403" s="243" t="s">
        <v>627</v>
      </c>
      <c r="E403" s="251">
        <v>0</v>
      </c>
      <c r="F403" s="251">
        <v>0</v>
      </c>
      <c r="G403" s="251">
        <v>0</v>
      </c>
      <c r="H403" s="251">
        <v>0</v>
      </c>
      <c r="I403" s="251">
        <v>0</v>
      </c>
      <c r="J403" s="251">
        <v>0</v>
      </c>
      <c r="K403" s="251">
        <v>0</v>
      </c>
      <c r="L403" s="251">
        <v>0</v>
      </c>
      <c r="M403" s="251">
        <v>0.31181920014648279</v>
      </c>
      <c r="N403" s="251">
        <v>0</v>
      </c>
      <c r="O403" s="251">
        <v>0</v>
      </c>
    </row>
    <row r="404" spans="2:15">
      <c r="B404" s="239" t="s">
        <v>237</v>
      </c>
      <c r="C404" s="239" t="s">
        <v>628</v>
      </c>
      <c r="D404" s="243" t="s">
        <v>629</v>
      </c>
      <c r="E404" s="251">
        <v>0.12016388534218599</v>
      </c>
      <c r="F404" s="251">
        <v>0.12016388534218599</v>
      </c>
      <c r="G404" s="251">
        <v>0.12016388534218599</v>
      </c>
      <c r="H404" s="251">
        <v>0.12016388534218599</v>
      </c>
      <c r="I404" s="251">
        <v>0.12016388534218599</v>
      </c>
      <c r="J404" s="251">
        <v>0</v>
      </c>
      <c r="K404" s="251">
        <v>0</v>
      </c>
      <c r="L404" s="251">
        <v>0</v>
      </c>
      <c r="M404" s="251">
        <v>0</v>
      </c>
      <c r="N404" s="251">
        <v>0</v>
      </c>
      <c r="O404" s="251">
        <v>0</v>
      </c>
    </row>
    <row r="405" spans="2:15">
      <c r="B405" s="239" t="s">
        <v>237</v>
      </c>
      <c r="C405" s="239" t="s">
        <v>630</v>
      </c>
      <c r="D405" s="243" t="s">
        <v>629</v>
      </c>
      <c r="E405" s="251">
        <v>0.22983611465781398</v>
      </c>
      <c r="F405" s="251">
        <v>0.22983611465781398</v>
      </c>
      <c r="G405" s="251">
        <v>0.22983611465781398</v>
      </c>
      <c r="H405" s="251">
        <v>0.22983611465781398</v>
      </c>
      <c r="I405" s="251">
        <v>0.22983611465781398</v>
      </c>
      <c r="J405" s="251">
        <v>0</v>
      </c>
      <c r="K405" s="251">
        <v>0</v>
      </c>
      <c r="L405" s="251">
        <v>0</v>
      </c>
      <c r="M405" s="251">
        <v>0</v>
      </c>
      <c r="N405" s="251">
        <v>0</v>
      </c>
      <c r="O405" s="251">
        <v>0</v>
      </c>
    </row>
    <row r="406" spans="2:15" ht="13.5">
      <c r="E406" s="241">
        <f t="shared" ref="E406:O406" si="1">SUM(E6:E405)</f>
        <v>25.762258906111828</v>
      </c>
      <c r="F406" s="241">
        <f t="shared" si="1"/>
        <v>40.446039988849236</v>
      </c>
      <c r="G406" s="241">
        <f t="shared" si="1"/>
        <v>47.936204261297327</v>
      </c>
      <c r="H406" s="241">
        <f t="shared" si="1"/>
        <v>39.446473047702042</v>
      </c>
      <c r="I406" s="241">
        <f t="shared" si="1"/>
        <v>41.600719289409724</v>
      </c>
      <c r="J406" s="241">
        <f t="shared" si="1"/>
        <v>79.067998774996951</v>
      </c>
      <c r="K406" s="241">
        <f t="shared" si="1"/>
        <v>66.470366758742855</v>
      </c>
      <c r="L406" s="241">
        <f t="shared" si="1"/>
        <v>47.267677072353926</v>
      </c>
      <c r="M406" s="241">
        <f t="shared" si="1"/>
        <v>47.200065924317862</v>
      </c>
      <c r="N406" s="241">
        <f t="shared" si="1"/>
        <v>38.416916892820517</v>
      </c>
      <c r="O406" s="241">
        <f t="shared" si="1"/>
        <v>-102.57980684491361</v>
      </c>
    </row>
    <row r="407" spans="2:15">
      <c r="O407" s="228"/>
    </row>
    <row r="409" spans="2:15">
      <c r="E409" s="228"/>
      <c r="F409" s="229"/>
    </row>
    <row r="410" spans="2:15">
      <c r="E410" s="228"/>
    </row>
    <row r="411" spans="2:15">
      <c r="E411" s="228"/>
      <c r="F411" s="229"/>
    </row>
    <row r="412" spans="2:15">
      <c r="E412" s="22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8"/>
  </sheetPr>
  <dimension ref="A1:O264"/>
  <sheetViews>
    <sheetView showGridLines="0" zoomScaleNormal="100" workbookViewId="0">
      <selection activeCell="D16" sqref="D16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201" customFormat="1" ht="21">
      <c r="A1" s="198" t="s">
        <v>66</v>
      </c>
      <c r="B1" s="198"/>
      <c r="C1" s="203"/>
      <c r="D1" s="203"/>
      <c r="E1" s="200"/>
      <c r="F1" s="200"/>
      <c r="G1" s="200"/>
      <c r="H1" s="200"/>
      <c r="I1" s="200"/>
      <c r="J1" s="200"/>
      <c r="K1" s="200"/>
      <c r="L1" s="200"/>
      <c r="M1" s="200"/>
    </row>
    <row r="2" spans="1:15" s="209" customFormat="1" ht="15.75">
      <c r="A2" s="211" t="s">
        <v>129</v>
      </c>
      <c r="B2" s="208"/>
      <c r="C2" s="212"/>
      <c r="D2" s="212"/>
      <c r="E2" s="208"/>
      <c r="F2" s="208"/>
      <c r="G2" s="208"/>
      <c r="H2" s="208"/>
      <c r="I2" s="208"/>
      <c r="J2" s="208"/>
      <c r="K2" s="208"/>
      <c r="L2" s="208"/>
      <c r="M2" s="208"/>
    </row>
    <row r="3" spans="1:15" s="17" customFormat="1">
      <c r="B3" s="73"/>
      <c r="C3" s="74"/>
      <c r="D3" s="74"/>
      <c r="E3" s="73"/>
      <c r="F3" s="73"/>
      <c r="G3" s="73"/>
      <c r="H3" s="73"/>
      <c r="I3" s="73"/>
      <c r="J3" s="73"/>
      <c r="K3" s="73"/>
      <c r="L3" s="73"/>
    </row>
    <row r="4" spans="1:15">
      <c r="C4" s="75"/>
    </row>
    <row r="5" spans="1:15">
      <c r="B5" s="76" t="s">
        <v>70</v>
      </c>
      <c r="C5" s="77" t="s">
        <v>52</v>
      </c>
      <c r="D5" s="1"/>
      <c r="F5" s="78"/>
    </row>
    <row r="6" spans="1:15">
      <c r="B6" s="44" t="s">
        <v>47</v>
      </c>
      <c r="C6" s="79">
        <f>CHOOSE(Inputs!$D$6,Inputs!E15,Inputs!F15,Inputs!G15,Inputs!H15,Inputs!I15)</f>
        <v>894000</v>
      </c>
      <c r="D6" s="1"/>
      <c r="F6" s="80"/>
    </row>
    <row r="7" spans="1:15">
      <c r="B7" s="44" t="s">
        <v>50</v>
      </c>
      <c r="C7" s="79">
        <f>CHOOSE(Inputs!$D$6,Inputs!E16,Inputs!F16,Inputs!G16,Inputs!H16,Inputs!I16)</f>
        <v>634000</v>
      </c>
      <c r="D7" s="1"/>
      <c r="F7" s="80"/>
    </row>
    <row r="8" spans="1:15">
      <c r="B8" s="44" t="s">
        <v>51</v>
      </c>
      <c r="C8" s="79">
        <f>CHOOSE(Inputs!$D$6,Inputs!E17,Inputs!F17,Inputs!G17,Inputs!H17,Inputs!I17)</f>
        <v>404000</v>
      </c>
      <c r="D8" s="1"/>
      <c r="F8" s="80"/>
    </row>
    <row r="9" spans="1:15">
      <c r="B9" s="44" t="s">
        <v>48</v>
      </c>
      <c r="C9" s="79">
        <f>CHOOSE(Inputs!$D$6,Inputs!E18,Inputs!F18,Inputs!G18,Inputs!H18,Inputs!I18)</f>
        <v>197000</v>
      </c>
      <c r="D9" s="1"/>
      <c r="F9" s="80"/>
    </row>
    <row r="10" spans="1:15">
      <c r="B10" s="51" t="s">
        <v>49</v>
      </c>
      <c r="C10" s="81">
        <f>CHOOSE(Inputs!$D$6,Inputs!E19,Inputs!F19,Inputs!G19,Inputs!H19,Inputs!I19)</f>
        <v>86000</v>
      </c>
      <c r="D10" s="1"/>
      <c r="F10" s="80"/>
    </row>
    <row r="11" spans="1:15">
      <c r="D11" s="82"/>
      <c r="I11" s="83"/>
    </row>
    <row r="12" spans="1:15">
      <c r="D12" s="82"/>
      <c r="I12" s="83"/>
    </row>
    <row r="13" spans="1:15">
      <c r="B13" s="84" t="s">
        <v>26</v>
      </c>
      <c r="C13" s="85" t="s">
        <v>34</v>
      </c>
      <c r="D13" s="85" t="s">
        <v>53</v>
      </c>
      <c r="E13" s="85" t="s">
        <v>54</v>
      </c>
      <c r="F13" s="85" t="s">
        <v>54</v>
      </c>
      <c r="H13" s="86"/>
      <c r="J13" s="82"/>
      <c r="O13" s="83"/>
    </row>
    <row r="14" spans="1:15">
      <c r="B14" s="87"/>
      <c r="C14" s="88" t="s">
        <v>33</v>
      </c>
      <c r="D14" s="88" t="s">
        <v>55</v>
      </c>
      <c r="E14" s="88" t="s">
        <v>56</v>
      </c>
      <c r="F14" s="88" t="s">
        <v>57</v>
      </c>
      <c r="H14" s="89"/>
      <c r="J14" s="82"/>
      <c r="O14" s="83"/>
    </row>
    <row r="15" spans="1:15">
      <c r="B15" s="18" t="s">
        <v>6</v>
      </c>
      <c r="C15" s="90">
        <f>C6</f>
        <v>894000</v>
      </c>
      <c r="D15" s="90">
        <f>SUMIF($C$89:$C$136,$B15,$D$89:$D$136)</f>
        <v>3649427806.13483</v>
      </c>
      <c r="E15" s="31">
        <f>((D15/1000)/(365.25*24))/D47</f>
        <v>1189.4748561438123</v>
      </c>
      <c r="F15" s="31">
        <f>E15/C47</f>
        <v>1486.8435701797653</v>
      </c>
      <c r="H15" s="43"/>
      <c r="J15" s="82"/>
      <c r="O15" s="83"/>
    </row>
    <row r="16" spans="1:15">
      <c r="B16" s="18" t="s">
        <v>23</v>
      </c>
      <c r="C16" s="91">
        <f>AVERAGE(C6:C7)</f>
        <v>764000</v>
      </c>
      <c r="D16" s="92">
        <f>SUMIF($C$89:$C$136,$B16,$D$89:$D$136)</f>
        <v>1943458751.6819513</v>
      </c>
      <c r="E16" s="31">
        <f>((D16/1000)/(365.25*24))/D48</f>
        <v>633.44048488704777</v>
      </c>
      <c r="F16" s="31">
        <f>E16/C48</f>
        <v>791.80060610880969</v>
      </c>
      <c r="H16" s="43"/>
      <c r="J16" s="82"/>
      <c r="O16" s="83"/>
    </row>
    <row r="17" spans="2:15">
      <c r="B17" s="18" t="s">
        <v>5</v>
      </c>
      <c r="C17" s="90">
        <f>C8</f>
        <v>404000</v>
      </c>
      <c r="D17" s="90">
        <f>SUMIF($C$89:$C$136,$B17,$D$89:$D$136)-D119</f>
        <v>2453821081.479352</v>
      </c>
      <c r="E17" s="31">
        <f>((D17/1000)/(365.25*24))/D49</f>
        <v>559.84966495079902</v>
      </c>
      <c r="F17" s="31">
        <f>E17/C49</f>
        <v>661.7608332751762</v>
      </c>
      <c r="H17" s="43"/>
      <c r="J17" s="82"/>
      <c r="O17" s="83"/>
    </row>
    <row r="18" spans="2:15">
      <c r="B18" s="18" t="s">
        <v>4</v>
      </c>
      <c r="C18" s="90">
        <f>C9</f>
        <v>197000</v>
      </c>
      <c r="D18" s="90">
        <f>SUMIF($C$89:$C$136,$B18,$D$89:$D$136)-SUM(D128:D129)</f>
        <v>1681986366.7573659</v>
      </c>
      <c r="E18" s="31">
        <f>((D18/1000)/(365.25*24))/D50</f>
        <v>319.79359015084151</v>
      </c>
      <c r="F18" s="31">
        <f>E18/C50</f>
        <v>355.32621127871278</v>
      </c>
      <c r="H18" s="43"/>
      <c r="J18" s="82"/>
      <c r="O18" s="83"/>
    </row>
    <row r="19" spans="2:15">
      <c r="B19" s="93" t="s">
        <v>11</v>
      </c>
      <c r="C19" s="94">
        <f>C10</f>
        <v>86000</v>
      </c>
      <c r="D19" s="94">
        <f>SUMIF($C$89:$C$136,$B19,$D$89:$D$136)-D136</f>
        <v>1203661913.4933252</v>
      </c>
      <c r="E19" s="34">
        <f>((D19/1000)/(365.25*24))/D51</f>
        <v>196.15754269634715</v>
      </c>
      <c r="F19" s="34">
        <f>E19/C51</f>
        <v>206.48162389089174</v>
      </c>
      <c r="H19" s="43"/>
      <c r="J19" s="82"/>
      <c r="O19" s="83"/>
    </row>
    <row r="20" spans="2:15">
      <c r="B20" s="95" t="s">
        <v>3</v>
      </c>
      <c r="C20" s="96"/>
      <c r="D20" s="97">
        <f>SUM(D15:D19)</f>
        <v>10932355919.546825</v>
      </c>
      <c r="E20" s="97">
        <f>SUM(E15:E19)</f>
        <v>2898.7161388288478</v>
      </c>
      <c r="F20" s="97">
        <f>SUM(F15:F19)</f>
        <v>3502.2128447333557</v>
      </c>
      <c r="J20" s="82"/>
      <c r="O20" s="83"/>
    </row>
    <row r="21" spans="2:15">
      <c r="B21" s="98" t="s">
        <v>133</v>
      </c>
      <c r="C21" s="90"/>
      <c r="D21" s="99">
        <f>D20-D137</f>
        <v>0</v>
      </c>
      <c r="E21" s="31"/>
      <c r="F21" s="31"/>
      <c r="J21" s="82"/>
      <c r="O21" s="83"/>
    </row>
    <row r="22" spans="2:15">
      <c r="B22" s="18"/>
      <c r="C22" s="90"/>
      <c r="D22" s="31"/>
      <c r="E22" s="31"/>
      <c r="F22" s="31"/>
      <c r="J22" s="82"/>
      <c r="O22" s="83"/>
    </row>
    <row r="23" spans="2:15">
      <c r="B23" s="5" t="s">
        <v>38</v>
      </c>
      <c r="C23" s="100"/>
      <c r="D23" s="100"/>
    </row>
    <row r="24" spans="2:15" ht="38.25">
      <c r="B24" s="84" t="s">
        <v>26</v>
      </c>
      <c r="C24" s="85" t="s">
        <v>73</v>
      </c>
      <c r="D24" s="85" t="s">
        <v>46</v>
      </c>
    </row>
    <row r="25" spans="2:15">
      <c r="B25" s="101"/>
      <c r="C25" s="102" t="s">
        <v>31</v>
      </c>
      <c r="D25" s="102" t="s">
        <v>31</v>
      </c>
    </row>
    <row r="26" spans="2:15">
      <c r="B26" s="44" t="s">
        <v>6</v>
      </c>
      <c r="C26" s="103">
        <f>D15/SUM($D$15:$D$19)</f>
        <v>0.33381897122556436</v>
      </c>
      <c r="D26" s="260">
        <f>SUM(E89:E98,E103)/$E$137</f>
        <v>0.87293438131447865</v>
      </c>
      <c r="E26" s="252"/>
      <c r="H26" s="104"/>
    </row>
    <row r="27" spans="2:15">
      <c r="B27" s="44" t="s">
        <v>23</v>
      </c>
      <c r="C27" s="103">
        <f t="shared" ref="C27:C30" si="0">D16/SUM($D$15:$D$19)</f>
        <v>0.17777126595440307</v>
      </c>
      <c r="D27" s="253">
        <f>SUMIF($C$89:$C$136,$B27,$E$89:$E$136)/$E$137</f>
        <v>0.12345985800508401</v>
      </c>
      <c r="E27" s="252"/>
    </row>
    <row r="28" spans="2:15">
      <c r="B28" s="44" t="s">
        <v>5</v>
      </c>
      <c r="C28" s="103">
        <f t="shared" si="0"/>
        <v>0.22445492074512235</v>
      </c>
      <c r="D28" s="254">
        <f>(SUMIF($C$89:$C$136,$B28,$E$89:$E$136)-E119)/$E$137</f>
        <v>3.3639863433068905E-3</v>
      </c>
      <c r="E28" s="252"/>
    </row>
    <row r="29" spans="2:15">
      <c r="B29" s="44" t="s">
        <v>4</v>
      </c>
      <c r="C29" s="103">
        <f t="shared" si="0"/>
        <v>0.1538539706478097</v>
      </c>
      <c r="D29" s="254">
        <f>(SUMIF($C$89:$C$136,$B29,$E$89:$E$136)-SUM(E128:E129))/$E$137</f>
        <v>2.2774148564044621E-4</v>
      </c>
      <c r="E29" s="252"/>
    </row>
    <row r="30" spans="2:15">
      <c r="B30" s="51" t="s">
        <v>11</v>
      </c>
      <c r="C30" s="105">
        <f t="shared" si="0"/>
        <v>0.11010087142710043</v>
      </c>
      <c r="D30" s="255">
        <f ca="1">(SUMIF($C$89:$C$136,$B30,$E$89:$E$133)-E136)/$E$137</f>
        <v>1.4032851490040332E-5</v>
      </c>
      <c r="E30" s="252"/>
    </row>
    <row r="31" spans="2:15">
      <c r="B31" s="106" t="s">
        <v>133</v>
      </c>
      <c r="C31" s="99">
        <f>SUM(C26:C30)-1</f>
        <v>0</v>
      </c>
      <c r="D31" s="99">
        <f ca="1">SUM(D26:D30)-1</f>
        <v>0</v>
      </c>
    </row>
    <row r="33" spans="2:9">
      <c r="B33" s="1" t="s">
        <v>162</v>
      </c>
      <c r="C33" s="36">
        <f>SUM('SAC - VPN'!E6:E7,'SAC - VPN'!E13)</f>
        <v>4742909.6607754305</v>
      </c>
    </row>
    <row r="35" spans="2:9">
      <c r="B35" s="5" t="s">
        <v>77</v>
      </c>
    </row>
    <row r="36" spans="2:9">
      <c r="B36" s="107" t="s">
        <v>26</v>
      </c>
      <c r="C36" s="108" t="s">
        <v>78</v>
      </c>
      <c r="D36" s="108" t="s">
        <v>78</v>
      </c>
      <c r="E36" s="85" t="s">
        <v>79</v>
      </c>
      <c r="F36" s="85" t="s">
        <v>79</v>
      </c>
    </row>
    <row r="37" spans="2:9">
      <c r="B37" s="101"/>
      <c r="C37" s="87" t="s">
        <v>136</v>
      </c>
      <c r="D37" s="109" t="s">
        <v>31</v>
      </c>
      <c r="E37" s="87" t="s">
        <v>136</v>
      </c>
      <c r="F37" s="109" t="s">
        <v>31</v>
      </c>
    </row>
    <row r="38" spans="2:9">
      <c r="B38" s="44" t="s">
        <v>6</v>
      </c>
      <c r="C38" s="36">
        <f>Selection!F15*Selection!C15/1000</f>
        <v>1329238.1517407103</v>
      </c>
      <c r="D38" s="39">
        <f>C38/$C$33</f>
        <v>0.28025795277816651</v>
      </c>
      <c r="E38" s="36">
        <f>($C$33-$C$43)*(C15/$C$15)+C38</f>
        <v>3782865.9377886057</v>
      </c>
      <c r="F38" s="39">
        <f>E38/$C$33</f>
        <v>0.7975833841140747</v>
      </c>
      <c r="H38" s="104"/>
      <c r="I38" s="110"/>
    </row>
    <row r="39" spans="2:9">
      <c r="B39" s="44" t="s">
        <v>23</v>
      </c>
      <c r="C39" s="36">
        <f>Selection!F16*Selection!C16/1000</f>
        <v>604935.6630671306</v>
      </c>
      <c r="D39" s="39">
        <f>C39/$C$33</f>
        <v>0.12754526363216206</v>
      </c>
      <c r="E39" s="36">
        <f>($C$33-$C$43)*(C16/$C$15)+C39</f>
        <v>2701771.9366024686</v>
      </c>
      <c r="F39" s="39">
        <f>E39/$C$33</f>
        <v>0.56964440182079057</v>
      </c>
      <c r="I39" s="110"/>
    </row>
    <row r="40" spans="2:9">
      <c r="B40" s="44" t="s">
        <v>5</v>
      </c>
      <c r="C40" s="36">
        <f>Selection!F17*Selection!C17/1000</f>
        <v>267351.37664317118</v>
      </c>
      <c r="D40" s="39">
        <f>C40/$C$33</f>
        <v>5.6368641986628359E-2</v>
      </c>
      <c r="E40" s="36">
        <f>($C$33-$C$43)*(C17/$C$15)+C40</f>
        <v>1376149.6155283498</v>
      </c>
      <c r="F40" s="39">
        <f>E40/$C$33</f>
        <v>0.29014881453663605</v>
      </c>
      <c r="I40" s="110"/>
    </row>
    <row r="41" spans="2:9">
      <c r="B41" s="44" t="s">
        <v>4</v>
      </c>
      <c r="C41" s="36">
        <f>Selection!F18*Selection!C18/1000</f>
        <v>69999.263621906415</v>
      </c>
      <c r="D41" s="39">
        <f>C41/$C$33</f>
        <v>1.4758717460045836E-2</v>
      </c>
      <c r="E41" s="36">
        <f>($C$33-$C$43)*(C18/$C$15)+C41</f>
        <v>610675.63258324354</v>
      </c>
      <c r="F41" s="39">
        <f>E41/$C$33</f>
        <v>0.12875548476784662</v>
      </c>
      <c r="I41" s="110"/>
    </row>
    <row r="42" spans="2:9">
      <c r="B42" s="51" t="s">
        <v>11</v>
      </c>
      <c r="C42" s="111">
        <f>Selection!F19*Selection!C19/1000</f>
        <v>17757.41965461669</v>
      </c>
      <c r="D42" s="112">
        <f>C42/$C$33</f>
        <v>3.7439928070891158E-3</v>
      </c>
      <c r="E42" s="111">
        <f>($C$33-$C$43)*(C19/$C$15)+C42</f>
        <v>253788.7279321547</v>
      </c>
      <c r="F42" s="112">
        <f>E42/$C$33</f>
        <v>5.3509079042981841E-2</v>
      </c>
      <c r="I42" s="110"/>
    </row>
    <row r="43" spans="2:9">
      <c r="B43" s="113" t="s">
        <v>3</v>
      </c>
      <c r="C43" s="114">
        <f>SUM(C38:C42)</f>
        <v>2289281.8747275351</v>
      </c>
      <c r="D43" s="115"/>
      <c r="E43" s="116"/>
      <c r="F43" s="114"/>
    </row>
    <row r="44" spans="2:9">
      <c r="C44" s="110"/>
      <c r="F44" s="110"/>
    </row>
    <row r="45" spans="2:9">
      <c r="B45" s="5" t="s">
        <v>65</v>
      </c>
      <c r="F45" s="117"/>
      <c r="G45" s="117"/>
    </row>
    <row r="46" spans="2:9">
      <c r="B46" s="76" t="s">
        <v>26</v>
      </c>
      <c r="C46" s="118" t="s">
        <v>36</v>
      </c>
      <c r="D46" s="118" t="s">
        <v>37</v>
      </c>
      <c r="F46" s="119"/>
      <c r="G46" s="119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20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1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2">
        <f>CHOOSE(Inputs!$D$6,Inputs!E27,Inputs!F27,Inputs!G27,Inputs!H27,Inputs!I27)</f>
        <v>0.95</v>
      </c>
      <c r="D51" s="122">
        <f>CHOOSE(Inputs!$D$6,Inputs!E35,Inputs!F35,Inputs!G35,Inputs!H35,Inputs!I35)</f>
        <v>0.7</v>
      </c>
      <c r="E51" s="17"/>
      <c r="F51" s="43"/>
      <c r="G51" s="43"/>
    </row>
    <row r="54" spans="2:13" ht="25.5">
      <c r="B54" s="84" t="s">
        <v>21</v>
      </c>
      <c r="C54" s="85" t="s">
        <v>13</v>
      </c>
      <c r="D54" s="85" t="s">
        <v>72</v>
      </c>
    </row>
    <row r="55" spans="2:13" s="58" customFormat="1">
      <c r="B55" s="123"/>
      <c r="C55" s="88" t="s">
        <v>32</v>
      </c>
      <c r="D55" s="88" t="s">
        <v>32</v>
      </c>
      <c r="M55" s="1"/>
    </row>
    <row r="56" spans="2:13">
      <c r="B56" s="2" t="s">
        <v>11</v>
      </c>
      <c r="C56" s="124">
        <f>CHOOSE(Inputs!$D$6,Inputs!E39,Inputs!F39,Inputs!G39,Inputs!H39,Inputs!I39)</f>
        <v>50</v>
      </c>
      <c r="D56" s="124">
        <f>CHOOSE(Inputs!$D$6,Inputs!E49,Inputs!F49,Inputs!G49,Inputs!H49,Inputs!I49)</f>
        <v>37.119466451026568</v>
      </c>
    </row>
    <row r="57" spans="2:13">
      <c r="B57" s="2" t="s">
        <v>14</v>
      </c>
      <c r="C57" s="124">
        <f>CHOOSE(Inputs!$D$6,Inputs!E40,Inputs!F40,Inputs!G40,Inputs!H40,Inputs!I40)</f>
        <v>51</v>
      </c>
      <c r="D57" s="124">
        <f>CHOOSE(Inputs!$D$6,Inputs!E50,Inputs!F50,Inputs!G50,Inputs!H50,Inputs!I50)</f>
        <v>31.097664167363369</v>
      </c>
    </row>
    <row r="58" spans="2:13">
      <c r="B58" s="2" t="s">
        <v>15</v>
      </c>
      <c r="C58" s="124">
        <f>CHOOSE(Inputs!$D$6,Inputs!E41,Inputs!F41,Inputs!G41,Inputs!H41,Inputs!I41)</f>
        <v>15</v>
      </c>
      <c r="D58" s="124">
        <f>CHOOSE(Inputs!$D$6,Inputs!E51,Inputs!F51,Inputs!G51,Inputs!H51,Inputs!I51)</f>
        <v>0.81213039720019342</v>
      </c>
      <c r="E58" s="125"/>
    </row>
    <row r="59" spans="2:13">
      <c r="B59" s="18" t="s">
        <v>16</v>
      </c>
      <c r="C59" s="124">
        <f>CHOOSE(Inputs!$D$6,Inputs!E42,Inputs!F42,Inputs!G42,Inputs!H42,Inputs!I42)</f>
        <v>25</v>
      </c>
      <c r="D59" s="124">
        <f>CHOOSE(Inputs!$D$6,Inputs!E52,Inputs!F52,Inputs!G52,Inputs!H52,Inputs!I52)</f>
        <v>8.1149067241880299</v>
      </c>
    </row>
    <row r="60" spans="2:13">
      <c r="B60" s="2" t="s">
        <v>17</v>
      </c>
      <c r="C60" s="124">
        <f>CHOOSE(Inputs!$D$6,Inputs!E43,Inputs!F43,Inputs!G43,Inputs!H43,Inputs!I43)</f>
        <v>13</v>
      </c>
      <c r="D60" s="124">
        <f>CHOOSE(Inputs!$D$6,Inputs!E53,Inputs!F53,Inputs!G53,Inputs!H53,Inputs!I53)</f>
        <v>9.731537213186531</v>
      </c>
    </row>
    <row r="61" spans="2:13">
      <c r="B61" s="2" t="s">
        <v>18</v>
      </c>
      <c r="C61" s="124">
        <f>CHOOSE(Inputs!$D$6,Inputs!E44,Inputs!F44,Inputs!G44,Inputs!H44,Inputs!I44)</f>
        <v>6</v>
      </c>
      <c r="D61" s="124">
        <f>CHOOSE(Inputs!$D$6,Inputs!E54,Inputs!F54,Inputs!G54,Inputs!H54,Inputs!I54)</f>
        <v>4.8792170589104265</v>
      </c>
    </row>
    <row r="62" spans="2:13">
      <c r="B62" s="2" t="s">
        <v>19</v>
      </c>
      <c r="C62" s="124">
        <f>CHOOSE(Inputs!$D$6,Inputs!E45,Inputs!F45,Inputs!G45,Inputs!H45,Inputs!I45)</f>
        <v>15</v>
      </c>
      <c r="D62" s="124">
        <f>CHOOSE(Inputs!$D$6,Inputs!E55,Inputs!F55,Inputs!G55,Inputs!H55,Inputs!I55)</f>
        <v>9.4076424298216583</v>
      </c>
    </row>
    <row r="63" spans="2:13">
      <c r="B63" s="32" t="s">
        <v>134</v>
      </c>
      <c r="C63" s="126">
        <f>CHOOSE(Inputs!$D$6,Inputs!E46,Inputs!F46,Inputs!G46,Inputs!H46,Inputs!I46)</f>
        <v>25.606197014581664</v>
      </c>
      <c r="D63" s="126">
        <f>CHOOSE(Inputs!$D$6,Inputs!E56,Inputs!F56,Inputs!G56,Inputs!H56,Inputs!I56)</f>
        <v>24.427466469391831</v>
      </c>
    </row>
    <row r="66" spans="2:5">
      <c r="B66" s="84" t="s">
        <v>21</v>
      </c>
      <c r="C66" s="85" t="s">
        <v>125</v>
      </c>
    </row>
    <row r="67" spans="2:5">
      <c r="B67" s="101"/>
      <c r="C67" s="87" t="s">
        <v>136</v>
      </c>
    </row>
    <row r="68" spans="2:5">
      <c r="B68" s="2" t="s">
        <v>11</v>
      </c>
      <c r="C68" s="16">
        <f>CHOOSE(Inputs!$D$6,Inputs!E59,Inputs!F59,Inputs!G59,Inputs!H59,Inputs!I59)</f>
        <v>397867.63609644753</v>
      </c>
    </row>
    <row r="69" spans="2:5">
      <c r="B69" s="2" t="s">
        <v>14</v>
      </c>
      <c r="C69" s="16">
        <f>CHOOSE(Inputs!$D$6,Inputs!E60,Inputs!F60,Inputs!G60,Inputs!H60,Inputs!I60)</f>
        <v>2500252.1932535786</v>
      </c>
    </row>
    <row r="70" spans="2:5">
      <c r="B70" s="2" t="s">
        <v>15</v>
      </c>
      <c r="C70" s="16">
        <f>CHOOSE(Inputs!$D$6,Inputs!E61,Inputs!F61,Inputs!G61,Inputs!H61,Inputs!I61)</f>
        <v>13339.144448176357</v>
      </c>
    </row>
    <row r="71" spans="2:5">
      <c r="B71" s="18" t="s">
        <v>16</v>
      </c>
      <c r="C71" s="16">
        <f>CHOOSE(Inputs!$D$6,Inputs!E62,Inputs!F62,Inputs!G62,Inputs!H62,Inputs!I62)</f>
        <v>12648.851520772008</v>
      </c>
    </row>
    <row r="72" spans="2:5">
      <c r="B72" s="2" t="s">
        <v>17</v>
      </c>
      <c r="C72" s="16">
        <f>CHOOSE(Inputs!$D$6,Inputs!E63,Inputs!F63,Inputs!G63,Inputs!H63,Inputs!I63)</f>
        <v>15642.34525838385</v>
      </c>
    </row>
    <row r="73" spans="2:5">
      <c r="B73" s="2" t="s">
        <v>18</v>
      </c>
      <c r="C73" s="16">
        <f>CHOOSE(Inputs!$D$6,Inputs!E64,Inputs!F64,Inputs!G64,Inputs!H64,Inputs!I64)</f>
        <v>93503.473915467912</v>
      </c>
    </row>
    <row r="74" spans="2:5">
      <c r="B74" s="2" t="s">
        <v>19</v>
      </c>
      <c r="C74" s="16">
        <f>CHOOSE(Inputs!$D$6,Inputs!E65,Inputs!F65,Inputs!G65,Inputs!H65,Inputs!I65)</f>
        <v>148698.20945306667</v>
      </c>
    </row>
    <row r="75" spans="2:5">
      <c r="B75" s="32" t="s">
        <v>134</v>
      </c>
      <c r="C75" s="127">
        <f>CHOOSE(Inputs!$D$6,Inputs!E66,Inputs!F66,Inputs!G66,Inputs!H66,Inputs!I66)</f>
        <v>101674.87028654</v>
      </c>
    </row>
    <row r="76" spans="2:5">
      <c r="B76" s="128" t="s">
        <v>3</v>
      </c>
      <c r="C76" s="129">
        <f>SUM(C68:C75)</f>
        <v>3283626.7242324338</v>
      </c>
    </row>
    <row r="78" spans="2:5">
      <c r="B78" s="76" t="s">
        <v>68</v>
      </c>
      <c r="C78" s="130" t="s">
        <v>136</v>
      </c>
    </row>
    <row r="79" spans="2:5">
      <c r="B79" s="131" t="s">
        <v>69</v>
      </c>
      <c r="C79" s="132">
        <f>CHOOSE(Inputs!$D$6,Inputs!E71,Inputs!F71,Inputs!G71,Inputs!H71,Inputs!I71)</f>
        <v>249985.63510446332</v>
      </c>
      <c r="E79" s="45"/>
    </row>
    <row r="80" spans="2:5">
      <c r="B80" s="44" t="s">
        <v>41</v>
      </c>
      <c r="C80" s="133">
        <f>CHOOSE(Inputs!$D$6,Inputs!E72,Inputs!F72,Inputs!G72,Inputs!H72,Inputs!I72)</f>
        <v>169990.23187103507</v>
      </c>
      <c r="D80" s="134"/>
      <c r="E80" s="45"/>
    </row>
    <row r="81" spans="2:8">
      <c r="B81" s="44" t="s">
        <v>8</v>
      </c>
      <c r="C81" s="133">
        <f>CHOOSE(Inputs!$D$6,Inputs!E73,Inputs!F73,Inputs!G73,Inputs!H73,Inputs!I73)</f>
        <v>109188.68686225275</v>
      </c>
      <c r="E81" s="45"/>
    </row>
    <row r="82" spans="2:8">
      <c r="B82" s="51" t="s">
        <v>44</v>
      </c>
      <c r="C82" s="135">
        <f>CHOOSE(Inputs!$D$6,Inputs!E74,Inputs!F74,Inputs!G74,Inputs!H74,Inputs!I74)</f>
        <v>22498.707159401696</v>
      </c>
      <c r="D82" s="136" t="s">
        <v>149</v>
      </c>
    </row>
    <row r="83" spans="2:8">
      <c r="H83" s="137"/>
    </row>
    <row r="84" spans="2:8">
      <c r="B84" s="138"/>
      <c r="C84" s="77" t="s">
        <v>30</v>
      </c>
      <c r="D84" s="139">
        <v>2016</v>
      </c>
      <c r="E84" s="139">
        <f>D84+1</f>
        <v>2017</v>
      </c>
      <c r="F84" s="139">
        <f>E84+1</f>
        <v>2018</v>
      </c>
      <c r="G84" s="139">
        <f>F84+1</f>
        <v>2019</v>
      </c>
      <c r="H84" s="139">
        <f>G84+1</f>
        <v>2020</v>
      </c>
    </row>
    <row r="85" spans="2:8">
      <c r="B85" s="2" t="s">
        <v>39</v>
      </c>
      <c r="C85" s="15" t="s">
        <v>136</v>
      </c>
      <c r="D85" s="132">
        <f>Inputs!E75</f>
        <v>2992.2484206374374</v>
      </c>
      <c r="E85" s="132">
        <f>Inputs!F75</f>
        <v>6588.8577166085506</v>
      </c>
      <c r="F85" s="132">
        <f>Inputs!G75</f>
        <v>10911.11768746742</v>
      </c>
      <c r="G85" s="132">
        <f>Inputs!H75</f>
        <v>15298.932017290164</v>
      </c>
      <c r="H85" s="132">
        <f>Inputs!I75</f>
        <v>19837.330166553736</v>
      </c>
    </row>
    <row r="86" spans="2:8">
      <c r="B86" s="32" t="s">
        <v>40</v>
      </c>
      <c r="C86" s="33" t="s">
        <v>136</v>
      </c>
      <c r="D86" s="135">
        <f>Inputs!E76</f>
        <v>64710.599206995517</v>
      </c>
      <c r="E86" s="135">
        <f>Inputs!F76</f>
        <v>63125.106904084219</v>
      </c>
      <c r="F86" s="135">
        <f>Inputs!G76</f>
        <v>45025.146806653356</v>
      </c>
      <c r="G86" s="135">
        <f>Inputs!H76</f>
        <v>54030.533421437489</v>
      </c>
      <c r="H86" s="135">
        <f>Inputs!I76</f>
        <v>47398.40617592635</v>
      </c>
    </row>
    <row r="87" spans="2:8">
      <c r="B87" s="2"/>
      <c r="C87" s="15"/>
      <c r="D87" s="48"/>
    </row>
    <row r="88" spans="2:8" ht="25.5">
      <c r="B88" s="140" t="s">
        <v>24</v>
      </c>
      <c r="C88" s="141" t="s">
        <v>25</v>
      </c>
      <c r="D88" s="142" t="s">
        <v>28</v>
      </c>
      <c r="E88" s="142" t="s">
        <v>45</v>
      </c>
      <c r="F88" s="142" t="s">
        <v>122</v>
      </c>
      <c r="H88" s="137"/>
    </row>
    <row r="89" spans="2:8">
      <c r="B89" s="2" t="str">
        <f>Inputs!B80</f>
        <v>Residential Single Rate</v>
      </c>
      <c r="C89" s="2" t="str">
        <f>Inputs!C80</f>
        <v>Residential</v>
      </c>
      <c r="D89" s="143">
        <f>CHOOSE(Inputs!$D$6,Inputs!E80,Inputs!F80,Inputs!G80,Inputs!H80,Inputs!I80)</f>
        <v>2509366847.1791286</v>
      </c>
      <c r="E89" s="143">
        <f>CHOOSE(Inputs!$D$6,Inputs!E135,Inputs!F135,Inputs!G135,Inputs!H135,Inputs!I135)</f>
        <v>567490.75</v>
      </c>
      <c r="F89" s="143">
        <f>CHOOSE(Inputs!$D$6,Inputs!E190,Inputs!F190,Inputs!G190,Inputs!H190,Inputs!I190)</f>
        <v>196854631.73137647</v>
      </c>
      <c r="G89" s="110"/>
      <c r="H89" s="137"/>
    </row>
    <row r="90" spans="2:8">
      <c r="B90" s="2" t="str">
        <f>Inputs!B81</f>
        <v>Climate Saver</v>
      </c>
      <c r="C90" s="2" t="str">
        <f>Inputs!C81</f>
        <v>Residential</v>
      </c>
      <c r="D90" s="143">
        <f>CHOOSE(Inputs!$D$6,Inputs!E81,Inputs!F81,Inputs!G81,Inputs!H81,Inputs!I81)</f>
        <v>27810060.710982971</v>
      </c>
      <c r="E90" s="143">
        <f>CHOOSE(Inputs!$D$6,Inputs!E136,Inputs!F136,Inputs!G136,Inputs!H136,Inputs!I136)</f>
        <v>16851.166666666668</v>
      </c>
      <c r="F90" s="143">
        <f>CHOOSE(Inputs!$D$6,Inputs!E191,Inputs!F191,Inputs!G191,Inputs!H191,Inputs!I191)</f>
        <v>1033745.1036935151</v>
      </c>
      <c r="G90" s="110"/>
      <c r="H90" s="137"/>
    </row>
    <row r="91" spans="2:8">
      <c r="B91" s="2" t="str">
        <f>Inputs!B82</f>
        <v>Climate Saver Interval</v>
      </c>
      <c r="C91" s="2" t="str">
        <f>Inputs!C82</f>
        <v>Residential</v>
      </c>
      <c r="D91" s="143">
        <f>CHOOSE(Inputs!$D$6,Inputs!E82,Inputs!F82,Inputs!G82,Inputs!H82,Inputs!I82)</f>
        <v>8642037.9168540128</v>
      </c>
      <c r="E91" s="143">
        <f>CHOOSE(Inputs!$D$6,Inputs!E137,Inputs!F137,Inputs!G137,Inputs!H137,Inputs!I137)</f>
        <v>4604.916666666667</v>
      </c>
      <c r="F91" s="143">
        <f>CHOOSE(Inputs!$D$6,Inputs!E192,Inputs!F192,Inputs!G192,Inputs!H192,Inputs!I192)</f>
        <v>307205.74214919156</v>
      </c>
      <c r="G91" s="110"/>
      <c r="H91" s="137"/>
    </row>
    <row r="92" spans="2:8">
      <c r="B92" s="2" t="str">
        <f>Inputs!B83</f>
        <v>Residential - Flexible Pricing</v>
      </c>
      <c r="C92" s="2" t="str">
        <f>Inputs!C83</f>
        <v>Residential</v>
      </c>
      <c r="D92" s="143">
        <f>CHOOSE(Inputs!$D$6,Inputs!E83,Inputs!F83,Inputs!G83,Inputs!H83,Inputs!I83)</f>
        <v>16419628.196525481</v>
      </c>
      <c r="E92" s="143">
        <f>CHOOSE(Inputs!$D$6,Inputs!E138,Inputs!F138,Inputs!G138,Inputs!H138,Inputs!I138)</f>
        <v>3036.0833333333335</v>
      </c>
      <c r="F92" s="143">
        <f>CHOOSE(Inputs!$D$6,Inputs!E193,Inputs!F193,Inputs!G193,Inputs!H193,Inputs!I193)</f>
        <v>1274348.7725348449</v>
      </c>
      <c r="G92" s="110"/>
      <c r="H92" s="137"/>
    </row>
    <row r="93" spans="2:8">
      <c r="B93" s="2" t="str">
        <f>Inputs!B84</f>
        <v>Residential Docklands  - Flexible Pricing</v>
      </c>
      <c r="C93" s="2" t="str">
        <f>Inputs!C84</f>
        <v>Residential</v>
      </c>
      <c r="D93" s="143">
        <f>CHOOSE(Inputs!$D$6,Inputs!E84,Inputs!F84,Inputs!G84,Inputs!H84,Inputs!I84)</f>
        <v>5627.6820728598495</v>
      </c>
      <c r="E93" s="143">
        <f>CHOOSE(Inputs!$D$6,Inputs!E139,Inputs!F139,Inputs!G139,Inputs!H139,Inputs!I139)</f>
        <v>1</v>
      </c>
      <c r="F93" s="143">
        <f>CHOOSE(Inputs!$D$6,Inputs!E194,Inputs!F194,Inputs!G194,Inputs!H194,Inputs!I194)</f>
        <v>335.61786179242114</v>
      </c>
      <c r="G93" s="110"/>
      <c r="H93" s="137"/>
    </row>
    <row r="94" spans="2:8">
      <c r="B94" s="2" t="str">
        <f>Inputs!B85</f>
        <v>Climate Saver - Flexible Pricing</v>
      </c>
      <c r="C94" s="2" t="str">
        <f>Inputs!C85</f>
        <v>Residential</v>
      </c>
      <c r="D94" s="143">
        <f>CHOOSE(Inputs!$D$6,Inputs!E85,Inputs!F85,Inputs!G85,Inputs!H85,Inputs!I85)</f>
        <v>100166.18697262542</v>
      </c>
      <c r="E94" s="143">
        <f>CHOOSE(Inputs!$D$6,Inputs!E140,Inputs!F140,Inputs!G140,Inputs!H140,Inputs!I140)</f>
        <v>55.666666666666664</v>
      </c>
      <c r="F94" s="143">
        <f>CHOOSE(Inputs!$D$6,Inputs!E195,Inputs!F195,Inputs!G195,Inputs!H195,Inputs!I195)</f>
        <v>3090.1127602981505</v>
      </c>
      <c r="G94" s="110"/>
      <c r="H94" s="137"/>
    </row>
    <row r="95" spans="2:8">
      <c r="B95" s="2" t="str">
        <f>Inputs!B86</f>
        <v>Docklands single rate</v>
      </c>
      <c r="C95" s="2" t="str">
        <f>Inputs!C86</f>
        <v>Residential</v>
      </c>
      <c r="D95" s="143">
        <f>CHOOSE(Inputs!$D$6,Inputs!E86,Inputs!F86,Inputs!G86,Inputs!H86,Inputs!I86)</f>
        <v>47230.704175009523</v>
      </c>
      <c r="E95" s="143">
        <f>CHOOSE(Inputs!$D$6,Inputs!E141,Inputs!F141,Inputs!G141,Inputs!H141,Inputs!I141)</f>
        <v>2</v>
      </c>
      <c r="F95" s="143">
        <f>CHOOSE(Inputs!$D$6,Inputs!E196,Inputs!F196,Inputs!G196,Inputs!H196,Inputs!I196)</f>
        <v>805.5148047335615</v>
      </c>
      <c r="G95" s="110"/>
      <c r="H95" s="137"/>
    </row>
    <row r="96" spans="2:8">
      <c r="B96" s="2" t="str">
        <f>Inputs!B87</f>
        <v>Residential Two Rate 5d</v>
      </c>
      <c r="C96" s="2" t="str">
        <f>Inputs!C87</f>
        <v>Residential</v>
      </c>
      <c r="D96" s="143">
        <f>CHOOSE(Inputs!$D$6,Inputs!E87,Inputs!F87,Inputs!G87,Inputs!H87,Inputs!I87)</f>
        <v>238427280.30593872</v>
      </c>
      <c r="E96" s="143">
        <f>CHOOSE(Inputs!$D$6,Inputs!E142,Inputs!F142,Inputs!G142,Inputs!H142,Inputs!I142)</f>
        <v>45261.75</v>
      </c>
      <c r="F96" s="143">
        <f>CHOOSE(Inputs!$D$6,Inputs!E197,Inputs!F197,Inputs!G197,Inputs!H197,Inputs!I197)</f>
        <v>19983842.212957516</v>
      </c>
      <c r="G96" s="110"/>
      <c r="H96" s="137"/>
    </row>
    <row r="97" spans="2:8">
      <c r="B97" s="2" t="str">
        <f>Inputs!B88</f>
        <v>Docklands Two Rate 5d</v>
      </c>
      <c r="C97" s="2" t="str">
        <f>Inputs!C88</f>
        <v>Residential</v>
      </c>
      <c r="D97" s="143">
        <f>CHOOSE(Inputs!$D$6,Inputs!E88,Inputs!F88,Inputs!G88,Inputs!H88,Inputs!I88)</f>
        <v>3503100.3626599857</v>
      </c>
      <c r="E97" s="143">
        <f>CHOOSE(Inputs!$D$6,Inputs!E143,Inputs!F143,Inputs!G143,Inputs!H143,Inputs!I143)</f>
        <v>586.58333333333337</v>
      </c>
      <c r="F97" s="143">
        <f>CHOOSE(Inputs!$D$6,Inputs!E198,Inputs!F198,Inputs!G198,Inputs!H198,Inputs!I198)</f>
        <v>272554.25067192502</v>
      </c>
      <c r="G97" s="110"/>
      <c r="H97" s="137"/>
    </row>
    <row r="98" spans="2:8">
      <c r="B98" s="2" t="str">
        <f>Inputs!B89</f>
        <v>Residential Interval</v>
      </c>
      <c r="C98" s="2" t="str">
        <f>Inputs!C89</f>
        <v>Residential</v>
      </c>
      <c r="D98" s="143">
        <f>CHOOSE(Inputs!$D$6,Inputs!E89,Inputs!F89,Inputs!G89,Inputs!H89,Inputs!I89)</f>
        <v>467684024.69421959</v>
      </c>
      <c r="E98" s="143">
        <f>CHOOSE(Inputs!$D$6,Inputs!E144,Inputs!F144,Inputs!G144,Inputs!H144,Inputs!I144)</f>
        <v>108582.91666666667</v>
      </c>
      <c r="F98" s="143">
        <f>CHOOSE(Inputs!$D$6,Inputs!E199,Inputs!F199,Inputs!G199,Inputs!H199,Inputs!I199)</f>
        <v>46247278.216846429</v>
      </c>
      <c r="G98" s="110"/>
      <c r="H98" s="137"/>
    </row>
    <row r="99" spans="2:8">
      <c r="B99" s="2" t="str">
        <f>Inputs!B90</f>
        <v>Residential Two Rate 5d - controlled load</v>
      </c>
      <c r="C99" s="2" t="str">
        <f>Inputs!C90</f>
        <v>Residential</v>
      </c>
      <c r="D99" s="143">
        <f>CHOOSE(Inputs!$D$6,Inputs!E90,Inputs!F90,Inputs!G90,Inputs!H90,Inputs!I90)</f>
        <v>0</v>
      </c>
      <c r="E99" s="143">
        <f>CHOOSE(Inputs!$D$6,Inputs!E145,Inputs!F145,Inputs!G145,Inputs!H145,Inputs!I145)</f>
        <v>43106.333333333336</v>
      </c>
      <c r="F99" s="143">
        <f>CHOOSE(Inputs!$D$6,Inputs!E200,Inputs!F200,Inputs!G200,Inputs!H200,Inputs!I200)</f>
        <v>1264975.3953548509</v>
      </c>
      <c r="G99" s="110"/>
      <c r="H99" s="137"/>
    </row>
    <row r="100" spans="2:8">
      <c r="B100" s="2" t="str">
        <f>Inputs!B91</f>
        <v>Docklands Two Rate 5d - controlled load</v>
      </c>
      <c r="C100" s="2" t="str">
        <f>Inputs!C91</f>
        <v>Residential</v>
      </c>
      <c r="D100" s="143">
        <f>CHOOSE(Inputs!$D$6,Inputs!E91,Inputs!F91,Inputs!G91,Inputs!H91,Inputs!I91)</f>
        <v>0</v>
      </c>
      <c r="E100" s="143">
        <f>CHOOSE(Inputs!$D$6,Inputs!E146,Inputs!F146,Inputs!G146,Inputs!H146,Inputs!I146)</f>
        <v>71.333333333333329</v>
      </c>
      <c r="F100" s="143">
        <f>CHOOSE(Inputs!$D$6,Inputs!E201,Inputs!F201,Inputs!G201,Inputs!H201,Inputs!I201)</f>
        <v>2005.5655744913572</v>
      </c>
      <c r="G100" s="110"/>
      <c r="H100" s="137"/>
    </row>
    <row r="101" spans="2:8">
      <c r="B101" s="2" t="str">
        <f>Inputs!B92</f>
        <v>Dedicated circuit</v>
      </c>
      <c r="C101" s="2" t="str">
        <f>Inputs!C92</f>
        <v>Residential</v>
      </c>
      <c r="D101" s="143">
        <f>CHOOSE(Inputs!$D$6,Inputs!E92,Inputs!F92,Inputs!G92,Inputs!H92,Inputs!I92)</f>
        <v>377403993.95361656</v>
      </c>
      <c r="E101" s="143">
        <f>CHOOSE(Inputs!$D$6,Inputs!E147,Inputs!F147,Inputs!G147,Inputs!H147,Inputs!I147)</f>
        <v>156808.83333333334</v>
      </c>
      <c r="F101" s="143">
        <f>CHOOSE(Inputs!$D$6,Inputs!E202,Inputs!F202,Inputs!G202,Inputs!H202,Inputs!I202)</f>
        <v>4515915.9762832252</v>
      </c>
      <c r="G101" s="110"/>
      <c r="H101" s="137"/>
    </row>
    <row r="102" spans="2:8">
      <c r="B102" s="2" t="str">
        <f>Inputs!B93</f>
        <v>Hot Water Interval</v>
      </c>
      <c r="C102" s="2" t="str">
        <f>Inputs!C93</f>
        <v>Residential</v>
      </c>
      <c r="D102" s="143">
        <f>CHOOSE(Inputs!$D$6,Inputs!E93,Inputs!F93,Inputs!G93,Inputs!H93,Inputs!I93)</f>
        <v>0</v>
      </c>
      <c r="E102" s="143">
        <f>CHOOSE(Inputs!$D$6,Inputs!E148,Inputs!F148,Inputs!G148,Inputs!H148,Inputs!I148)</f>
        <v>5477.083333333333</v>
      </c>
      <c r="F102" s="143">
        <f>CHOOSE(Inputs!$D$6,Inputs!E203,Inputs!F203,Inputs!G203,Inputs!H203,Inputs!I203)</f>
        <v>154693.17932497599</v>
      </c>
      <c r="G102" s="110"/>
      <c r="H102" s="137"/>
    </row>
    <row r="103" spans="2:8">
      <c r="B103" s="2" t="str">
        <f>Inputs!B94</f>
        <v>Residential Demand</v>
      </c>
      <c r="C103" s="2" t="str">
        <f>Inputs!C94</f>
        <v>Residential</v>
      </c>
      <c r="D103" s="143">
        <f>CHOOSE(Inputs!$D$6,Inputs!E94,Inputs!F94,Inputs!G94,Inputs!H94,Inputs!I94)</f>
        <v>17808.241684154269</v>
      </c>
      <c r="E103" s="143">
        <f>CHOOSE(Inputs!$D$6,Inputs!E149,Inputs!F149,Inputs!G149,Inputs!H149,Inputs!I149)</f>
        <v>5</v>
      </c>
      <c r="F103" s="143">
        <f>CHOOSE(Inputs!$D$6,Inputs!E204,Inputs!F204,Inputs!G204,Inputs!H204,Inputs!I204)</f>
        <v>1852.7172428189183</v>
      </c>
      <c r="G103" s="110"/>
      <c r="H103" s="137"/>
    </row>
    <row r="104" spans="2:8">
      <c r="B104" s="2" t="str">
        <f>Inputs!B96</f>
        <v>Non-Residential Single Rate</v>
      </c>
      <c r="C104" s="2" t="str">
        <f>Inputs!C96</f>
        <v>Small Commercial</v>
      </c>
      <c r="D104" s="143">
        <f>CHOOSE(Inputs!$D$6,Inputs!E96,Inputs!F96,Inputs!G96,Inputs!H96,Inputs!I96)</f>
        <v>285894018.26903731</v>
      </c>
      <c r="E104" s="143">
        <f>CHOOSE(Inputs!$D$6,Inputs!E151,Inputs!F151,Inputs!G151,Inputs!H151,Inputs!I151)</f>
        <v>45028.583333333336</v>
      </c>
      <c r="F104" s="143">
        <f>CHOOSE(Inputs!$D$6,Inputs!E206,Inputs!F206,Inputs!G206,Inputs!H206,Inputs!I206)</f>
        <v>26396237.369124465</v>
      </c>
      <c r="G104" s="110"/>
      <c r="H104" s="137"/>
    </row>
    <row r="105" spans="2:8">
      <c r="B105" s="2" t="str">
        <f>Inputs!B97</f>
        <v>Non-Residential Flexible Pricing</v>
      </c>
      <c r="C105" s="2" t="str">
        <f>Inputs!C97</f>
        <v>Small Commercial</v>
      </c>
      <c r="D105" s="143">
        <f>CHOOSE(Inputs!$D$6,Inputs!E97,Inputs!F97,Inputs!G97,Inputs!H97,Inputs!I97)</f>
        <v>3674598.2115709148</v>
      </c>
      <c r="E105" s="143">
        <f>CHOOSE(Inputs!$D$6,Inputs!E152,Inputs!F152,Inputs!G152,Inputs!H152,Inputs!I152)</f>
        <v>176</v>
      </c>
      <c r="F105" s="143">
        <f>CHOOSE(Inputs!$D$6,Inputs!E207,Inputs!F207,Inputs!G207,Inputs!H207,Inputs!I207)</f>
        <v>273390.87479082169</v>
      </c>
      <c r="G105" s="110"/>
      <c r="H105" s="137"/>
    </row>
    <row r="106" spans="2:8">
      <c r="B106" s="2" t="str">
        <f>Inputs!B98</f>
        <v>Non-Residential Two Rate 5d</v>
      </c>
      <c r="C106" s="2" t="str">
        <f>Inputs!C98</f>
        <v>Small Commercial</v>
      </c>
      <c r="D106" s="143">
        <f>CHOOSE(Inputs!$D$6,Inputs!E98,Inputs!F98,Inputs!G98,Inputs!H98,Inputs!I98)</f>
        <v>365199397.66611707</v>
      </c>
      <c r="E106" s="143">
        <f>CHOOSE(Inputs!$D$6,Inputs!E153,Inputs!F153,Inputs!G153,Inputs!H153,Inputs!I153)</f>
        <v>24187.416666666668</v>
      </c>
      <c r="F106" s="143">
        <f>CHOOSE(Inputs!$D$6,Inputs!E208,Inputs!F208,Inputs!G208,Inputs!H208,Inputs!I208)</f>
        <v>32139472.330984455</v>
      </c>
      <c r="G106" s="110"/>
      <c r="H106" s="137"/>
    </row>
    <row r="107" spans="2:8">
      <c r="B107" s="2" t="str">
        <f>Inputs!B99</f>
        <v>Non-Residential Interval</v>
      </c>
      <c r="C107" s="2" t="str">
        <f>Inputs!C99</f>
        <v>Small Commercial</v>
      </c>
      <c r="D107" s="143">
        <f>CHOOSE(Inputs!$D$6,Inputs!E99,Inputs!F99,Inputs!G99,Inputs!H99,Inputs!I99)</f>
        <v>148074016.15727383</v>
      </c>
      <c r="E107" s="143">
        <f>CHOOSE(Inputs!$D$6,Inputs!E154,Inputs!F154,Inputs!G154,Inputs!H154,Inputs!I154)</f>
        <v>12355.25</v>
      </c>
      <c r="F107" s="143">
        <f>CHOOSE(Inputs!$D$6,Inputs!E209,Inputs!F209,Inputs!G209,Inputs!H209,Inputs!I209)</f>
        <v>14843024.980910152</v>
      </c>
      <c r="G107" s="110"/>
      <c r="H107" s="137"/>
    </row>
    <row r="108" spans="2:8">
      <c r="B108" s="2" t="str">
        <f>Inputs!B100</f>
        <v>Non-Residential Two Rate 7d</v>
      </c>
      <c r="C108" s="2" t="str">
        <f>Inputs!C100</f>
        <v>Small Commercial</v>
      </c>
      <c r="D108" s="143">
        <f>CHOOSE(Inputs!$D$6,Inputs!E100,Inputs!F100,Inputs!G100,Inputs!H100,Inputs!I100)</f>
        <v>75458851.694558352</v>
      </c>
      <c r="E108" s="143">
        <f>CHOOSE(Inputs!$D$6,Inputs!E155,Inputs!F155,Inputs!G155,Inputs!H155,Inputs!I155)</f>
        <v>7234.583333333333</v>
      </c>
      <c r="F108" s="143">
        <f>CHOOSE(Inputs!$D$6,Inputs!E210,Inputs!F210,Inputs!G210,Inputs!H210,Inputs!I210)</f>
        <v>7726228.6053722054</v>
      </c>
      <c r="G108" s="110"/>
      <c r="H108" s="137"/>
    </row>
    <row r="109" spans="2:8">
      <c r="B109" s="2" t="str">
        <f>Inputs!B101</f>
        <v>Non-Residential Demand</v>
      </c>
      <c r="C109" s="2" t="str">
        <f>Inputs!C101</f>
        <v>Small Commercial</v>
      </c>
      <c r="D109" s="143">
        <f>CHOOSE(Inputs!$D$6,Inputs!E101,Inputs!F101,Inputs!G101,Inputs!H101,Inputs!I101)</f>
        <v>4632749.4571953053</v>
      </c>
      <c r="E109" s="143">
        <f>CHOOSE(Inputs!$D$6,Inputs!E156,Inputs!F156,Inputs!G156,Inputs!H156,Inputs!I156)</f>
        <v>8</v>
      </c>
      <c r="F109" s="143">
        <f>CHOOSE(Inputs!$D$6,Inputs!E211,Inputs!F211,Inputs!G211,Inputs!H211,Inputs!I211)</f>
        <v>15317.816355993649</v>
      </c>
      <c r="G109" s="110"/>
      <c r="H109" s="137"/>
    </row>
    <row r="110" spans="2:8">
      <c r="B110" s="2" t="str">
        <f>Inputs!B102</f>
        <v>Medium business demand</v>
      </c>
      <c r="C110" s="2" t="str">
        <f>Inputs!C102</f>
        <v>Small Commercial</v>
      </c>
      <c r="D110" s="143">
        <f>CHOOSE(Inputs!$D$6,Inputs!E102,Inputs!F102,Inputs!G102,Inputs!H102,Inputs!I102)</f>
        <v>982527187.44487429</v>
      </c>
      <c r="E110" s="143">
        <f>CHOOSE(Inputs!$D$6,Inputs!E157,Inputs!F157,Inputs!G157,Inputs!H157,Inputs!I157)</f>
        <v>8262</v>
      </c>
      <c r="F110" s="143">
        <f>CHOOSE(Inputs!$D$6,Inputs!E212,Inputs!F212,Inputs!G212,Inputs!H212,Inputs!I212)</f>
        <v>78965596.544653744</v>
      </c>
      <c r="G110" s="110"/>
      <c r="H110" s="137"/>
    </row>
    <row r="111" spans="2:8">
      <c r="B111" s="2" t="str">
        <f>Inputs!B104</f>
        <v>Public Lighting</v>
      </c>
      <c r="C111" s="2" t="str">
        <f>Inputs!C104</f>
        <v>Small Commercial</v>
      </c>
      <c r="D111" s="143">
        <f>CHOOSE(Inputs!$D$6,Inputs!E104,Inputs!F104,Inputs!G104,Inputs!H104,Inputs!I104)</f>
        <v>77997932.781324223</v>
      </c>
      <c r="E111" s="143">
        <f>CHOOSE(Inputs!$D$6,Inputs!E159,Inputs!F159,Inputs!G159,Inputs!H159,Inputs!I159)</f>
        <v>8323.1666666666661</v>
      </c>
      <c r="F111" s="143">
        <f>CHOOSE(Inputs!$D$6,Inputs!E214,Inputs!F214,Inputs!G214,Inputs!H214,Inputs!I214)</f>
        <v>5063474.1398463808</v>
      </c>
      <c r="G111" s="110"/>
      <c r="H111" s="137"/>
    </row>
    <row r="112" spans="2:8">
      <c r="B112" s="2" t="str">
        <f>Inputs!B105</f>
        <v>Large low Voltage</v>
      </c>
      <c r="C112" s="2" t="str">
        <f>Inputs!C105</f>
        <v>Large Low voltage</v>
      </c>
      <c r="D112" s="143">
        <f>CHOOSE(Inputs!$D$6,Inputs!E105,Inputs!F105,Inputs!G105,Inputs!H105,Inputs!I105)</f>
        <v>2453821081.479352</v>
      </c>
      <c r="E112" s="143">
        <f>CHOOSE(Inputs!$D$6,Inputs!E160,Inputs!F160,Inputs!G160,Inputs!H160,Inputs!I160)</f>
        <v>2876.6666666666665</v>
      </c>
      <c r="F112" s="143">
        <f>CHOOSE(Inputs!$D$6,Inputs!E215,Inputs!F215,Inputs!G215,Inputs!H215,Inputs!I215)</f>
        <v>155353042.79237241</v>
      </c>
      <c r="G112" s="110"/>
      <c r="H112" s="137"/>
    </row>
    <row r="113" spans="2:8">
      <c r="B113" s="2" t="str">
        <f>Inputs!B106</f>
        <v>Large Low Voltage Demand</v>
      </c>
      <c r="C113" s="2" t="str">
        <f>Inputs!C106</f>
        <v>Large Low voltage</v>
      </c>
      <c r="D113" s="143">
        <f>CHOOSE(Inputs!$D$6,Inputs!E106,Inputs!F106,Inputs!G106,Inputs!H106,Inputs!I106)</f>
        <v>0</v>
      </c>
      <c r="E113" s="143">
        <f>CHOOSE(Inputs!$D$6,Inputs!E161,Inputs!F161,Inputs!G161,Inputs!H161,Inputs!I161)</f>
        <v>0</v>
      </c>
      <c r="F113" s="143">
        <f>CHOOSE(Inputs!$D$6,Inputs!E216,Inputs!F216,Inputs!G216,Inputs!H216,Inputs!I216)</f>
        <v>0</v>
      </c>
      <c r="G113" s="110"/>
      <c r="H113" s="137"/>
    </row>
    <row r="114" spans="2:8">
      <c r="B114" s="2" t="str">
        <f>Inputs!B107</f>
        <v>Large Low Voltage Demand A</v>
      </c>
      <c r="C114" s="2" t="str">
        <f>Inputs!C107</f>
        <v>Large Low voltage</v>
      </c>
      <c r="D114" s="143">
        <f>CHOOSE(Inputs!$D$6,Inputs!E107,Inputs!F107,Inputs!G107,Inputs!H107,Inputs!I107)</f>
        <v>0</v>
      </c>
      <c r="E114" s="143">
        <f>CHOOSE(Inputs!$D$6,Inputs!E162,Inputs!F162,Inputs!G162,Inputs!H162,Inputs!I162)</f>
        <v>0</v>
      </c>
      <c r="F114" s="143">
        <f>CHOOSE(Inputs!$D$6,Inputs!E217,Inputs!F217,Inputs!G217,Inputs!H217,Inputs!I217)</f>
        <v>0</v>
      </c>
      <c r="G114" s="110"/>
      <c r="H114" s="137"/>
    </row>
    <row r="115" spans="2:8">
      <c r="B115" s="2" t="str">
        <f>Inputs!B108</f>
        <v>Large Low Voltage Demand C</v>
      </c>
      <c r="C115" s="2" t="str">
        <f>Inputs!C108</f>
        <v>Large Low voltage</v>
      </c>
      <c r="D115" s="143">
        <f>CHOOSE(Inputs!$D$6,Inputs!E108,Inputs!F108,Inputs!G108,Inputs!H108,Inputs!I108)</f>
        <v>0</v>
      </c>
      <c r="E115" s="143">
        <f>CHOOSE(Inputs!$D$6,Inputs!E163,Inputs!F163,Inputs!G163,Inputs!H163,Inputs!I163)</f>
        <v>0</v>
      </c>
      <c r="F115" s="143">
        <f>CHOOSE(Inputs!$D$6,Inputs!E218,Inputs!F218,Inputs!G218,Inputs!H218,Inputs!I218)</f>
        <v>0</v>
      </c>
      <c r="G115" s="110"/>
      <c r="H115" s="137"/>
    </row>
    <row r="116" spans="2:8">
      <c r="B116" s="2" t="str">
        <f>Inputs!B109</f>
        <v>Large Low Voltage Demand S</v>
      </c>
      <c r="C116" s="2" t="str">
        <f>Inputs!C109</f>
        <v>Large Low voltage</v>
      </c>
      <c r="D116" s="143">
        <f>CHOOSE(Inputs!$D$6,Inputs!E109,Inputs!F109,Inputs!G109,Inputs!H109,Inputs!I109)</f>
        <v>0</v>
      </c>
      <c r="E116" s="143">
        <f>CHOOSE(Inputs!$D$6,Inputs!E164,Inputs!F164,Inputs!G164,Inputs!H164,Inputs!I164)</f>
        <v>0</v>
      </c>
      <c r="F116" s="143">
        <f>CHOOSE(Inputs!$D$6,Inputs!E219,Inputs!F219,Inputs!G219,Inputs!H219,Inputs!I219)</f>
        <v>0</v>
      </c>
      <c r="G116" s="110"/>
      <c r="H116" s="137"/>
    </row>
    <row r="117" spans="2:8">
      <c r="B117" s="2" t="str">
        <f>Inputs!B110</f>
        <v>Large Low Voltage Demand Docklands</v>
      </c>
      <c r="C117" s="2" t="str">
        <f>Inputs!C110</f>
        <v>Large Low voltage</v>
      </c>
      <c r="D117" s="143">
        <f>CHOOSE(Inputs!$D$6,Inputs!E110,Inputs!F110,Inputs!G110,Inputs!H110,Inputs!I110)</f>
        <v>0</v>
      </c>
      <c r="E117" s="143">
        <f>CHOOSE(Inputs!$D$6,Inputs!E165,Inputs!F165,Inputs!G165,Inputs!H165,Inputs!I165)</f>
        <v>0</v>
      </c>
      <c r="F117" s="143">
        <f>CHOOSE(Inputs!$D$6,Inputs!E220,Inputs!F220,Inputs!G220,Inputs!H220,Inputs!I220)</f>
        <v>0</v>
      </c>
      <c r="G117" s="110"/>
      <c r="H117" s="137"/>
    </row>
    <row r="118" spans="2:8">
      <c r="B118" s="2" t="str">
        <f>Inputs!B111</f>
        <v>Large Low Voltage Demand CXX</v>
      </c>
      <c r="C118" s="2" t="str">
        <f>Inputs!C111</f>
        <v>Large Low voltage</v>
      </c>
      <c r="D118" s="143">
        <f>CHOOSE(Inputs!$D$6,Inputs!E111,Inputs!F111,Inputs!G111,Inputs!H111,Inputs!I111)</f>
        <v>0</v>
      </c>
      <c r="E118" s="143">
        <f>CHOOSE(Inputs!$D$6,Inputs!E166,Inputs!F166,Inputs!G166,Inputs!H166,Inputs!I166)</f>
        <v>0</v>
      </c>
      <c r="F118" s="143">
        <f>CHOOSE(Inputs!$D$6,Inputs!E221,Inputs!F221,Inputs!G221,Inputs!H221,Inputs!I221)</f>
        <v>0</v>
      </c>
      <c r="G118" s="110"/>
      <c r="H118" s="137"/>
    </row>
    <row r="119" spans="2:8">
      <c r="B119" s="2" t="str">
        <f>Inputs!B112</f>
        <v>Large Low Voltage Demand EN.R</v>
      </c>
      <c r="C119" s="2" t="str">
        <f>Inputs!C112</f>
        <v>Large Low voltage</v>
      </c>
      <c r="D119" s="143">
        <f>CHOOSE(Inputs!$D$6,Inputs!E112,Inputs!F112,Inputs!G112,Inputs!H112,Inputs!I112)</f>
        <v>0</v>
      </c>
      <c r="E119" s="143">
        <f>CHOOSE(Inputs!$D$6,Inputs!E167,Inputs!F167,Inputs!G167,Inputs!H167,Inputs!I167)</f>
        <v>0</v>
      </c>
      <c r="F119" s="143">
        <f>CHOOSE(Inputs!$D$6,Inputs!E222,Inputs!F222,Inputs!G222,Inputs!H222,Inputs!I222)</f>
        <v>0</v>
      </c>
      <c r="G119" s="110"/>
      <c r="H119" s="137"/>
    </row>
    <row r="120" spans="2:8">
      <c r="B120" s="2" t="str">
        <f>Inputs!B113</f>
        <v>Large Low Voltage Demand EN.NR</v>
      </c>
      <c r="C120" s="2" t="str">
        <f>Inputs!C113</f>
        <v>Large Low voltage</v>
      </c>
      <c r="D120" s="143">
        <f>CHOOSE(Inputs!$D$6,Inputs!E113,Inputs!F113,Inputs!G113,Inputs!H113,Inputs!I113)</f>
        <v>0</v>
      </c>
      <c r="E120" s="143">
        <f>CHOOSE(Inputs!$D$6,Inputs!E168,Inputs!F168,Inputs!G168,Inputs!H168,Inputs!I168)</f>
        <v>0</v>
      </c>
      <c r="F120" s="143">
        <f>CHOOSE(Inputs!$D$6,Inputs!E223,Inputs!F223,Inputs!G223,Inputs!H223,Inputs!I223)</f>
        <v>0</v>
      </c>
      <c r="G120" s="110"/>
      <c r="H120" s="137"/>
    </row>
    <row r="121" spans="2:8">
      <c r="B121" s="2" t="str">
        <f>Inputs!B114</f>
        <v>Large Low Voltage Demand EN.R CXX</v>
      </c>
      <c r="C121" s="2" t="str">
        <f>Inputs!C114</f>
        <v>Large Low voltage</v>
      </c>
      <c r="D121" s="143">
        <f>CHOOSE(Inputs!$D$6,Inputs!E114,Inputs!F114,Inputs!G114,Inputs!H114,Inputs!I114)</f>
        <v>0</v>
      </c>
      <c r="E121" s="143">
        <f>CHOOSE(Inputs!$D$6,Inputs!E169,Inputs!F169,Inputs!G169,Inputs!H169,Inputs!I169)</f>
        <v>0</v>
      </c>
      <c r="F121" s="143">
        <f>CHOOSE(Inputs!$D$6,Inputs!E224,Inputs!F224,Inputs!G224,Inputs!H224,Inputs!I224)</f>
        <v>0</v>
      </c>
      <c r="G121" s="110"/>
      <c r="H121" s="137"/>
    </row>
    <row r="122" spans="2:8">
      <c r="B122" s="2" t="str">
        <f>Inputs!B115</f>
        <v>Large Low Voltage Demand EN.NRCXX</v>
      </c>
      <c r="C122" s="2" t="str">
        <f>Inputs!C115</f>
        <v>Large Low voltage</v>
      </c>
      <c r="D122" s="143">
        <f>CHOOSE(Inputs!$D$6,Inputs!E115,Inputs!F115,Inputs!G115,Inputs!H115,Inputs!I115)</f>
        <v>0</v>
      </c>
      <c r="E122" s="143">
        <f>CHOOSE(Inputs!$D$6,Inputs!E170,Inputs!F170,Inputs!G170,Inputs!H170,Inputs!I170)</f>
        <v>0</v>
      </c>
      <c r="F122" s="143">
        <f>CHOOSE(Inputs!$D$6,Inputs!E225,Inputs!F225,Inputs!G225,Inputs!H225,Inputs!I225)</f>
        <v>0</v>
      </c>
      <c r="G122" s="110"/>
      <c r="H122" s="137"/>
    </row>
    <row r="123" spans="2:8">
      <c r="B123" s="2" t="str">
        <f>Inputs!B116</f>
        <v>High Voltage</v>
      </c>
      <c r="C123" s="2" t="str">
        <f>Inputs!C116</f>
        <v>High Voltage</v>
      </c>
      <c r="D123" s="143">
        <f>CHOOSE(Inputs!$D$6,Inputs!E116,Inputs!F116,Inputs!G116,Inputs!H116,Inputs!I116)</f>
        <v>1440341010.2943931</v>
      </c>
      <c r="E123" s="143">
        <f>CHOOSE(Inputs!$D$6,Inputs!E171,Inputs!F171,Inputs!G171,Inputs!H171,Inputs!I171)</f>
        <v>184.75</v>
      </c>
      <c r="F123" s="143">
        <f>CHOOSE(Inputs!$D$6,Inputs!E226,Inputs!F226,Inputs!G226,Inputs!H226,Inputs!I226)</f>
        <v>48472578.161034375</v>
      </c>
      <c r="G123" s="110"/>
      <c r="H123" s="137"/>
    </row>
    <row r="124" spans="2:8">
      <c r="B124" s="2" t="str">
        <f>Inputs!B117</f>
        <v>High Voltage Docklands</v>
      </c>
      <c r="C124" s="2" t="str">
        <f>Inputs!C117</f>
        <v>High Voltage</v>
      </c>
      <c r="D124" s="143">
        <f>CHOOSE(Inputs!$D$6,Inputs!E117,Inputs!F117,Inputs!G117,Inputs!H117,Inputs!I117)</f>
        <v>241645356.46297294</v>
      </c>
      <c r="E124" s="143">
        <f>CHOOSE(Inputs!$D$6,Inputs!E172,Inputs!F172,Inputs!G172,Inputs!H172,Inputs!I172)</f>
        <v>10</v>
      </c>
      <c r="F124" s="143">
        <f>CHOOSE(Inputs!$D$6,Inputs!E227,Inputs!F227,Inputs!G227,Inputs!H227,Inputs!I227)</f>
        <v>6295608.6000139341</v>
      </c>
      <c r="G124" s="110"/>
      <c r="H124" s="137"/>
    </row>
    <row r="125" spans="2:8">
      <c r="B125" s="2" t="str">
        <f>Inputs!B118</f>
        <v>High Voltage Demand</v>
      </c>
      <c r="C125" s="2" t="str">
        <f>Inputs!C118</f>
        <v>High Voltage</v>
      </c>
      <c r="D125" s="143">
        <f>CHOOSE(Inputs!$D$6,Inputs!E118,Inputs!F118,Inputs!G118,Inputs!H118,Inputs!I118)</f>
        <v>0</v>
      </c>
      <c r="E125" s="143">
        <f>CHOOSE(Inputs!$D$6,Inputs!E173,Inputs!F173,Inputs!G173,Inputs!H173,Inputs!I173)</f>
        <v>0</v>
      </c>
      <c r="F125" s="143">
        <f>CHOOSE(Inputs!$D$6,Inputs!E228,Inputs!F228,Inputs!G228,Inputs!H228,Inputs!I228)</f>
        <v>0</v>
      </c>
      <c r="G125" s="110"/>
      <c r="H125" s="137"/>
    </row>
    <row r="126" spans="2:8">
      <c r="B126" s="2" t="str">
        <f>Inputs!B119</f>
        <v>High Voltage Demand A</v>
      </c>
      <c r="C126" s="2" t="str">
        <f>Inputs!C119</f>
        <v>High Voltage</v>
      </c>
      <c r="D126" s="143">
        <f>CHOOSE(Inputs!$D$6,Inputs!E119,Inputs!F119,Inputs!G119,Inputs!H119,Inputs!I119)</f>
        <v>0</v>
      </c>
      <c r="E126" s="143">
        <f>CHOOSE(Inputs!$D$6,Inputs!E174,Inputs!F174,Inputs!G174,Inputs!H174,Inputs!I174)</f>
        <v>0</v>
      </c>
      <c r="F126" s="143">
        <f>CHOOSE(Inputs!$D$6,Inputs!E229,Inputs!F229,Inputs!G229,Inputs!H229,Inputs!I229)</f>
        <v>0</v>
      </c>
      <c r="G126" s="110"/>
      <c r="H126" s="137"/>
    </row>
    <row r="127" spans="2:8">
      <c r="B127" s="2" t="str">
        <f>Inputs!B120</f>
        <v>High Voltage Demand C</v>
      </c>
      <c r="C127" s="2" t="str">
        <f>Inputs!C120</f>
        <v>High Voltage</v>
      </c>
      <c r="D127" s="143">
        <f>CHOOSE(Inputs!$D$6,Inputs!E120,Inputs!F120,Inputs!G120,Inputs!H120,Inputs!I120)</f>
        <v>0</v>
      </c>
      <c r="E127" s="143">
        <f>CHOOSE(Inputs!$D$6,Inputs!E175,Inputs!F175,Inputs!G175,Inputs!H175,Inputs!I175)</f>
        <v>0</v>
      </c>
      <c r="F127" s="143">
        <f>CHOOSE(Inputs!$D$6,Inputs!E230,Inputs!F230,Inputs!G230,Inputs!H230,Inputs!I230)</f>
        <v>0</v>
      </c>
      <c r="G127" s="110"/>
      <c r="H127" s="137"/>
    </row>
    <row r="128" spans="2:8">
      <c r="B128" s="2" t="str">
        <f>Inputs!B121</f>
        <v>High Voltage Demand D1</v>
      </c>
      <c r="C128" s="2" t="str">
        <f>Inputs!C121</f>
        <v>High Voltage</v>
      </c>
      <c r="D128" s="143">
        <f>CHOOSE(Inputs!$D$6,Inputs!E121,Inputs!F121,Inputs!G121,Inputs!H121,Inputs!I121)</f>
        <v>0</v>
      </c>
      <c r="E128" s="143">
        <f>CHOOSE(Inputs!$D$6,Inputs!E176,Inputs!F176,Inputs!G176,Inputs!H176,Inputs!I176)</f>
        <v>0</v>
      </c>
      <c r="F128" s="143">
        <f>CHOOSE(Inputs!$D$6,Inputs!E231,Inputs!F231,Inputs!G231,Inputs!H231,Inputs!I231)</f>
        <v>0</v>
      </c>
      <c r="G128" s="110"/>
      <c r="H128" s="137"/>
    </row>
    <row r="129" spans="2:8">
      <c r="B129" s="2" t="str">
        <f>Inputs!B122</f>
        <v>High Voltage Demand D2</v>
      </c>
      <c r="C129" s="2" t="str">
        <f>Inputs!C122</f>
        <v>High Voltage</v>
      </c>
      <c r="D129" s="143">
        <f>CHOOSE(Inputs!$D$6,Inputs!E122,Inputs!F122,Inputs!G122,Inputs!H122,Inputs!I122)</f>
        <v>0</v>
      </c>
      <c r="E129" s="143">
        <f>CHOOSE(Inputs!$D$6,Inputs!E177,Inputs!F177,Inputs!G177,Inputs!H177,Inputs!I177)</f>
        <v>0</v>
      </c>
      <c r="F129" s="143">
        <f>CHOOSE(Inputs!$D$6,Inputs!E232,Inputs!F232,Inputs!G232,Inputs!H232,Inputs!I232)</f>
        <v>0</v>
      </c>
      <c r="G129" s="110"/>
      <c r="H129" s="137"/>
    </row>
    <row r="130" spans="2:8">
      <c r="B130" s="2" t="str">
        <f>Inputs!B123</f>
        <v>High Voltage Demand Docklands</v>
      </c>
      <c r="C130" s="2" t="str">
        <f>Inputs!C123</f>
        <v>High Voltage</v>
      </c>
      <c r="D130" s="143">
        <f>CHOOSE(Inputs!$D$6,Inputs!E123,Inputs!F123,Inputs!G123,Inputs!H123,Inputs!I123)</f>
        <v>0</v>
      </c>
      <c r="E130" s="143">
        <f>CHOOSE(Inputs!$D$6,Inputs!E178,Inputs!F178,Inputs!G178,Inputs!H178,Inputs!I178)</f>
        <v>0</v>
      </c>
      <c r="F130" s="143">
        <f>CHOOSE(Inputs!$D$6,Inputs!E233,Inputs!F233,Inputs!G233,Inputs!H233,Inputs!I233)</f>
        <v>0</v>
      </c>
      <c r="G130" s="110"/>
      <c r="H130" s="137"/>
    </row>
    <row r="131" spans="2:8">
      <c r="B131" s="2" t="str">
        <f>Inputs!B124</f>
        <v>High Voltage Demand D3</v>
      </c>
      <c r="C131" s="2" t="str">
        <f>Inputs!C124</f>
        <v>High Voltage</v>
      </c>
      <c r="D131" s="143">
        <f>CHOOSE(Inputs!$D$6,Inputs!E124,Inputs!F124,Inputs!G124,Inputs!H124,Inputs!I124)</f>
        <v>0</v>
      </c>
      <c r="E131" s="143">
        <f>CHOOSE(Inputs!$D$6,Inputs!E179,Inputs!F179,Inputs!G179,Inputs!H179,Inputs!I179)</f>
        <v>0</v>
      </c>
      <c r="F131" s="143">
        <f>CHOOSE(Inputs!$D$6,Inputs!E234,Inputs!F234,Inputs!G234,Inputs!H234,Inputs!I234)</f>
        <v>0</v>
      </c>
      <c r="G131" s="110"/>
      <c r="H131" s="137"/>
    </row>
    <row r="132" spans="2:8">
      <c r="B132" s="2" t="str">
        <f>Inputs!B125</f>
        <v>High Voltage Demand D4</v>
      </c>
      <c r="C132" s="2" t="str">
        <f>Inputs!C125</f>
        <v>High Voltage</v>
      </c>
      <c r="D132" s="143">
        <f>CHOOSE(Inputs!$D$6,Inputs!E125,Inputs!F125,Inputs!G125,Inputs!H125,Inputs!I125)</f>
        <v>0</v>
      </c>
      <c r="E132" s="143">
        <f>CHOOSE(Inputs!$D$6,Inputs!E180,Inputs!F180,Inputs!G180,Inputs!H180,Inputs!I180)</f>
        <v>0</v>
      </c>
      <c r="F132" s="143">
        <f>CHOOSE(Inputs!$D$6,Inputs!E235,Inputs!F235,Inputs!G235,Inputs!H235,Inputs!I235)</f>
        <v>0</v>
      </c>
      <c r="G132" s="110"/>
      <c r="H132" s="137"/>
    </row>
    <row r="133" spans="2:8">
      <c r="B133" s="2" t="str">
        <f>Inputs!B126</f>
        <v>Subtransmission</v>
      </c>
      <c r="C133" s="2" t="str">
        <f>Inputs!C126</f>
        <v>Subtransmission</v>
      </c>
      <c r="D133" s="143">
        <f>CHOOSE(Inputs!$D$6,Inputs!E126,Inputs!F126,Inputs!G126,Inputs!H126,Inputs!I126)</f>
        <v>1203661913.4933252</v>
      </c>
      <c r="E133" s="143">
        <f>CHOOSE(Inputs!$D$6,Inputs!E181,Inputs!F181,Inputs!G181,Inputs!H181,Inputs!I181)</f>
        <v>12</v>
      </c>
      <c r="F133" s="143">
        <f>CHOOSE(Inputs!$D$6,Inputs!E236,Inputs!F236,Inputs!G236,Inputs!H236,Inputs!I236)</f>
        <v>7683848.0658133281</v>
      </c>
      <c r="G133" s="110"/>
      <c r="H133" s="137"/>
    </row>
    <row r="134" spans="2:8">
      <c r="B134" s="2" t="str">
        <f>Inputs!B127</f>
        <v>Subtransmission Demand A</v>
      </c>
      <c r="C134" s="2" t="str">
        <f>Inputs!C127</f>
        <v>Subtransmission</v>
      </c>
      <c r="D134" s="143">
        <f>CHOOSE(Inputs!$D$6,Inputs!E127,Inputs!F127,Inputs!G127,Inputs!H127,Inputs!I127)</f>
        <v>0</v>
      </c>
      <c r="E134" s="143">
        <f>CHOOSE(Inputs!$D$6,Inputs!E182,Inputs!F182,Inputs!G182,Inputs!H182,Inputs!I182)</f>
        <v>0</v>
      </c>
      <c r="F134" s="143">
        <f>CHOOSE(Inputs!$D$6,Inputs!E237,Inputs!F237,Inputs!G237,Inputs!H237,Inputs!I237)</f>
        <v>0</v>
      </c>
      <c r="G134" s="110"/>
      <c r="H134" s="137"/>
    </row>
    <row r="135" spans="2:8">
      <c r="B135" s="2" t="str">
        <f>Inputs!B128</f>
        <v>Subtransmission Demand G</v>
      </c>
      <c r="C135" s="2" t="str">
        <f>Inputs!C128</f>
        <v>Subtransmission</v>
      </c>
      <c r="D135" s="143">
        <f>CHOOSE(Inputs!$D$6,Inputs!E128,Inputs!F128,Inputs!G128,Inputs!H128,Inputs!I128)</f>
        <v>0</v>
      </c>
      <c r="E135" s="143">
        <f>CHOOSE(Inputs!$D$6,Inputs!E183,Inputs!F183,Inputs!G183,Inputs!H183,Inputs!I183)</f>
        <v>0</v>
      </c>
      <c r="F135" s="143">
        <f>CHOOSE(Inputs!$D$6,Inputs!E238,Inputs!F238,Inputs!G238,Inputs!H238,Inputs!I238)</f>
        <v>0</v>
      </c>
      <c r="G135" s="110"/>
      <c r="H135" s="137"/>
    </row>
    <row r="136" spans="2:8">
      <c r="B136" s="2" t="str">
        <f>Inputs!B129</f>
        <v>Subtransmission Demand S</v>
      </c>
      <c r="C136" s="2" t="str">
        <f>Inputs!C129</f>
        <v>Subtransmission</v>
      </c>
      <c r="D136" s="143">
        <f>CHOOSE(Inputs!$D$6,Inputs!E129,Inputs!F129,Inputs!G129,Inputs!H129,Inputs!I129)</f>
        <v>0</v>
      </c>
      <c r="E136" s="143">
        <f>CHOOSE(Inputs!$D$6,Inputs!E184,Inputs!F184,Inputs!G184,Inputs!H184,Inputs!I184)</f>
        <v>0</v>
      </c>
      <c r="F136" s="143">
        <f>CHOOSE(Inputs!$D$6,Inputs!E239,Inputs!F239,Inputs!G239,Inputs!H239,Inputs!I239)</f>
        <v>0</v>
      </c>
      <c r="G136" s="110"/>
      <c r="H136" s="137"/>
    </row>
    <row r="137" spans="2:8">
      <c r="B137" s="54" t="s">
        <v>3</v>
      </c>
      <c r="C137" s="115"/>
      <c r="D137" s="144">
        <f>SUM(D89:D136)-SUM(D119,D128:D129,D136)</f>
        <v>10932355919.546825</v>
      </c>
      <c r="E137" s="144">
        <f>SUM(E89:E98,E103:E136)</f>
        <v>855136.24999999988</v>
      </c>
      <c r="F137" s="144">
        <f>SUM(F89:F136)</f>
        <v>655145100.3907094</v>
      </c>
      <c r="H137" s="137"/>
    </row>
    <row r="138" spans="2:8" s="145" customFormat="1">
      <c r="C138" s="146"/>
      <c r="D138" s="147"/>
      <c r="E138" s="147"/>
      <c r="F138" s="1"/>
      <c r="H138" s="137"/>
    </row>
    <row r="139" spans="2:8">
      <c r="B139" s="125" t="s">
        <v>133</v>
      </c>
      <c r="D139" s="148">
        <f>D137-CHOOSE(Inputs!$D$6,Inputs!E130,Inputs!F130,Inputs!G130,Inputs!H130,Inputs!I130)</f>
        <v>-11244453.565162659</v>
      </c>
      <c r="E139" s="149">
        <f>E137-CHOOSE(Inputs!$D$6,Inputs!E185,Inputs!F185,Inputs!G185,Inputs!H185,Inputs!I185)</f>
        <v>-137.00000000023283</v>
      </c>
      <c r="F139" s="149">
        <f>F137-CHOOSE(Inputs!$D$6,Inputs!E240,Inputs!F240,Inputs!G240,Inputs!H240,Inputs!I240)</f>
        <v>-334525.62855958939</v>
      </c>
      <c r="H139" s="137"/>
    </row>
    <row r="140" spans="2:8">
      <c r="H140" s="137"/>
    </row>
    <row r="141" spans="2:8">
      <c r="H141" s="137"/>
    </row>
    <row r="145" spans="8:8">
      <c r="H145" s="17"/>
    </row>
    <row r="146" spans="8:8">
      <c r="H146" s="17"/>
    </row>
    <row r="147" spans="8:8">
      <c r="H147" s="137"/>
    </row>
    <row r="148" spans="8:8">
      <c r="H148" s="13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7"/>
    </row>
    <row r="156" spans="8:8">
      <c r="H156" s="17"/>
    </row>
    <row r="157" spans="8:8">
      <c r="H157" s="137"/>
    </row>
    <row r="158" spans="8:8">
      <c r="H158" s="137"/>
    </row>
    <row r="159" spans="8:8">
      <c r="H159" s="137"/>
    </row>
    <row r="160" spans="8:8">
      <c r="H160" s="137"/>
    </row>
    <row r="161" spans="8:8">
      <c r="H161" s="17"/>
    </row>
    <row r="162" spans="8:8">
      <c r="H162" s="17"/>
    </row>
    <row r="163" spans="8:8">
      <c r="H163" s="137"/>
    </row>
    <row r="164" spans="8:8">
      <c r="H164" s="137"/>
    </row>
    <row r="165" spans="8:8">
      <c r="H165" s="137"/>
    </row>
    <row r="166" spans="8:8">
      <c r="H166" s="137"/>
    </row>
    <row r="167" spans="8:8">
      <c r="H167" s="137"/>
    </row>
    <row r="168" spans="8:8">
      <c r="H168" s="137"/>
    </row>
    <row r="169" spans="8:8">
      <c r="H169" s="137"/>
    </row>
    <row r="170" spans="8:8">
      <c r="H170" s="137"/>
    </row>
    <row r="171" spans="8:8">
      <c r="H171" s="137"/>
    </row>
    <row r="172" spans="8:8">
      <c r="H172" s="13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7"/>
    </row>
    <row r="202" spans="8:8">
      <c r="H202" s="17"/>
    </row>
    <row r="203" spans="8:8">
      <c r="H203" s="137"/>
    </row>
    <row r="204" spans="8:8">
      <c r="H204" s="137"/>
    </row>
    <row r="205" spans="8:8">
      <c r="H205" s="137"/>
    </row>
    <row r="206" spans="8:8">
      <c r="H206" s="137"/>
    </row>
    <row r="207" spans="8:8">
      <c r="H207" s="137"/>
    </row>
    <row r="208" spans="8:8">
      <c r="H208" s="137"/>
    </row>
    <row r="209" spans="8:8">
      <c r="H209" s="137"/>
    </row>
    <row r="210" spans="8:8">
      <c r="H210" s="137"/>
    </row>
    <row r="211" spans="8:8">
      <c r="H211" s="17"/>
    </row>
    <row r="212" spans="8:8">
      <c r="H212" s="17"/>
    </row>
    <row r="213" spans="8:8">
      <c r="H213" s="137"/>
    </row>
    <row r="214" spans="8:8">
      <c r="H214" s="137"/>
    </row>
    <row r="215" spans="8:8">
      <c r="H215" s="137"/>
    </row>
    <row r="216" spans="8:8">
      <c r="H216" s="137"/>
    </row>
    <row r="217" spans="8:8">
      <c r="H217" s="137"/>
    </row>
    <row r="218" spans="8:8">
      <c r="H218" s="137"/>
    </row>
    <row r="219" spans="8:8">
      <c r="H219" s="137"/>
    </row>
    <row r="220" spans="8:8">
      <c r="H220" s="137"/>
    </row>
    <row r="221" spans="8:8">
      <c r="H221" s="13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  <row r="263" spans="8:8">
      <c r="H263" s="17"/>
    </row>
    <row r="264" spans="8:8">
      <c r="H264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8"/>
  </sheetPr>
  <dimension ref="A1:M18"/>
  <sheetViews>
    <sheetView showGridLines="0" zoomScaleNormal="100" workbookViewId="0">
      <selection activeCell="E41" sqref="E41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20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s="209" customFormat="1" ht="15.75">
      <c r="A2" s="211" t="s">
        <v>7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18" t="s">
        <v>12</v>
      </c>
      <c r="C5" s="219" t="s">
        <v>30</v>
      </c>
      <c r="D5" s="219" t="s">
        <v>6</v>
      </c>
      <c r="E5" s="219" t="s">
        <v>23</v>
      </c>
      <c r="F5" s="219" t="s">
        <v>5</v>
      </c>
      <c r="G5" s="219" t="s">
        <v>4</v>
      </c>
      <c r="H5" s="219" t="s">
        <v>11</v>
      </c>
    </row>
    <row r="6" spans="1:13">
      <c r="A6" s="5"/>
      <c r="B6" s="44" t="s">
        <v>43</v>
      </c>
      <c r="C6" s="47" t="s">
        <v>136</v>
      </c>
      <c r="D6" s="48">
        <f>VLOOKUP(D$5,Selection!$B$26:$D$30,3,FALSE)*$D$18</f>
        <v>19639.895014567952</v>
      </c>
      <c r="E6" s="48">
        <f>VLOOKUP(E$5,Selection!$B$26:$D$30,3,FALSE)*$D$18</f>
        <v>2777.6871911977005</v>
      </c>
      <c r="F6" s="48">
        <f>VLOOKUP(F$5,Selection!$B$26:$D$30,3,FALSE)*$D$18</f>
        <v>75.685343626288272</v>
      </c>
      <c r="G6" s="48">
        <f>VLOOKUP(G$5,Selection!$B$26:$D$30,3,FALSE)*$D$18</f>
        <v>5.1238889934714855</v>
      </c>
      <c r="H6" s="49">
        <f ca="1">VLOOKUP(H$5,Selection!$B$26:$D$30,3,FALSE)*$D$18</f>
        <v>0.31572101628579119</v>
      </c>
    </row>
    <row r="7" spans="1:13">
      <c r="B7" s="44" t="s">
        <v>42</v>
      </c>
      <c r="C7" s="47" t="s">
        <v>136</v>
      </c>
      <c r="D7" s="48">
        <f>D12*$D$17</f>
        <v>47641.114376462123</v>
      </c>
      <c r="E7" s="48">
        <f>E12*$D$17</f>
        <v>21681.448938883525</v>
      </c>
      <c r="F7" s="48">
        <f>F12*$D$17</f>
        <v>9582.1185215623173</v>
      </c>
      <c r="G7" s="48">
        <f>G12*$D$17</f>
        <v>2508.8378031522852</v>
      </c>
      <c r="H7" s="48">
        <f>H12*$D$17</f>
        <v>636.44220540056631</v>
      </c>
    </row>
    <row r="8" spans="1:13">
      <c r="B8" s="44" t="s">
        <v>0</v>
      </c>
      <c r="C8" s="50" t="s">
        <v>136</v>
      </c>
      <c r="D8" s="48">
        <f>D12*$D$16</f>
        <v>30600.997846551243</v>
      </c>
      <c r="E8" s="48">
        <f>E12*$D$16</f>
        <v>13926.499851495619</v>
      </c>
      <c r="F8" s="48">
        <f>F12*$D$16</f>
        <v>6154.8179987283966</v>
      </c>
      <c r="G8" s="48">
        <f>G12*$D$16</f>
        <v>1611.4849792334071</v>
      </c>
      <c r="H8" s="48">
        <f>H12*$D$16</f>
        <v>408.80165822778014</v>
      </c>
    </row>
    <row r="9" spans="1:13">
      <c r="B9" s="51" t="s">
        <v>2</v>
      </c>
      <c r="C9" s="52" t="s">
        <v>136</v>
      </c>
      <c r="D9" s="53">
        <f>D12*$D$15</f>
        <v>28891.581595301301</v>
      </c>
      <c r="E9" s="53">
        <f>E12*$D$15</f>
        <v>13148.545312609251</v>
      </c>
      <c r="F9" s="53">
        <f>F12*$D$15</f>
        <v>5811.0009126559016</v>
      </c>
      <c r="G9" s="53">
        <f>G12*$D$15</f>
        <v>1521.465084262655</v>
      </c>
      <c r="H9" s="53">
        <f>H12*$D$15</f>
        <v>385.9654029652333</v>
      </c>
    </row>
    <row r="10" spans="1:13" s="5" customFormat="1">
      <c r="B10" s="54" t="s">
        <v>1</v>
      </c>
      <c r="C10" s="55" t="s">
        <v>136</v>
      </c>
      <c r="D10" s="56">
        <f>SUM(D6:D9)</f>
        <v>126773.58883288261</v>
      </c>
      <c r="E10" s="56">
        <f>SUM(E6:E9)</f>
        <v>51534.181294186099</v>
      </c>
      <c r="F10" s="56">
        <f>SUM(F6:F9)</f>
        <v>21623.622776572905</v>
      </c>
      <c r="G10" s="56">
        <f>SUM(G6:G9)</f>
        <v>5646.9117556418196</v>
      </c>
      <c r="H10" s="56">
        <f ca="1">SUM(H6:H9)</f>
        <v>1431.5249876098655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71</v>
      </c>
      <c r="C12" s="50" t="s">
        <v>31</v>
      </c>
      <c r="D12" s="61">
        <f>Selection!D38</f>
        <v>0.28025795277816651</v>
      </c>
      <c r="E12" s="61">
        <f>Selection!D39</f>
        <v>0.12754526363216206</v>
      </c>
      <c r="F12" s="61">
        <f>Selection!D40</f>
        <v>5.6368641986628359E-2</v>
      </c>
      <c r="G12" s="61">
        <f>Selection!D41</f>
        <v>1.4758717460045836E-2</v>
      </c>
      <c r="H12" s="61">
        <f>Selection!D42</f>
        <v>3.7439928070891158E-3</v>
      </c>
    </row>
    <row r="13" spans="1:13">
      <c r="B13" s="62"/>
    </row>
    <row r="14" spans="1:13">
      <c r="B14" s="1" t="s">
        <v>130</v>
      </c>
      <c r="C14" s="63" t="s">
        <v>136</v>
      </c>
      <c r="D14" s="64">
        <f>Selection!$C$33</f>
        <v>4742909.6607754305</v>
      </c>
    </row>
    <row r="15" spans="1:13">
      <c r="B15" s="1" t="s">
        <v>9</v>
      </c>
      <c r="C15" s="63" t="s">
        <v>136</v>
      </c>
      <c r="D15" s="64">
        <f>D14*Inputs!$C$5*0.5</f>
        <v>103089.24799065363</v>
      </c>
    </row>
    <row r="16" spans="1:13">
      <c r="B16" s="1" t="s">
        <v>8</v>
      </c>
      <c r="C16" s="63" t="s">
        <v>136</v>
      </c>
      <c r="D16" s="64">
        <f>Selection!C81</f>
        <v>109188.68686225275</v>
      </c>
    </row>
    <row r="17" spans="2:4">
      <c r="B17" s="1" t="s">
        <v>41</v>
      </c>
      <c r="C17" s="63" t="s">
        <v>136</v>
      </c>
      <c r="D17" s="64">
        <f>Selection!C80</f>
        <v>169990.23187103507</v>
      </c>
    </row>
    <row r="18" spans="2:4">
      <c r="B18" s="1" t="s">
        <v>44</v>
      </c>
      <c r="C18" s="63" t="s">
        <v>136</v>
      </c>
      <c r="D18" s="65">
        <f>Selection!C82</f>
        <v>22498.707159401696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</sheetPr>
  <dimension ref="A1:M45"/>
  <sheetViews>
    <sheetView showGridLines="0" zoomScaleNormal="100" workbookViewId="0">
      <selection activeCell="F60" sqref="F60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201" customFormat="1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s="209" customFormat="1" ht="15.75">
      <c r="A2" s="211" t="s">
        <v>10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5" spans="1:13" s="6" customFormat="1" ht="25.5">
      <c r="B5" s="196" t="s">
        <v>21</v>
      </c>
      <c r="C5" s="142" t="s">
        <v>30</v>
      </c>
      <c r="D5" s="141" t="s">
        <v>125</v>
      </c>
      <c r="E5" s="141" t="s">
        <v>20</v>
      </c>
      <c r="F5" s="141" t="s">
        <v>8</v>
      </c>
      <c r="G5" s="141" t="s">
        <v>9</v>
      </c>
      <c r="H5" s="141" t="s">
        <v>150</v>
      </c>
      <c r="I5" s="14"/>
    </row>
    <row r="6" spans="1:13">
      <c r="B6" s="2" t="s">
        <v>11</v>
      </c>
      <c r="C6" s="15" t="s">
        <v>136</v>
      </c>
      <c r="D6" s="16">
        <f>Selection!C68</f>
        <v>397867.63609644753</v>
      </c>
      <c r="E6" s="16">
        <f>D6/Selection!D56*Selection!C56</f>
        <v>535928.54927127354</v>
      </c>
      <c r="F6" s="16">
        <f>E6/Selection!C56</f>
        <v>10718.570985425471</v>
      </c>
      <c r="G6" s="16">
        <f>E6*Inputs!$C$5*0.5</f>
        <v>11648.645045468742</v>
      </c>
      <c r="H6" s="16">
        <f t="shared" ref="H6:H13" si="0">SUM(F6,G6)</f>
        <v>22367.216030894211</v>
      </c>
      <c r="I6" s="17"/>
    </row>
    <row r="7" spans="1:13">
      <c r="B7" s="2" t="s">
        <v>14</v>
      </c>
      <c r="C7" s="15" t="s">
        <v>136</v>
      </c>
      <c r="D7" s="16">
        <f>Selection!C69</f>
        <v>2500252.1932535786</v>
      </c>
      <c r="E7" s="16">
        <f>D7/Selection!D57*Selection!C57</f>
        <v>4100399.9904840365</v>
      </c>
      <c r="F7" s="16">
        <f>E7/Selection!C57</f>
        <v>80399.999813412476</v>
      </c>
      <c r="G7" s="16">
        <f>E7*Inputs!$C$5*0.5</f>
        <v>89124.014942922848</v>
      </c>
      <c r="H7" s="16">
        <f t="shared" si="0"/>
        <v>169524.01475633532</v>
      </c>
      <c r="I7" s="17"/>
    </row>
    <row r="8" spans="1:13">
      <c r="B8" s="2" t="s">
        <v>15</v>
      </c>
      <c r="C8" s="15" t="s">
        <v>136</v>
      </c>
      <c r="D8" s="16">
        <f>Selection!C70</f>
        <v>13339.144448176357</v>
      </c>
      <c r="E8" s="16">
        <f>D8/Selection!D58*Selection!C58</f>
        <v>246373.20239759856</v>
      </c>
      <c r="F8" s="16">
        <f>E8/Selection!C58</f>
        <v>16424.880159839904</v>
      </c>
      <c r="G8" s="16">
        <f>E8*Inputs!$C$5*0.5</f>
        <v>5355.0309781917886</v>
      </c>
      <c r="H8" s="16">
        <f t="shared" si="0"/>
        <v>21779.911138031694</v>
      </c>
      <c r="I8" s="17"/>
    </row>
    <row r="9" spans="1:13">
      <c r="B9" s="18" t="s">
        <v>16</v>
      </c>
      <c r="C9" s="15" t="s">
        <v>136</v>
      </c>
      <c r="D9" s="16">
        <f>Selection!C71</f>
        <v>12648.851520772008</v>
      </c>
      <c r="E9" s="16">
        <f>D9/Selection!D59*Selection!C59</f>
        <v>38967.951051950135</v>
      </c>
      <c r="F9" s="16">
        <f>E9/Selection!C59</f>
        <v>1558.7180420780053</v>
      </c>
      <c r="G9" s="16">
        <f>E9*Inputs!$C$5*0.5</f>
        <v>846.98572332186507</v>
      </c>
      <c r="H9" s="16">
        <f t="shared" si="0"/>
        <v>2405.7037653998705</v>
      </c>
      <c r="I9" s="17"/>
    </row>
    <row r="10" spans="1:13">
      <c r="B10" s="2" t="s">
        <v>17</v>
      </c>
      <c r="C10" s="15" t="s">
        <v>136</v>
      </c>
      <c r="D10" s="16">
        <f>Selection!C72</f>
        <v>15642.34525838385</v>
      </c>
      <c r="E10" s="16">
        <f>D10/Selection!D60*Selection!C60</f>
        <v>20896.029466284515</v>
      </c>
      <c r="F10" s="16">
        <f>E10/Selection!C60</f>
        <v>1607.3868820218859</v>
      </c>
      <c r="G10" s="16">
        <f>E10*Inputs!$C$5*0.5</f>
        <v>454.18448120254129</v>
      </c>
      <c r="H10" s="16">
        <f t="shared" si="0"/>
        <v>2061.5713632244269</v>
      </c>
      <c r="I10" s="17"/>
    </row>
    <row r="11" spans="1:13">
      <c r="B11" s="2" t="s">
        <v>18</v>
      </c>
      <c r="C11" s="15" t="s">
        <v>136</v>
      </c>
      <c r="D11" s="16">
        <f>Selection!C73</f>
        <v>93503.473915467912</v>
      </c>
      <c r="E11" s="16">
        <f>D11/Selection!D61*Selection!C61</f>
        <v>114981.73512659602</v>
      </c>
      <c r="F11" s="16">
        <f>E11/Selection!C61</f>
        <v>19163.622521099336</v>
      </c>
      <c r="G11" s="16">
        <f>E11*Inputs!$C$5*0.5</f>
        <v>2499.1790809111399</v>
      </c>
      <c r="H11" s="16">
        <f t="shared" si="0"/>
        <v>21662.801602010477</v>
      </c>
      <c r="I11" s="17"/>
    </row>
    <row r="12" spans="1:13">
      <c r="B12" s="2" t="s">
        <v>19</v>
      </c>
      <c r="C12" s="15" t="s">
        <v>136</v>
      </c>
      <c r="D12" s="16">
        <f>Selection!C74</f>
        <v>148698.20945306667</v>
      </c>
      <c r="E12" s="16">
        <f>D12/Selection!D62*Selection!C62</f>
        <v>237091.61550672195</v>
      </c>
      <c r="F12" s="16">
        <f>E12/Selection!C62</f>
        <v>15806.10770044813</v>
      </c>
      <c r="G12" s="16">
        <f>E12*Inputs!$C$5*0.5</f>
        <v>5153.291564798883</v>
      </c>
      <c r="H12" s="16">
        <f t="shared" si="0"/>
        <v>20959.399265247011</v>
      </c>
      <c r="I12" s="17"/>
    </row>
    <row r="13" spans="1:13">
      <c r="B13" s="2" t="s">
        <v>134</v>
      </c>
      <c r="C13" s="15" t="s">
        <v>136</v>
      </c>
      <c r="D13" s="16">
        <f>Selection!C75</f>
        <v>101674.87028654</v>
      </c>
      <c r="E13" s="16">
        <f>D13/Selection!D63*Selection!C63</f>
        <v>106581.12102012018</v>
      </c>
      <c r="F13" s="16">
        <f>E13/Selection!C63</f>
        <v>4162.3174639883719</v>
      </c>
      <c r="G13" s="16">
        <f>E13*Inputs!$C$5*0.5</f>
        <v>2316.5880022620295</v>
      </c>
      <c r="H13" s="16">
        <f t="shared" si="0"/>
        <v>6478.9054662504013</v>
      </c>
      <c r="I13" s="17"/>
    </row>
    <row r="14" spans="1:13" s="5" customFormat="1">
      <c r="B14" s="19" t="s">
        <v>3</v>
      </c>
      <c r="C14" s="20" t="s">
        <v>136</v>
      </c>
      <c r="D14" s="21">
        <f>SUM(D6:D13)</f>
        <v>3283626.7242324338</v>
      </c>
      <c r="E14" s="21">
        <f t="shared" ref="E14:H14" si="1">SUM(E6:E13)</f>
        <v>5401220.1943245819</v>
      </c>
      <c r="F14" s="21">
        <f t="shared" si="1"/>
        <v>149841.60356831359</v>
      </c>
      <c r="G14" s="21">
        <f t="shared" si="1"/>
        <v>117397.91981907983</v>
      </c>
      <c r="H14" s="21">
        <f t="shared" si="1"/>
        <v>267239.52338739339</v>
      </c>
      <c r="I14" s="22"/>
    </row>
    <row r="15" spans="1:13" s="5" customFormat="1">
      <c r="B15" s="19" t="s">
        <v>62</v>
      </c>
      <c r="C15" s="20" t="s">
        <v>136</v>
      </c>
      <c r="D15" s="21">
        <f t="shared" ref="D15:H15" si="2">D14-D9</f>
        <v>3270977.8727116617</v>
      </c>
      <c r="E15" s="21">
        <f t="shared" si="2"/>
        <v>5362252.2432726314</v>
      </c>
      <c r="F15" s="21">
        <f t="shared" si="2"/>
        <v>148282.88552623559</v>
      </c>
      <c r="G15" s="21">
        <f t="shared" si="2"/>
        <v>116550.93409575797</v>
      </c>
      <c r="H15" s="21">
        <f t="shared" si="2"/>
        <v>264833.81962199352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75</v>
      </c>
      <c r="C17" s="15" t="s">
        <v>136</v>
      </c>
      <c r="D17" s="27"/>
      <c r="E17" s="27"/>
      <c r="F17" s="27"/>
      <c r="G17" s="27"/>
      <c r="H17" s="27">
        <f>SUM(H10:H12)</f>
        <v>44683.772230481918</v>
      </c>
    </row>
    <row r="18" spans="2:13">
      <c r="B18" s="1" t="s">
        <v>74</v>
      </c>
      <c r="C18" s="15" t="s">
        <v>136</v>
      </c>
      <c r="D18" s="27"/>
      <c r="E18" s="27"/>
      <c r="F18" s="27"/>
      <c r="G18" s="27"/>
      <c r="H18" s="27">
        <f>SUM(H8)</f>
        <v>21779.911138031694</v>
      </c>
    </row>
    <row r="19" spans="2:13">
      <c r="B19" s="2" t="s">
        <v>63</v>
      </c>
      <c r="C19" s="15" t="s">
        <v>136</v>
      </c>
      <c r="D19" s="27"/>
      <c r="E19" s="27"/>
      <c r="F19" s="27"/>
      <c r="G19" s="27"/>
      <c r="H19" s="27">
        <f>SUM(H6:H7,H13)</f>
        <v>198370.13625347996</v>
      </c>
    </row>
    <row r="21" spans="2:13">
      <c r="B21" s="5" t="s">
        <v>170</v>
      </c>
      <c r="D21" s="28"/>
      <c r="E21" s="28"/>
    </row>
    <row r="22" spans="2:13" ht="25.5">
      <c r="B22" s="196" t="s">
        <v>26</v>
      </c>
      <c r="C22" s="142" t="s">
        <v>30</v>
      </c>
      <c r="D22" s="141" t="s">
        <v>61</v>
      </c>
      <c r="E22" s="141" t="s">
        <v>15</v>
      </c>
      <c r="F22" s="141" t="s">
        <v>76</v>
      </c>
      <c r="G22" s="141" t="s">
        <v>64</v>
      </c>
    </row>
    <row r="23" spans="2:13">
      <c r="B23" s="29" t="s">
        <v>6</v>
      </c>
      <c r="C23" s="15" t="s">
        <v>136</v>
      </c>
      <c r="D23" s="30">
        <f>Selection!F38*$H$19</f>
        <v>158216.72458022065</v>
      </c>
      <c r="E23" s="30">
        <f>Selection!D26*$H$18</f>
        <v>19012.433254362018</v>
      </c>
      <c r="F23" s="30">
        <f>$H$17</f>
        <v>44683.772230481918</v>
      </c>
      <c r="G23" s="30">
        <f>SUM(D23:F23)</f>
        <v>221912.93006506457</v>
      </c>
    </row>
    <row r="24" spans="2:13">
      <c r="B24" s="2" t="s">
        <v>23</v>
      </c>
      <c r="C24" s="15" t="s">
        <v>136</v>
      </c>
      <c r="D24" s="31">
        <f>Selection!F39*$H$19</f>
        <v>113000.43760522231</v>
      </c>
      <c r="E24" s="31">
        <f>Selection!D27*$H$18</f>
        <v>2688.9447364647403</v>
      </c>
      <c r="F24" s="31">
        <f>$H$17</f>
        <v>44683.772230481918</v>
      </c>
      <c r="G24" s="31">
        <f>SUM(D24:F24)</f>
        <v>160373.15457216895</v>
      </c>
    </row>
    <row r="25" spans="2:13">
      <c r="B25" s="2" t="s">
        <v>5</v>
      </c>
      <c r="C25" s="15" t="s">
        <v>136</v>
      </c>
      <c r="D25" s="31">
        <f>Selection!F40*$H$19</f>
        <v>57556.85987341818</v>
      </c>
      <c r="E25" s="31">
        <f>Selection!D28*$H$18</f>
        <v>73.26732362677626</v>
      </c>
      <c r="F25" s="31">
        <f>$H$17</f>
        <v>44683.772230481918</v>
      </c>
      <c r="G25" s="31">
        <f>SUM(D25:F25)</f>
        <v>102313.89942752686</v>
      </c>
    </row>
    <row r="26" spans="2:13">
      <c r="B26" s="2" t="s">
        <v>4</v>
      </c>
      <c r="C26" s="15" t="s">
        <v>136</v>
      </c>
      <c r="D26" s="31">
        <f>Selection!F41*$H$19</f>
        <v>25541.243056780597</v>
      </c>
      <c r="E26" s="31">
        <f>Selection!D29*$H$18</f>
        <v>4.9601893196922395</v>
      </c>
      <c r="F26" s="31">
        <f>$H$17</f>
        <v>44683.772230481918</v>
      </c>
      <c r="G26" s="31">
        <f>SUM(D26:F26)</f>
        <v>70229.975476582214</v>
      </c>
    </row>
    <row r="27" spans="2:13">
      <c r="B27" s="32" t="s">
        <v>11</v>
      </c>
      <c r="C27" s="33" t="s">
        <v>136</v>
      </c>
      <c r="D27" s="34">
        <f>Selection!F42*$H$6</f>
        <v>1196.8491305685689</v>
      </c>
      <c r="E27" s="35">
        <f ca="1">Selection!D30*$H$18</f>
        <v>0.30563425846627407</v>
      </c>
      <c r="F27" s="35">
        <f>$H$17</f>
        <v>44683.772230481918</v>
      </c>
      <c r="G27" s="35">
        <f ca="1">SUM(D27:F27)</f>
        <v>45880.926995308953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171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196" t="s">
        <v>26</v>
      </c>
      <c r="C30" s="142" t="s">
        <v>30</v>
      </c>
      <c r="D30" s="141" t="s">
        <v>80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136</v>
      </c>
      <c r="D31" s="30">
        <f ca="1">Selection!$C$79-SUM('Avoided cost'!E6:H7)</f>
        <v>212717.9754906309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136</v>
      </c>
      <c r="D32" s="31">
        <f ca="1">Selection!$C$79-SUM('Avoided cost'!D6:D7,'Avoided cost'!F6:H7)</f>
        <v>169896.10222968203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136</v>
      </c>
      <c r="D33" s="40">
        <f ca="1">Selection!$C$79-SUM('Avoided cost'!D6:E7,'Avoided cost'!G6:H7)</f>
        <v>155094.76996478939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136</v>
      </c>
      <c r="D34" s="40">
        <f ca="1">Selection!$C$79-SUM('Avoided cost'!D6:F7,'Avoided cost'!H6:H7)</f>
        <v>147950.92779174657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136</v>
      </c>
      <c r="D35" s="35">
        <f>Selection!$C$79-SUM('Avoided cost'!D6:G7)</f>
        <v>146073.72402601765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196" t="s">
        <v>26</v>
      </c>
      <c r="C38" s="142" t="s">
        <v>30</v>
      </c>
      <c r="D38" s="141" t="s">
        <v>58</v>
      </c>
      <c r="E38" s="141" t="s">
        <v>59</v>
      </c>
      <c r="F38" s="141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136</v>
      </c>
      <c r="D39" s="30">
        <f>G23</f>
        <v>221912.93006506457</v>
      </c>
      <c r="E39" s="31">
        <f ca="1">D31</f>
        <v>212717.9754906309</v>
      </c>
      <c r="F39" s="30">
        <f ca="1">D39+E39</f>
        <v>434630.90555569547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136</v>
      </c>
      <c r="D40" s="31">
        <f>G24</f>
        <v>160373.15457216895</v>
      </c>
      <c r="E40" s="31">
        <f ca="1">D32</f>
        <v>169896.10222968203</v>
      </c>
      <c r="F40" s="31">
        <f ca="1">D40+E40</f>
        <v>330269.25680185098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136</v>
      </c>
      <c r="D41" s="31">
        <f>G25</f>
        <v>102313.89942752686</v>
      </c>
      <c r="E41" s="31">
        <f ca="1">D33</f>
        <v>155094.76996478939</v>
      </c>
      <c r="F41" s="31">
        <f ca="1">D41+E41</f>
        <v>257408.66939231625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136</v>
      </c>
      <c r="D42" s="31">
        <f>G26</f>
        <v>70229.975476582214</v>
      </c>
      <c r="E42" s="31">
        <f ca="1">D34</f>
        <v>147950.92779174657</v>
      </c>
      <c r="F42" s="31">
        <f ca="1">D42+E42</f>
        <v>218180.90326832878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136</v>
      </c>
      <c r="D43" s="34">
        <f ca="1">G27</f>
        <v>45880.926995308953</v>
      </c>
      <c r="E43" s="34">
        <f>D35</f>
        <v>146073.72402601765</v>
      </c>
      <c r="F43" s="34">
        <f ca="1">D43+E43</f>
        <v>191954.6510213266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"/>
  <sheetViews>
    <sheetView showGridLines="0" topLeftCell="A2" workbookViewId="0">
      <selection activeCell="C10" sqref="C10"/>
    </sheetView>
  </sheetViews>
  <sheetFormatPr defaultRowHeight="12.75"/>
  <cols>
    <col min="1" max="1" width="9.140625" style="1"/>
    <col min="2" max="2" width="28.42578125" style="1" bestFit="1" customWidth="1"/>
    <col min="3" max="3" width="20.28515625" style="1" bestFit="1" customWidth="1"/>
    <col min="4" max="13" width="14.28515625" style="1" customWidth="1"/>
    <col min="14" max="16384" width="9.140625" style="1"/>
  </cols>
  <sheetData>
    <row r="1" spans="1:13" ht="21">
      <c r="A1" s="198" t="s">
        <v>66</v>
      </c>
      <c r="B1" s="200"/>
      <c r="C1" s="203"/>
      <c r="D1" s="203"/>
      <c r="E1" s="203"/>
      <c r="F1" s="203"/>
      <c r="G1" s="203"/>
      <c r="H1" s="203"/>
      <c r="I1" s="200"/>
      <c r="J1" s="200"/>
      <c r="K1" s="200"/>
      <c r="L1" s="200"/>
      <c r="M1" s="200"/>
    </row>
    <row r="2" spans="1:13" ht="15.75">
      <c r="A2" s="211" t="s">
        <v>635</v>
      </c>
      <c r="B2" s="208"/>
      <c r="C2" s="212"/>
      <c r="D2" s="212"/>
      <c r="E2" s="212"/>
      <c r="F2" s="212"/>
      <c r="G2" s="212"/>
      <c r="H2" s="212"/>
      <c r="I2" s="208"/>
      <c r="J2" s="208"/>
      <c r="K2" s="208"/>
      <c r="L2" s="208"/>
      <c r="M2" s="208"/>
    </row>
    <row r="5" spans="1:13">
      <c r="B5" s="220" t="s">
        <v>12</v>
      </c>
      <c r="C5" s="231"/>
      <c r="D5" s="220">
        <v>2016</v>
      </c>
      <c r="E5" s="220">
        <f>D5+1</f>
        <v>2017</v>
      </c>
      <c r="F5" s="220">
        <f t="shared" ref="F5:M5" si="0">E5+1</f>
        <v>2018</v>
      </c>
      <c r="G5" s="220">
        <f t="shared" si="0"/>
        <v>2019</v>
      </c>
      <c r="H5" s="220">
        <f t="shared" si="0"/>
        <v>2020</v>
      </c>
      <c r="I5" s="220">
        <f t="shared" si="0"/>
        <v>2021</v>
      </c>
      <c r="J5" s="220">
        <f t="shared" si="0"/>
        <v>2022</v>
      </c>
      <c r="K5" s="220">
        <f t="shared" si="0"/>
        <v>2023</v>
      </c>
      <c r="L5" s="220">
        <f t="shared" si="0"/>
        <v>2024</v>
      </c>
      <c r="M5" s="220">
        <f t="shared" si="0"/>
        <v>2025</v>
      </c>
    </row>
    <row r="7" spans="1:13">
      <c r="B7" s="232" t="s">
        <v>633</v>
      </c>
    </row>
    <row r="8" spans="1:13">
      <c r="B8" s="1" t="s">
        <v>264</v>
      </c>
      <c r="D8" s="226">
        <f>SUMIF('LRMC - Augex'!$C$6:$C$405,LRMC!$B8,'LRMC - Augex'!E$6:E$405)*10^6</f>
        <v>0</v>
      </c>
      <c r="E8" s="226">
        <f>SUMIF('LRMC - Augex'!$C$6:$C$405,LRMC!$B8,'LRMC - Augex'!F$6:F$405)*10^6</f>
        <v>310735.93214597373</v>
      </c>
      <c r="F8" s="226">
        <f>SUMIF('LRMC - Augex'!$C$6:$C$405,LRMC!$B8,'LRMC - Augex'!G$6:G$405)*10^6</f>
        <v>9373867.2864035405</v>
      </c>
      <c r="G8" s="226">
        <f>SUMIF('LRMC - Augex'!$C$6:$C$405,LRMC!$B8,'LRMC - Augex'!H$6:H$405)*10^6</f>
        <v>2898946.6573618329</v>
      </c>
      <c r="H8" s="226">
        <f>SUMIF('LRMC - Augex'!$C$6:$C$405,LRMC!$B8,'LRMC - Augex'!I$6:I$405)*10^6</f>
        <v>1657258.3047785265</v>
      </c>
      <c r="I8" s="226">
        <f>SUMIF('LRMC - Augex'!$C$6:$C$405,LRMC!$B8,'LRMC - Augex'!J$6:J$405)*10^6</f>
        <v>22778423.257188588</v>
      </c>
      <c r="J8" s="226">
        <f>SUMIF('LRMC - Augex'!$C$6:$C$405,LRMC!$B8,'LRMC - Augex'!K$6:K$405)*10^6</f>
        <v>19942588.480680358</v>
      </c>
      <c r="K8" s="226">
        <f>SUMIF('LRMC - Augex'!$C$6:$C$405,LRMC!$B8,'LRMC - Augex'!L$6:L$405)*10^6</f>
        <v>5903982.7107735006</v>
      </c>
      <c r="L8" s="226">
        <f>SUMIF('LRMC - Augex'!$C$6:$C$405,LRMC!$B8,'LRMC - Augex'!M$6:M$405)*10^6</f>
        <v>11883466.781547001</v>
      </c>
      <c r="M8" s="226">
        <f>SUMIF('LRMC - Augex'!$C$6:$C$405,LRMC!$B8,'LRMC - Augex'!N$6:N$405)*10^6+SUMIF('LRMC - Augex'!$C$6:$C$405,LRMC!$B8,'LRMC - Augex'!O$6:O$405)*10^6</f>
        <v>-35916987.898494385</v>
      </c>
    </row>
    <row r="9" spans="1:13">
      <c r="B9" s="1" t="s">
        <v>177</v>
      </c>
      <c r="D9" s="226">
        <f>SUMIF('LRMC - Augex'!$C$6:$C$405,LRMC!$B9,'LRMC - Augex'!E$6:E$405)*10^6</f>
        <v>15634831.238674996</v>
      </c>
      <c r="E9" s="226">
        <f>SUMIF('LRMC - Augex'!$C$6:$C$405,LRMC!$B9,'LRMC - Augex'!F$6:F$405)*10^6</f>
        <v>18727912.015684899</v>
      </c>
      <c r="F9" s="226">
        <f>SUMIF('LRMC - Augex'!$C$6:$C$405,LRMC!$B9,'LRMC - Augex'!G$6:G$405)*10^6</f>
        <v>11986319.373118453</v>
      </c>
      <c r="G9" s="226">
        <f>SUMIF('LRMC - Augex'!$C$6:$C$405,LRMC!$B9,'LRMC - Augex'!H$6:H$405)*10^6</f>
        <v>11041963.079152329</v>
      </c>
      <c r="H9" s="226">
        <f>SUMIF('LRMC - Augex'!$C$6:$C$405,LRMC!$B9,'LRMC - Augex'!I$6:I$405)*10^6</f>
        <v>5081568.2770271562</v>
      </c>
      <c r="I9" s="226">
        <f>SUMIF('LRMC - Augex'!$C$6:$C$405,LRMC!$B9,'LRMC - Augex'!J$6:J$405)*10^6</f>
        <v>36027668.187850833</v>
      </c>
      <c r="J9" s="226">
        <f>SUMIF('LRMC - Augex'!$C$6:$C$405,LRMC!$B9,'LRMC - Augex'!K$6:K$405)*10^6</f>
        <v>29363509.456678148</v>
      </c>
      <c r="K9" s="226">
        <f>SUMIF('LRMC - Augex'!$C$6:$C$405,LRMC!$B9,'LRMC - Augex'!L$6:L$405)*10^6</f>
        <v>37124154.710599206</v>
      </c>
      <c r="L9" s="226">
        <f>SUMIF('LRMC - Augex'!$C$6:$C$405,LRMC!$B9,'LRMC - Augex'!M$6:M$405)*10^6</f>
        <v>14007740.815489475</v>
      </c>
      <c r="M9" s="226">
        <f>SUMIF('LRMC - Augex'!$C$6:$C$405,LRMC!$B9,'LRMC - Augex'!N$6:N$405)*10^6+SUMIF('LRMC - Augex'!$C$6:$C$405,LRMC!$B9,'LRMC - Augex'!O$6:O$405)*10^6</f>
        <v>-36203584.628438309</v>
      </c>
    </row>
    <row r="10" spans="1:13">
      <c r="B10" s="1" t="s">
        <v>4</v>
      </c>
      <c r="D10" s="226">
        <f>SUMIF('LRMC - Augex'!$C$6:$C$405,LRMC!$B10,'LRMC - Augex'!E$6:E$405)*10^6</f>
        <v>6627427.6674368232</v>
      </c>
      <c r="E10" s="226">
        <f>SUMIF('LRMC - Augex'!$C$6:$C$405,LRMC!$B10,'LRMC - Augex'!F$6:F$405)*10^6</f>
        <v>17907392.041018333</v>
      </c>
      <c r="F10" s="226">
        <f>SUMIF('LRMC - Augex'!$C$6:$C$405,LRMC!$B10,'LRMC - Augex'!G$6:G$405)*10^6</f>
        <v>23076017.601775333</v>
      </c>
      <c r="G10" s="226">
        <f>SUMIF('LRMC - Augex'!$C$6:$C$405,LRMC!$B10,'LRMC - Augex'!H$6:H$405)*10^6</f>
        <v>22005563.311187875</v>
      </c>
      <c r="H10" s="226">
        <f>SUMIF('LRMC - Augex'!$C$6:$C$405,LRMC!$B10,'LRMC - Augex'!I$6:I$405)*10^6</f>
        <v>31361892.707604036</v>
      </c>
      <c r="I10" s="226">
        <f>SUMIF('LRMC - Augex'!$C$6:$C$405,LRMC!$B10,'LRMC - Augex'!J$6:J$405)*10^6</f>
        <v>20261907.329957537</v>
      </c>
      <c r="J10" s="226">
        <f>SUMIF('LRMC - Augex'!$C$6:$C$405,LRMC!$B10,'LRMC - Augex'!K$6:K$405)*10^6</f>
        <v>17164268.821384333</v>
      </c>
      <c r="K10" s="226">
        <f>SUMIF('LRMC - Augex'!$C$6:$C$405,LRMC!$B10,'LRMC - Augex'!L$6:L$405)*10^6</f>
        <v>4239539.6509812269</v>
      </c>
      <c r="L10" s="226">
        <f>SUMIF('LRMC - Augex'!$C$6:$C$405,LRMC!$B10,'LRMC - Augex'!M$6:M$405)*10^6</f>
        <v>21308858.32728136</v>
      </c>
      <c r="M10" s="226">
        <f>SUMIF('LRMC - Augex'!$C$6:$C$405,LRMC!$B10,'LRMC - Augex'!N$6:N$405)*10^6+SUMIF('LRMC - Augex'!$C$6:$C$405,LRMC!$B10,'LRMC - Augex'!O$6:O$405)*10^6</f>
        <v>7957682.5748396106</v>
      </c>
    </row>
    <row r="11" spans="1:13">
      <c r="B11" s="1" t="s">
        <v>628</v>
      </c>
      <c r="D11" s="226">
        <f>SUMIF('LRMC - Augex'!$C$6:$C$405,LRMC!$B11,'LRMC - Augex'!E$6:E$405)*10^6</f>
        <v>1201638.8534218601</v>
      </c>
      <c r="E11" s="226">
        <f>SUMIF('LRMC - Augex'!$C$6:$C$405,LRMC!$B11,'LRMC - Augex'!F$6:F$405)*10^6</f>
        <v>1201638.8534218601</v>
      </c>
      <c r="F11" s="226">
        <f>SUMIF('LRMC - Augex'!$C$6:$C$405,LRMC!$B11,'LRMC - Augex'!G$6:G$405)*10^6</f>
        <v>1201638.8534218601</v>
      </c>
      <c r="G11" s="226">
        <f>SUMIF('LRMC - Augex'!$C$6:$C$405,LRMC!$B11,'LRMC - Augex'!H$6:H$405)*10^6</f>
        <v>1201638.8534218601</v>
      </c>
      <c r="H11" s="226">
        <f>SUMIF('LRMC - Augex'!$C$6:$C$405,LRMC!$B11,'LRMC - Augex'!I$6:I$405)*10^6</f>
        <v>1201638.8534218601</v>
      </c>
      <c r="I11" s="226">
        <f>SUMIF('LRMC - Augex'!$C$6:$C$405,LRMC!$B11,'LRMC - Augex'!J$6:J$405)*10^6</f>
        <v>0</v>
      </c>
      <c r="J11" s="226">
        <f>SUMIF('LRMC - Augex'!$C$6:$C$405,LRMC!$B11,'LRMC - Augex'!K$6:K$405)*10^6</f>
        <v>0</v>
      </c>
      <c r="K11" s="226">
        <f>SUMIF('LRMC - Augex'!$C$6:$C$405,LRMC!$B11,'LRMC - Augex'!L$6:L$405)*10^6</f>
        <v>0</v>
      </c>
      <c r="L11" s="226">
        <f>SUMIF('LRMC - Augex'!$C$6:$C$405,LRMC!$B11,'LRMC - Augex'!M$6:M$405)*10^6</f>
        <v>0</v>
      </c>
      <c r="M11" s="226">
        <f>SUMIF('LRMC - Augex'!$C$6:$C$405,LRMC!$B11,'LRMC - Augex'!N$6:N$405)*10^6+SUMIF('LRMC - Augex'!$C$6:$C$405,LRMC!$B11,'LRMC - Augex'!O$6:O$405)*10^6</f>
        <v>0</v>
      </c>
    </row>
    <row r="12" spans="1:13">
      <c r="B12" s="1" t="s">
        <v>630</v>
      </c>
      <c r="D12" s="226">
        <f>SUMIF('LRMC - Augex'!$C$6:$C$405,LRMC!$B12,'LRMC - Augex'!E$6:E$405)*10^6</f>
        <v>2298361.1465781401</v>
      </c>
      <c r="E12" s="226">
        <f>SUMIF('LRMC - Augex'!$C$6:$C$405,LRMC!$B12,'LRMC - Augex'!F$6:F$405)*10^6</f>
        <v>2298361.1465781401</v>
      </c>
      <c r="F12" s="226">
        <f>SUMIF('LRMC - Augex'!$C$6:$C$405,LRMC!$B12,'LRMC - Augex'!G$6:G$405)*10^6</f>
        <v>2298361.1465781401</v>
      </c>
      <c r="G12" s="226">
        <f>SUMIF('LRMC - Augex'!$C$6:$C$405,LRMC!$B12,'LRMC - Augex'!H$6:H$405)*10^6</f>
        <v>2298361.1465781401</v>
      </c>
      <c r="H12" s="226">
        <f>SUMIF('LRMC - Augex'!$C$6:$C$405,LRMC!$B12,'LRMC - Augex'!I$6:I$405)*10^6</f>
        <v>2298361.1465781401</v>
      </c>
      <c r="I12" s="226">
        <f>SUMIF('LRMC - Augex'!$C$6:$C$405,LRMC!$B12,'LRMC - Augex'!J$6:J$405)*10^6</f>
        <v>0</v>
      </c>
      <c r="J12" s="226">
        <f>SUMIF('LRMC - Augex'!$C$6:$C$405,LRMC!$B12,'LRMC - Augex'!K$6:K$405)*10^6</f>
        <v>0</v>
      </c>
      <c r="K12" s="226">
        <f>SUMIF('LRMC - Augex'!$C$6:$C$405,LRMC!$B12,'LRMC - Augex'!L$6:L$405)*10^6</f>
        <v>0</v>
      </c>
      <c r="L12" s="226">
        <f>SUMIF('LRMC - Augex'!$C$6:$C$405,LRMC!$B12,'LRMC - Augex'!M$6:M$405)*10^6</f>
        <v>0</v>
      </c>
      <c r="M12" s="226">
        <f>SUMIF('LRMC - Augex'!$C$6:$C$405,LRMC!$B12,'LRMC - Augex'!N$6:N$405)*10^6+SUMIF('LRMC - Augex'!$C$6:$C$405,LRMC!$B12,'LRMC - Augex'!O$6:O$405)*10^6</f>
        <v>0</v>
      </c>
    </row>
    <row r="13" spans="1:13">
      <c r="D13" s="57">
        <f>SUM(D8:D12)</f>
        <v>25762258.906111822</v>
      </c>
      <c r="E13" s="57">
        <f t="shared" ref="E13:M13" si="1">SUM(E8:E12)</f>
        <v>40446039.988849208</v>
      </c>
      <c r="F13" s="57">
        <f t="shared" si="1"/>
        <v>47936204.26129733</v>
      </c>
      <c r="G13" s="57">
        <f t="shared" si="1"/>
        <v>39446473.047702037</v>
      </c>
      <c r="H13" s="57">
        <f t="shared" si="1"/>
        <v>41600719.289409719</v>
      </c>
      <c r="I13" s="57">
        <f t="shared" si="1"/>
        <v>79067998.774996966</v>
      </c>
      <c r="J13" s="57">
        <f t="shared" si="1"/>
        <v>66470366.758742839</v>
      </c>
      <c r="K13" s="57">
        <f t="shared" si="1"/>
        <v>47267677.072353929</v>
      </c>
      <c r="L13" s="57">
        <f t="shared" si="1"/>
        <v>47200065.924317837</v>
      </c>
      <c r="M13" s="57">
        <f t="shared" si="1"/>
        <v>-64162889.95209308</v>
      </c>
    </row>
    <row r="14" spans="1:13">
      <c r="D14" s="226"/>
      <c r="E14" s="226"/>
      <c r="F14" s="226"/>
      <c r="G14" s="226"/>
      <c r="H14" s="226"/>
      <c r="I14" s="226"/>
      <c r="J14" s="226"/>
      <c r="K14" s="226"/>
      <c r="L14" s="226"/>
      <c r="M14" s="226"/>
    </row>
    <row r="15" spans="1:13">
      <c r="D15" s="226"/>
      <c r="E15" s="226"/>
      <c r="F15" s="226"/>
      <c r="G15" s="226"/>
      <c r="H15" s="226"/>
      <c r="I15" s="226"/>
      <c r="J15" s="226"/>
      <c r="K15" s="226"/>
      <c r="L15" s="226"/>
      <c r="M15" s="226"/>
    </row>
    <row r="16" spans="1:13">
      <c r="B16" s="232" t="s">
        <v>632</v>
      </c>
      <c r="C16" s="230">
        <v>5.0000000000000001E-3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</row>
    <row r="17" spans="2:13">
      <c r="B17" s="1" t="s">
        <v>264</v>
      </c>
      <c r="D17" s="226">
        <f>$C$16*SUM($D8:D8)</f>
        <v>0</v>
      </c>
      <c r="E17" s="226">
        <f>$C$16*SUM($D8:E8)</f>
        <v>1553.6796607298686</v>
      </c>
      <c r="F17" s="226">
        <f>$C$16*SUM($D8:F8)</f>
        <v>48423.016092747574</v>
      </c>
      <c r="G17" s="226">
        <f>$C$16*SUM($D8:G8)</f>
        <v>62917.749379556742</v>
      </c>
      <c r="H17" s="226">
        <f>$C$16*SUM($D8:H8)</f>
        <v>71204.040903449379</v>
      </c>
      <c r="I17" s="226">
        <f>$C$16*SUM($D8:I8)</f>
        <v>185096.15718939231</v>
      </c>
      <c r="J17" s="226">
        <f>$C$16*SUM($D8:J8)</f>
        <v>284809.09959279414</v>
      </c>
      <c r="K17" s="226">
        <f>$C$16*SUM($D8:K8)</f>
        <v>314329.01314666163</v>
      </c>
      <c r="L17" s="226">
        <f>$C$16*SUM($D8:L8)</f>
        <v>373746.34705439658</v>
      </c>
      <c r="M17" s="226">
        <f>$C$16*SUM($D8:M8)</f>
        <v>194161.40756192466</v>
      </c>
    </row>
    <row r="18" spans="2:13">
      <c r="B18" s="1" t="s">
        <v>177</v>
      </c>
      <c r="D18" s="226">
        <f>$C$16*SUM($D9:D9)</f>
        <v>78174.156193374991</v>
      </c>
      <c r="E18" s="226">
        <f>$C$16*SUM($D9:E9)</f>
        <v>171813.71627179947</v>
      </c>
      <c r="F18" s="226">
        <f>$C$16*SUM($D9:F9)</f>
        <v>231745.31313739173</v>
      </c>
      <c r="G18" s="226">
        <f>$C$16*SUM($D9:G9)</f>
        <v>286955.12853315339</v>
      </c>
      <c r="H18" s="226">
        <f>$C$16*SUM($D9:H9)</f>
        <v>312362.96991828916</v>
      </c>
      <c r="I18" s="226">
        <f>$C$16*SUM($D9:I9)</f>
        <v>492501.31085754337</v>
      </c>
      <c r="J18" s="226">
        <f>$C$16*SUM($D9:J9)</f>
        <v>639318.85814093414</v>
      </c>
      <c r="K18" s="226">
        <f>$C$16*SUM($D9:K9)</f>
        <v>824939.63169393025</v>
      </c>
      <c r="L18" s="226">
        <f>$C$16*SUM($D9:L9)</f>
        <v>894978.33577137755</v>
      </c>
      <c r="M18" s="226">
        <f>$C$16*SUM($D9:M9)</f>
        <v>713960.41262918594</v>
      </c>
    </row>
    <row r="19" spans="2:13">
      <c r="B19" s="1" t="s">
        <v>4</v>
      </c>
      <c r="D19" s="226">
        <f>$C$16*SUM($D10:D10)</f>
        <v>33137.138337184115</v>
      </c>
      <c r="E19" s="226">
        <f>$C$16*SUM($D10:E10)</f>
        <v>122674.09854227578</v>
      </c>
      <c r="F19" s="226">
        <f>$C$16*SUM($D10:F10)</f>
        <v>238054.18655115247</v>
      </c>
      <c r="G19" s="226">
        <f>$C$16*SUM($D10:G10)</f>
        <v>348082.00310709188</v>
      </c>
      <c r="H19" s="226">
        <f>$C$16*SUM($D10:H10)</f>
        <v>504891.46664511203</v>
      </c>
      <c r="I19" s="226">
        <f>$C$16*SUM($D10:I10)</f>
        <v>606201.00329489983</v>
      </c>
      <c r="J19" s="226">
        <f>$C$16*SUM($D10:J10)</f>
        <v>692022.34740182152</v>
      </c>
      <c r="K19" s="226">
        <f>$C$16*SUM($D10:K10)</f>
        <v>713220.04565672751</v>
      </c>
      <c r="L19" s="226">
        <f>$C$16*SUM($D10:L10)</f>
        <v>819764.3372931343</v>
      </c>
      <c r="M19" s="226">
        <f>$C$16*SUM($D10:M10)</f>
        <v>859552.75016733247</v>
      </c>
    </row>
    <row r="20" spans="2:13">
      <c r="B20" s="1" t="s">
        <v>628</v>
      </c>
      <c r="D20" s="226">
        <f>$C$16*SUM($D11:D11)</f>
        <v>6008.1942671093011</v>
      </c>
      <c r="E20" s="226">
        <f>$C$16*SUM($D11:E11)</f>
        <v>12016.388534218602</v>
      </c>
      <c r="F20" s="226">
        <f>$C$16*SUM($D11:F11)</f>
        <v>18024.582801327902</v>
      </c>
      <c r="G20" s="226">
        <f>$C$16*SUM($D11:G11)</f>
        <v>24032.777068437204</v>
      </c>
      <c r="H20" s="226">
        <f>$C$16*SUM($D11:H11)</f>
        <v>30040.971335546506</v>
      </c>
      <c r="I20" s="226">
        <f>$C$16*SUM($D11:I11)</f>
        <v>30040.971335546506</v>
      </c>
      <c r="J20" s="226">
        <f>$C$16*SUM($D11:J11)</f>
        <v>30040.971335546506</v>
      </c>
      <c r="K20" s="226">
        <f>$C$16*SUM($D11:K11)</f>
        <v>30040.971335546506</v>
      </c>
      <c r="L20" s="226">
        <f>$C$16*SUM($D11:L11)</f>
        <v>30040.971335546506</v>
      </c>
      <c r="M20" s="226">
        <f>$C$16*SUM($D11:M11)</f>
        <v>30040.971335546506</v>
      </c>
    </row>
    <row r="21" spans="2:13">
      <c r="B21" s="1" t="s">
        <v>630</v>
      </c>
      <c r="D21" s="226">
        <f>$C$16*SUM($D12:D12)</f>
        <v>11491.8057328907</v>
      </c>
      <c r="E21" s="226">
        <f>$C$16*SUM($D12:E12)</f>
        <v>22983.6114657814</v>
      </c>
      <c r="F21" s="226">
        <f>$C$16*SUM($D12:F12)</f>
        <v>34475.417198672098</v>
      </c>
      <c r="G21" s="226">
        <f>$C$16*SUM($D12:G12)</f>
        <v>45967.222931562799</v>
      </c>
      <c r="H21" s="226">
        <f>$C$16*SUM($D12:H12)</f>
        <v>57459.028664453508</v>
      </c>
      <c r="I21" s="226">
        <f>$C$16*SUM($D12:I12)</f>
        <v>57459.028664453508</v>
      </c>
      <c r="J21" s="226">
        <f>$C$16*SUM($D12:J12)</f>
        <v>57459.028664453508</v>
      </c>
      <c r="K21" s="226">
        <f>$C$16*SUM($D12:K12)</f>
        <v>57459.028664453508</v>
      </c>
      <c r="L21" s="226">
        <f>$C$16*SUM($D12:L12)</f>
        <v>57459.028664453508</v>
      </c>
      <c r="M21" s="226">
        <f>$C$16*SUM($D12:M12)</f>
        <v>57459.028664453508</v>
      </c>
    </row>
    <row r="22" spans="2:13">
      <c r="D22" s="57">
        <f>SUM(D17:D21)</f>
        <v>128811.2945305591</v>
      </c>
      <c r="E22" s="57">
        <f t="shared" ref="E22" si="2">SUM(E17:E21)</f>
        <v>331041.49447480508</v>
      </c>
      <c r="F22" s="57">
        <f t="shared" ref="F22" si="3">SUM(F17:F21)</f>
        <v>570722.51578129176</v>
      </c>
      <c r="G22" s="57">
        <f t="shared" ref="G22" si="4">SUM(G17:G21)</f>
        <v>767954.88101980207</v>
      </c>
      <c r="H22" s="57">
        <f t="shared" ref="H22" si="5">SUM(H17:H21)</f>
        <v>975958.47746685054</v>
      </c>
      <c r="I22" s="57">
        <f t="shared" ref="I22" si="6">SUM(I17:I21)</f>
        <v>1371298.4713418356</v>
      </c>
      <c r="J22" s="57">
        <f t="shared" ref="J22" si="7">SUM(J17:J21)</f>
        <v>1703650.3051355497</v>
      </c>
      <c r="K22" s="57">
        <f t="shared" ref="K22" si="8">SUM(K17:K21)</f>
        <v>1939988.6904973192</v>
      </c>
      <c r="L22" s="57">
        <f t="shared" ref="L22" si="9">SUM(L17:L21)</f>
        <v>2175989.0201189085</v>
      </c>
      <c r="M22" s="57">
        <f t="shared" ref="M22" si="10">SUM(M17:M21)</f>
        <v>1855174.5703584431</v>
      </c>
    </row>
    <row r="23" spans="2:13">
      <c r="D23" s="226"/>
      <c r="E23" s="226"/>
      <c r="F23" s="226"/>
      <c r="G23" s="226"/>
      <c r="H23" s="226"/>
      <c r="I23" s="226"/>
      <c r="J23" s="226"/>
      <c r="K23" s="226"/>
      <c r="L23" s="226"/>
      <c r="M23" s="226"/>
    </row>
    <row r="24" spans="2:13">
      <c r="D24" s="226"/>
      <c r="E24" s="226"/>
      <c r="F24" s="226"/>
      <c r="G24" s="226"/>
      <c r="H24" s="226"/>
      <c r="I24" s="226"/>
      <c r="J24" s="226"/>
      <c r="K24" s="226"/>
      <c r="L24" s="226"/>
      <c r="M24" s="226"/>
    </row>
    <row r="25" spans="2:13">
      <c r="B25" s="232" t="s">
        <v>631</v>
      </c>
      <c r="D25" s="57">
        <f>SUM('LRMC - Demand'!E6:E62)</f>
        <v>2376.6449644458421</v>
      </c>
      <c r="E25" s="57">
        <f>SUM('LRMC - Demand'!F6:F62)</f>
        <v>2437.8399946536697</v>
      </c>
      <c r="F25" s="57">
        <f>SUM('LRMC - Demand'!G6:G62)</f>
        <v>2481.1059987570925</v>
      </c>
      <c r="G25" s="57">
        <f>SUM('LRMC - Demand'!H6:H62)</f>
        <v>2530.9108563709242</v>
      </c>
      <c r="H25" s="57">
        <f>SUM('LRMC - Demand'!I6:I62)</f>
        <v>2581.3903603492045</v>
      </c>
      <c r="I25" s="57">
        <f>SUM('LRMC - Demand'!J6:J62)</f>
        <v>2636.9059187235594</v>
      </c>
      <c r="J25" s="57">
        <f>SUM('LRMC - Demand'!K6:K62)</f>
        <v>2705.4654151912246</v>
      </c>
      <c r="K25" s="57">
        <f>SUM('LRMC - Demand'!L6:L62)</f>
        <v>2782.4797414589457</v>
      </c>
      <c r="L25" s="57">
        <f>SUM('LRMC - Demand'!M6:M62)</f>
        <v>2846.4572010879838</v>
      </c>
      <c r="M25" s="57">
        <f>SUM('LRMC - Demand'!N6:N62)</f>
        <v>2912.3783586529771</v>
      </c>
    </row>
    <row r="26" spans="2:13">
      <c r="B26" s="1" t="s">
        <v>264</v>
      </c>
      <c r="D26" s="242"/>
      <c r="E26" s="226">
        <f>(E$25-D$25)*1000</f>
        <v>61195.030207827585</v>
      </c>
      <c r="F26" s="226">
        <f>(F$25-E$25)*1000+E26</f>
        <v>104461.03431125039</v>
      </c>
      <c r="G26" s="226">
        <f t="shared" ref="G26:M26" si="11">(G$25-F$25)*1000+F26</f>
        <v>154265.89192508208</v>
      </c>
      <c r="H26" s="226">
        <f t="shared" si="11"/>
        <v>204745.39590336234</v>
      </c>
      <c r="I26" s="226">
        <f t="shared" si="11"/>
        <v>260260.95427771722</v>
      </c>
      <c r="J26" s="226">
        <f t="shared" si="11"/>
        <v>328820.45074538246</v>
      </c>
      <c r="K26" s="226">
        <f t="shared" si="11"/>
        <v>405834.77701310359</v>
      </c>
      <c r="L26" s="226">
        <f t="shared" si="11"/>
        <v>469812.23664214171</v>
      </c>
      <c r="M26" s="226">
        <f t="shared" si="11"/>
        <v>535733.39420713508</v>
      </c>
    </row>
    <row r="27" spans="2:13">
      <c r="B27" s="1" t="s">
        <v>177</v>
      </c>
      <c r="D27" s="242"/>
      <c r="E27" s="226">
        <f t="shared" ref="E27" si="12">(E$25-D$25)*1000</f>
        <v>61195.030207827585</v>
      </c>
      <c r="F27" s="226">
        <f t="shared" ref="F27:M27" si="13">(F$25-E$25)*1000+E27</f>
        <v>104461.03431125039</v>
      </c>
      <c r="G27" s="226">
        <f t="shared" si="13"/>
        <v>154265.89192508208</v>
      </c>
      <c r="H27" s="226">
        <f t="shared" si="13"/>
        <v>204745.39590336234</v>
      </c>
      <c r="I27" s="226">
        <f t="shared" si="13"/>
        <v>260260.95427771722</v>
      </c>
      <c r="J27" s="226">
        <f t="shared" si="13"/>
        <v>328820.45074538246</v>
      </c>
      <c r="K27" s="226">
        <f t="shared" si="13"/>
        <v>405834.77701310359</v>
      </c>
      <c r="L27" s="226">
        <f t="shared" si="13"/>
        <v>469812.23664214171</v>
      </c>
      <c r="M27" s="226">
        <f t="shared" si="13"/>
        <v>535733.39420713508</v>
      </c>
    </row>
    <row r="28" spans="2:13">
      <c r="B28" s="1" t="s">
        <v>4</v>
      </c>
      <c r="D28" s="242"/>
      <c r="E28" s="226">
        <f t="shared" ref="E28" si="14">(E$25-D$25)*1000</f>
        <v>61195.030207827585</v>
      </c>
      <c r="F28" s="226">
        <f t="shared" ref="F28:M28" si="15">(F$25-E$25)*1000+E28</f>
        <v>104461.03431125039</v>
      </c>
      <c r="G28" s="226">
        <f t="shared" si="15"/>
        <v>154265.89192508208</v>
      </c>
      <c r="H28" s="226">
        <f t="shared" si="15"/>
        <v>204745.39590336234</v>
      </c>
      <c r="I28" s="226">
        <f t="shared" si="15"/>
        <v>260260.95427771722</v>
      </c>
      <c r="J28" s="226">
        <f t="shared" si="15"/>
        <v>328820.45074538246</v>
      </c>
      <c r="K28" s="226">
        <f t="shared" si="15"/>
        <v>405834.77701310359</v>
      </c>
      <c r="L28" s="226">
        <f t="shared" si="15"/>
        <v>469812.23664214171</v>
      </c>
      <c r="M28" s="226">
        <f t="shared" si="15"/>
        <v>535733.39420713508</v>
      </c>
    </row>
    <row r="29" spans="2:13">
      <c r="B29" s="1" t="s">
        <v>628</v>
      </c>
      <c r="D29" s="242"/>
      <c r="E29" s="226">
        <f t="shared" ref="E29" si="16">(E$25-D$25)*1000</f>
        <v>61195.030207827585</v>
      </c>
      <c r="F29" s="226">
        <f t="shared" ref="F29:M29" si="17">(F$25-E$25)*1000+E29</f>
        <v>104461.03431125039</v>
      </c>
      <c r="G29" s="226">
        <f t="shared" si="17"/>
        <v>154265.89192508208</v>
      </c>
      <c r="H29" s="226">
        <f t="shared" si="17"/>
        <v>204745.39590336234</v>
      </c>
      <c r="I29" s="226">
        <f t="shared" si="17"/>
        <v>260260.95427771722</v>
      </c>
      <c r="J29" s="226">
        <f t="shared" si="17"/>
        <v>328820.45074538246</v>
      </c>
      <c r="K29" s="226">
        <f t="shared" si="17"/>
        <v>405834.77701310359</v>
      </c>
      <c r="L29" s="226">
        <f t="shared" si="17"/>
        <v>469812.23664214171</v>
      </c>
      <c r="M29" s="226">
        <f t="shared" si="17"/>
        <v>535733.39420713508</v>
      </c>
    </row>
    <row r="30" spans="2:13">
      <c r="B30" s="1" t="s">
        <v>630</v>
      </c>
      <c r="D30" s="242"/>
      <c r="E30" s="226">
        <f t="shared" ref="E30" si="18">(E$25-D$25)*1000</f>
        <v>61195.030207827585</v>
      </c>
      <c r="F30" s="226">
        <f t="shared" ref="F30:M30" si="19">(F$25-E$25)*1000+E30</f>
        <v>104461.03431125039</v>
      </c>
      <c r="G30" s="226">
        <f t="shared" si="19"/>
        <v>154265.89192508208</v>
      </c>
      <c r="H30" s="226">
        <f t="shared" si="19"/>
        <v>204745.39590336234</v>
      </c>
      <c r="I30" s="226">
        <f t="shared" si="19"/>
        <v>260260.95427771722</v>
      </c>
      <c r="J30" s="226">
        <f t="shared" si="19"/>
        <v>328820.45074538246</v>
      </c>
      <c r="K30" s="226">
        <f t="shared" si="19"/>
        <v>405834.77701310359</v>
      </c>
      <c r="L30" s="226">
        <f t="shared" si="19"/>
        <v>469812.23664214171</v>
      </c>
      <c r="M30" s="226">
        <f t="shared" si="19"/>
        <v>535733.39420713508</v>
      </c>
    </row>
    <row r="33" spans="2:7">
      <c r="B33" s="232" t="s">
        <v>151</v>
      </c>
      <c r="C33" s="234"/>
      <c r="D33" s="233" t="s">
        <v>637</v>
      </c>
    </row>
    <row r="34" spans="2:7">
      <c r="B34" s="1" t="s">
        <v>264</v>
      </c>
      <c r="D34" s="245">
        <f>NPV(5.64378%,E8:M8)/NPV(5.64378%,E26:M26)+NPV(5.64378%,E17:M17)/NPV(5.64378%,E26:M26)</f>
        <v>19.573413506614312</v>
      </c>
    </row>
    <row r="35" spans="2:7">
      <c r="B35" s="1" t="s">
        <v>177</v>
      </c>
      <c r="D35" s="245">
        <f>NPV(5.64378%,E9:M9)/NPV(5.64378%,E27:M27)+NPV(5.64378%,E18:M18)/NPV(5.64378%,E27:M27)</f>
        <v>59.262139973674451</v>
      </c>
    </row>
    <row r="36" spans="2:7">
      <c r="B36" s="1" t="s">
        <v>4</v>
      </c>
      <c r="D36" s="245">
        <f>NPV(5.64378%,E10:M10)/NPV(5.64378%,E28:M28)+NPV(5.64378%,E19:M19)/NPV(5.64378%,E28:M28)</f>
        <v>75.104918527821866</v>
      </c>
    </row>
    <row r="37" spans="2:7">
      <c r="B37" s="1" t="s">
        <v>628</v>
      </c>
      <c r="D37" s="245">
        <f>NPV(5.64378%,E11:M11)/NPV(5.64378%,E29:M29)+NPV(5.64378%,E20:M20)/NPV(5.64378%,E29:M29)</f>
        <v>2.4468137084653643</v>
      </c>
    </row>
    <row r="38" spans="2:7">
      <c r="B38" s="1" t="s">
        <v>630</v>
      </c>
      <c r="D38" s="245">
        <f>NPV(5.64378%,E12:M12)/NPV(5.64378%,E30:M30)+NPV(5.64378%,E21:M21)/NPV(5.64378%,E30:M30)</f>
        <v>4.6799931147676226</v>
      </c>
    </row>
    <row r="41" spans="2:7" ht="38.25">
      <c r="B41" s="249" t="s">
        <v>638</v>
      </c>
      <c r="C41" s="249" t="s">
        <v>634</v>
      </c>
      <c r="D41" s="248" t="s">
        <v>639</v>
      </c>
      <c r="E41" s="248" t="s">
        <v>152</v>
      </c>
      <c r="F41" s="248" t="s">
        <v>153</v>
      </c>
      <c r="G41" s="248" t="s">
        <v>155</v>
      </c>
    </row>
    <row r="42" spans="2:7">
      <c r="B42" s="44" t="s">
        <v>6</v>
      </c>
      <c r="C42" s="44" t="s">
        <v>630</v>
      </c>
      <c r="D42" s="246">
        <f>SUM(D34:D38)</f>
        <v>161.06727883134363</v>
      </c>
      <c r="E42" s="213">
        <v>0.6</v>
      </c>
      <c r="F42" s="213">
        <f>D42*E42</f>
        <v>96.640367298806169</v>
      </c>
      <c r="G42" s="67">
        <f>F42*Selection!F15</f>
        <v>143689.10873804081</v>
      </c>
    </row>
    <row r="43" spans="2:7">
      <c r="B43" s="44" t="s">
        <v>23</v>
      </c>
      <c r="C43" s="44" t="s">
        <v>630</v>
      </c>
      <c r="D43" s="246">
        <f>SUM(D34:D38)</f>
        <v>161.06727883134363</v>
      </c>
      <c r="E43" s="213">
        <v>0.7</v>
      </c>
      <c r="F43" s="213">
        <f t="shared" ref="F43:F46" si="20">D43*E43</f>
        <v>112.74709518194054</v>
      </c>
      <c r="G43" s="67">
        <f>F43*Selection!F16</f>
        <v>89273.21830206817</v>
      </c>
    </row>
    <row r="44" spans="2:7">
      <c r="B44" s="44" t="s">
        <v>5</v>
      </c>
      <c r="C44" s="44" t="s">
        <v>628</v>
      </c>
      <c r="D44" s="246">
        <f>SUM(D34:D37)</f>
        <v>156.387285716576</v>
      </c>
      <c r="E44" s="213">
        <v>0.7</v>
      </c>
      <c r="F44" s="213">
        <f t="shared" si="20"/>
        <v>109.47110000160319</v>
      </c>
      <c r="G44" s="67">
        <f>F44*Selection!F17</f>
        <v>72443.68635661107</v>
      </c>
    </row>
    <row r="45" spans="2:7">
      <c r="B45" s="44" t="s">
        <v>4</v>
      </c>
      <c r="C45" s="44" t="s">
        <v>4</v>
      </c>
      <c r="D45" s="246">
        <f>SUM(D34:D36)</f>
        <v>153.94047200811065</v>
      </c>
      <c r="E45" s="213">
        <v>0.5</v>
      </c>
      <c r="F45" s="213">
        <f t="shared" si="20"/>
        <v>76.970236004055323</v>
      </c>
      <c r="G45" s="67">
        <f>F45*Selection!F18</f>
        <v>27349.542340549346</v>
      </c>
    </row>
    <row r="46" spans="2:7">
      <c r="B46" s="51" t="s">
        <v>264</v>
      </c>
      <c r="C46" s="51" t="s">
        <v>264</v>
      </c>
      <c r="D46" s="247">
        <f>D34</f>
        <v>19.573413506614312</v>
      </c>
      <c r="E46" s="214">
        <v>0.5</v>
      </c>
      <c r="F46" s="214">
        <f t="shared" si="20"/>
        <v>9.7867067533071559</v>
      </c>
      <c r="G46" s="70">
        <f>F46*Selection!F19</f>
        <v>2020.7751029668184</v>
      </c>
    </row>
  </sheetData>
  <pageMargins left="0.7" right="0.7" top="0.75" bottom="0.75" header="0.3" footer="0.3"/>
  <pageSetup orientation="portrait" r:id="rId1"/>
  <ignoredErrors>
    <ignoredError sqref="D2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M31"/>
  <sheetViews>
    <sheetView showGridLines="0" tabSelected="1" topLeftCell="A13" zoomScaleNormal="100" workbookViewId="0">
      <selection activeCell="I41" sqref="I41"/>
    </sheetView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201" customFormat="1" ht="21">
      <c r="A1" s="198" t="s">
        <v>66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s="209" customFormat="1" ht="15.75">
      <c r="A2" s="211" t="s">
        <v>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4" spans="1:13">
      <c r="B4" s="5" t="s">
        <v>126</v>
      </c>
      <c r="C4" s="7">
        <f>Inputs!C6</f>
        <v>2020</v>
      </c>
    </row>
    <row r="6" spans="1:13">
      <c r="B6" s="215" t="s">
        <v>26</v>
      </c>
      <c r="C6" s="215" t="s">
        <v>7</v>
      </c>
      <c r="D6" s="215" t="s">
        <v>128</v>
      </c>
      <c r="E6" s="215" t="s">
        <v>10</v>
      </c>
      <c r="F6" s="215" t="s">
        <v>649</v>
      </c>
    </row>
    <row r="7" spans="1:13">
      <c r="B7" s="216"/>
      <c r="C7" s="217" t="s">
        <v>138</v>
      </c>
      <c r="D7" s="217" t="s">
        <v>138</v>
      </c>
      <c r="E7" s="217" t="s">
        <v>138</v>
      </c>
      <c r="F7" s="217" t="s">
        <v>138</v>
      </c>
    </row>
    <row r="8" spans="1:13">
      <c r="B8" s="66" t="s">
        <v>6</v>
      </c>
      <c r="C8" s="67">
        <f>'Avoided cost'!D10</f>
        <v>126773.58883288261</v>
      </c>
      <c r="D8" s="67">
        <f>(SUMIF(Selection!$C$89:$C$136,Selection!$B26,Selection!$F$89:$F$136)/1000)/(1+Inputs!$C$4)</f>
        <v>265743.83861894626</v>
      </c>
      <c r="E8" s="67">
        <f ca="1">CHOOSE(Inputs!$D$7,'SAC - VPN'!F39,#REF!)</f>
        <v>434630.90555569547</v>
      </c>
      <c r="F8" s="267">
        <f>LRMC!G42</f>
        <v>143689.10873804081</v>
      </c>
    </row>
    <row r="9" spans="1:13">
      <c r="B9" s="66" t="s">
        <v>23</v>
      </c>
      <c r="C9" s="67">
        <f>'Avoided cost'!E10</f>
        <v>51534.181294186099</v>
      </c>
      <c r="D9" s="67">
        <f>(SUMIF(Selection!$C$89:$C$136,Selection!$B27,Selection!$F$89:$F$136)/1000)/(1+Inputs!$C$4)</f>
        <v>161667.08718251294</v>
      </c>
      <c r="E9" s="67">
        <f ca="1">CHOOSE(Inputs!$D$7,'SAC - VPN'!F40,#REF!)</f>
        <v>330269.25680185098</v>
      </c>
      <c r="F9" s="267">
        <f>LRMC!G43</f>
        <v>89273.21830206817</v>
      </c>
    </row>
    <row r="10" spans="1:13">
      <c r="B10" s="66" t="s">
        <v>5</v>
      </c>
      <c r="C10" s="67">
        <f>'Avoided cost'!F10</f>
        <v>21623.622776572905</v>
      </c>
      <c r="D10" s="67">
        <f>(SUMIF(Selection!$C$89:$C$136,Selection!$B28,Selection!$F$89:$F$136)/1000)/(1+Inputs!$C$4)</f>
        <v>151826.0035410882</v>
      </c>
      <c r="E10" s="67">
        <f ca="1">CHOOSE(Inputs!$D$7,'SAC - VPN'!F41,#REF!)</f>
        <v>257408.66939231625</v>
      </c>
      <c r="F10" s="267">
        <f>LRMC!G44</f>
        <v>72443.68635661107</v>
      </c>
    </row>
    <row r="11" spans="1:13">
      <c r="B11" s="66" t="s">
        <v>4</v>
      </c>
      <c r="C11" s="67">
        <f>'Avoided cost'!G10</f>
        <v>5646.9117556418196</v>
      </c>
      <c r="D11" s="67">
        <f>(SUMIF(Selection!$C$89:$C$136,Selection!$B29,Selection!$F$89:$F$136)/1000)/(1+Inputs!$C$4)</f>
        <v>53524.763774566796</v>
      </c>
      <c r="E11" s="67">
        <f ca="1">CHOOSE(Inputs!$D$7,'SAC - VPN'!F42,#REF!)</f>
        <v>218180.90326832878</v>
      </c>
      <c r="F11" s="267">
        <f>LRMC!G45</f>
        <v>27349.542340549346</v>
      </c>
    </row>
    <row r="12" spans="1:13">
      <c r="B12" s="69" t="s">
        <v>11</v>
      </c>
      <c r="C12" s="70">
        <f ca="1">'Avoided cost'!H10</f>
        <v>1431.5249876098655</v>
      </c>
      <c r="D12" s="70">
        <f>(SUMIF(Selection!$C$89:$C$136,Selection!$B30,Selection!$F$89:$F$136)/1000)/(1+Inputs!$C$4)</f>
        <v>7509.3987390289894</v>
      </c>
      <c r="E12" s="70">
        <f ca="1">CHOOSE(Inputs!$D$7,'SAC - VPN'!F43,#REF!)</f>
        <v>191954.6510213266</v>
      </c>
      <c r="F12" s="70">
        <f>LRMC!G46</f>
        <v>2020.7751029668184</v>
      </c>
    </row>
    <row r="13" spans="1:13">
      <c r="K13"/>
    </row>
    <row r="14" spans="1:13">
      <c r="K14"/>
    </row>
    <row r="15" spans="1:13">
      <c r="B15" s="215" t="s">
        <v>26</v>
      </c>
      <c r="C15" s="215" t="s">
        <v>7</v>
      </c>
      <c r="D15" s="215" t="s">
        <v>128</v>
      </c>
      <c r="E15" s="215" t="s">
        <v>10</v>
      </c>
      <c r="F15" s="215" t="s">
        <v>649</v>
      </c>
      <c r="G15" s="71"/>
      <c r="H15" s="71"/>
      <c r="K15"/>
    </row>
    <row r="16" spans="1:13">
      <c r="B16" s="216"/>
      <c r="C16" s="217" t="s">
        <v>127</v>
      </c>
      <c r="D16" s="217" t="s">
        <v>127</v>
      </c>
      <c r="E16" s="217" t="s">
        <v>127</v>
      </c>
      <c r="F16" s="217" t="s">
        <v>127</v>
      </c>
      <c r="G16" s="266"/>
      <c r="H16" s="67"/>
      <c r="K16"/>
    </row>
    <row r="17" spans="2:11">
      <c r="B17" s="66" t="s">
        <v>6</v>
      </c>
      <c r="C17" s="67">
        <f>C8*(1+Inputs!$C$4)^($C$4-2015)</f>
        <v>142199.08517158625</v>
      </c>
      <c r="D17" s="67">
        <f t="array" ref="D17">SUM(IF(($C$4=Inputs!$D$9:$I$9)*(Summary!$B17=Inputs!$C$190:$C$239),Inputs!$H$190:$H$239,""))/1000</f>
        <v>271960.04486893711</v>
      </c>
      <c r="E17" s="67">
        <f ca="1">E8*(1+Inputs!$C$4)^($C$4-2015)</f>
        <v>487515.71779505553</v>
      </c>
      <c r="F17" s="67">
        <f>F8*(1+Inputs!$C$4)^($C$4-2015)</f>
        <v>161172.84364809431</v>
      </c>
      <c r="G17" s="43"/>
      <c r="H17" s="67"/>
      <c r="K17"/>
    </row>
    <row r="18" spans="2:11">
      <c r="B18" s="66" t="s">
        <v>23</v>
      </c>
      <c r="C18" s="67">
        <f>C9*(1+Inputs!$C$4)^($C$4-2015)</f>
        <v>57804.732851415225</v>
      </c>
      <c r="D18" s="67">
        <f t="array" ref="D18">SUM(IF(($C$4=Inputs!$D$9:$I$9)*(Summary!$B18=Inputs!$C$190:$C$239),Inputs!$H$190:$H$239,""))/1000</f>
        <v>165714.5035310977</v>
      </c>
      <c r="E18" s="67">
        <f ca="1">E9*(1+Inputs!$C$4)^($C$4-2015)</f>
        <v>370455.6020689173</v>
      </c>
      <c r="F18" s="67">
        <f>F9*(1+Inputs!$C$4)^($C$4-2015)</f>
        <v>100135.76242297464</v>
      </c>
      <c r="G18" s="43"/>
      <c r="H18" s="67"/>
    </row>
    <row r="19" spans="2:11">
      <c r="B19" s="66" t="s">
        <v>5</v>
      </c>
      <c r="C19" s="67">
        <f>C10*(1+Inputs!$C$4)^($C$4-2015)</f>
        <v>24254.731645859851</v>
      </c>
      <c r="D19" s="67">
        <f t="array" ref="D19">SUM(IF(($C$4=Inputs!$D$9:$I$9)*(Summary!$B19=Inputs!$C$190:$C$239),Inputs!$H$190:$H$239,""))/1000</f>
        <v>155353.04279237241</v>
      </c>
      <c r="E19" s="67">
        <f ca="1">E10*(1+Inputs!$C$4)^($C$4-2015)</f>
        <v>288729.51882015733</v>
      </c>
      <c r="F19" s="67">
        <f>F10*(1+Inputs!$C$4)^($C$4-2015)</f>
        <v>81258.454708157849</v>
      </c>
      <c r="G19" s="43"/>
      <c r="H19" s="67"/>
    </row>
    <row r="20" spans="2:11">
      <c r="B20" s="66" t="s">
        <v>4</v>
      </c>
      <c r="C20" s="67">
        <f>C11*(1+Inputs!$C$4)^($C$4-2015)</f>
        <v>6334.0139936833893</v>
      </c>
      <c r="D20" s="67">
        <f t="array" ref="D20">SUM(IF(($C$4=Inputs!$D$9:$I$9)*(Summary!$B20=Inputs!$C$190:$C$239),Inputs!$H$190:$H$239,""))/1000</f>
        <v>54768.18676104831</v>
      </c>
      <c r="E20" s="67">
        <f ca="1">E11*(1+Inputs!$C$4)^($C$4-2015)</f>
        <v>244728.61526043183</v>
      </c>
      <c r="F20" s="67">
        <f>F11*(1+Inputs!$C$4)^($C$4-2015)</f>
        <v>30677.366922335867</v>
      </c>
      <c r="G20" s="43"/>
      <c r="H20" s="67"/>
    </row>
    <row r="21" spans="2:11">
      <c r="B21" s="69" t="s">
        <v>11</v>
      </c>
      <c r="C21" s="70">
        <f ca="1">C12*(1+Inputs!$C$4)^($C$4-2015)</f>
        <v>1605.7094029792845</v>
      </c>
      <c r="D21" s="70">
        <f t="array" ref="D21">SUM(IF(($C$4=Inputs!$D$9:$I$9)*(Summary!$B21=Inputs!$C$190:$C$239),Inputs!$H$190:$H$239,""))/1000</f>
        <v>7683.8480658133285</v>
      </c>
      <c r="E21" s="70">
        <f ca="1">E12*(1+Inputs!$C$4)^($C$4-2015)</f>
        <v>215311.21758843624</v>
      </c>
      <c r="F21" s="70">
        <f>F12*(1+Inputs!$C$4)^($C$4-2015)</f>
        <v>2266.6580131149994</v>
      </c>
      <c r="G21" s="43"/>
      <c r="H21" s="2"/>
    </row>
    <row r="24" spans="2:11" s="44" customFormat="1">
      <c r="B24" s="72"/>
    </row>
    <row r="25" spans="2:11" s="44" customFormat="1"/>
    <row r="26" spans="2:11" s="44" customFormat="1">
      <c r="B26" s="72"/>
    </row>
    <row r="27" spans="2:11" s="44" customFormat="1">
      <c r="B27" s="66"/>
    </row>
    <row r="28" spans="2:11" s="44" customFormat="1">
      <c r="B28" s="66"/>
    </row>
    <row r="29" spans="2:11" s="44" customFormat="1">
      <c r="B29" s="66"/>
    </row>
    <row r="30" spans="2:11" s="44" customFormat="1">
      <c r="B30" s="66"/>
    </row>
    <row r="31" spans="2:11" s="44" customFormat="1">
      <c r="B31" s="66"/>
    </row>
  </sheetData>
  <phoneticPr fontId="2" type="noConversion"/>
  <pageMargins left="0.56000000000000005" right="0.39" top="1" bottom="0.6" header="0.5" footer="0.5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Company>Powercor Australia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Kumar</dc:creator>
  <cp:lastModifiedBy>Kate Jdanova</cp:lastModifiedBy>
  <cp:lastPrinted>2015-11-18T22:21:34Z</cp:lastPrinted>
  <dcterms:created xsi:type="dcterms:W3CDTF">2010-03-09T03:40:30Z</dcterms:created>
  <dcterms:modified xsi:type="dcterms:W3CDTF">2019-09-27T02:49:47Z</dcterms:modified>
</cp:coreProperties>
</file>